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1d5cf65d9917ee7/EA/2026/WB ECE Energy Audit/3-MTM/"/>
    </mc:Choice>
  </mc:AlternateContent>
  <xr:revisionPtr revIDLastSave="454" documentId="11_61E88715301E2823FB37E12812DD8175817DC59C" xr6:coauthVersionLast="47" xr6:coauthVersionMax="47" xr10:uidLastSave="{1A1EC7F2-2434-4510-A0C3-864A9C136695}"/>
  <bookViews>
    <workbookView xWindow="-108" yWindow="-108" windowWidth="23256" windowHeight="12576" tabRatio="855" firstSheet="18" activeTab="18" xr2:uid="{00000000-000D-0000-FFFF-FFFF00000000}"/>
  </bookViews>
  <sheets>
    <sheet name="Intro" sheetId="21" r:id="rId1"/>
    <sheet name="Sheet1" sheetId="45" r:id="rId2"/>
    <sheet name="Building_data" sheetId="11" r:id="rId3"/>
    <sheet name="Envelope" sheetId="19" r:id="rId4"/>
    <sheet name="Consumption" sheetId="7" r:id="rId5"/>
    <sheet name="Weather" sheetId="9" state="hidden" r:id="rId6"/>
    <sheet name="U-values" sheetId="20" r:id="rId7"/>
    <sheet name="Losses env. before" sheetId="22" r:id="rId8"/>
    <sheet name="Losses env. after" sheetId="34" r:id="rId9"/>
    <sheet name="Ventilation losses" sheetId="10" r:id="rId10"/>
    <sheet name="Heat gains Mec Vent" sheetId="28" r:id="rId11"/>
    <sheet name="gains" sheetId="42" r:id="rId12"/>
    <sheet name="Heat distr. efficiency" sheetId="26" r:id="rId13"/>
    <sheet name="DHW generation" sheetId="29" r:id="rId14"/>
    <sheet name="DHW distr. efficiency" sheetId="35" r:id="rId15"/>
    <sheet name="IHS" sheetId="40" r:id="rId16"/>
    <sheet name="Lighting" sheetId="14" r:id="rId17"/>
    <sheet name="Equipment" sheetId="16" r:id="rId18"/>
    <sheet name="Cooling" sheetId="25" r:id="rId19"/>
    <sheet name="PV" sheetId="37" r:id="rId20"/>
    <sheet name="Solar DHW" sheetId="38" r:id="rId21"/>
    <sheet name="Shading" sheetId="41" r:id="rId22"/>
    <sheet name="EMS" sheetId="39" r:id="rId23"/>
    <sheet name="Overall gener. &amp; distrib. eff." sheetId="30" r:id="rId24"/>
    <sheet name="Breakdown Baseline &amp; Balance" sheetId="24" r:id="rId25"/>
    <sheet name="Non-EE measures" sheetId="36" r:id="rId26"/>
    <sheet name="Financial indicators" sheetId="31" r:id="rId27"/>
    <sheet name="Measures_summary" sheetId="8" r:id="rId28"/>
    <sheet name="Sheet2" sheetId="46" r:id="rId29"/>
  </sheets>
  <externalReferences>
    <externalReference r:id="rId30"/>
    <externalReference r:id="rId31"/>
  </externalReferences>
  <definedNames>
    <definedName name="boxmaterials">[1]!Table1[Material de construcție]</definedName>
    <definedName name="PHPP_Daten_Komponentensortierung">[2]Data!$A$194:$A$195</definedName>
    <definedName name="PHPP_Flaechen_Liste_Bauteile">[2]Areas!$AN$40:$AN$139</definedName>
    <definedName name="PHPP_Komponenten_Liste_Bauteilaufbauten">[2]Components!$FZ$12:$FZ$412</definedName>
    <definedName name="PHPP_Komponenten_Liste_Fensterrahmen">[2]Components!$GH$12:$GH$412</definedName>
    <definedName name="PHPP_Komponenten_Liste_Verglasung">[2]Components!$GD$12:$GD$412</definedName>
    <definedName name="PHPP_Komponenten_Liste_Waermerueckgewinnungsgeraet">[2]Components!$GL$12:$GL$412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26" l="1"/>
  <c r="AF16" i="26"/>
  <c r="AE16" i="26"/>
  <c r="AD16" i="26"/>
  <c r="AC16" i="26"/>
  <c r="AB16" i="26"/>
  <c r="AA16" i="26"/>
  <c r="Z16" i="26"/>
  <c r="AF15" i="26"/>
  <c r="AE15" i="26"/>
  <c r="AD15" i="26"/>
  <c r="AC15" i="26"/>
  <c r="AB15" i="26"/>
  <c r="AA15" i="26"/>
  <c r="Z15" i="26"/>
  <c r="AF10" i="26"/>
  <c r="AE10" i="26"/>
  <c r="AD10" i="26"/>
  <c r="AC10" i="26"/>
  <c r="AB10" i="26"/>
  <c r="AA10" i="26"/>
  <c r="Z10" i="26"/>
  <c r="AF9" i="26"/>
  <c r="AE9" i="26"/>
  <c r="AD9" i="26"/>
  <c r="AC9" i="26"/>
  <c r="AB9" i="26"/>
  <c r="AA9" i="26"/>
  <c r="Z9" i="26"/>
  <c r="C28" i="26"/>
  <c r="P78" i="34"/>
  <c r="E63" i="22"/>
  <c r="G26" i="22"/>
  <c r="F63" i="22"/>
  <c r="G63" i="22"/>
  <c r="H63" i="22"/>
  <c r="I63" i="22"/>
  <c r="J63" i="22"/>
  <c r="K63" i="22"/>
  <c r="G27" i="22"/>
  <c r="E58" i="34"/>
  <c r="O42" i="34"/>
  <c r="P42" i="34"/>
  <c r="Q42" i="34"/>
  <c r="R42" i="34"/>
  <c r="S42" i="34"/>
  <c r="T42" i="34"/>
  <c r="N42" i="34"/>
  <c r="O41" i="34"/>
  <c r="P41" i="34"/>
  <c r="Q41" i="34"/>
  <c r="R41" i="34"/>
  <c r="S41" i="34"/>
  <c r="T41" i="34"/>
  <c r="N41" i="34"/>
  <c r="T39" i="34"/>
  <c r="S39" i="34"/>
  <c r="R39" i="34"/>
  <c r="Q39" i="34"/>
  <c r="P39" i="34"/>
  <c r="O39" i="34"/>
  <c r="N39" i="34"/>
  <c r="T45" i="22"/>
  <c r="O45" i="22"/>
  <c r="P45" i="22"/>
  <c r="Q45" i="22"/>
  <c r="R45" i="22"/>
  <c r="S45" i="22"/>
  <c r="N45" i="22"/>
  <c r="O46" i="22"/>
  <c r="P46" i="22"/>
  <c r="Q46" i="22"/>
  <c r="R46" i="22"/>
  <c r="S46" i="22"/>
  <c r="T46" i="22"/>
  <c r="N46" i="22"/>
  <c r="M86" i="20" l="1"/>
  <c r="G41" i="8"/>
  <c r="E48" i="8"/>
  <c r="F41" i="8"/>
  <c r="O5" i="45"/>
  <c r="O6" i="45"/>
  <c r="O7" i="45"/>
  <c r="O8" i="45"/>
  <c r="O9" i="45"/>
  <c r="O10" i="45"/>
  <c r="O11" i="45"/>
  <c r="O12" i="45"/>
  <c r="O13" i="45"/>
  <c r="O14" i="45"/>
  <c r="O15" i="45"/>
  <c r="O16" i="45"/>
  <c r="O17" i="45"/>
  <c r="O18" i="45"/>
  <c r="C25" i="37"/>
  <c r="E29" i="37" l="1"/>
  <c r="C7" i="8"/>
  <c r="M10" i="20"/>
  <c r="M117" i="20"/>
  <c r="M85" i="20"/>
  <c r="M134" i="20"/>
  <c r="M133" i="20"/>
  <c r="M101" i="20"/>
  <c r="F102" i="20"/>
  <c r="F68" i="20"/>
  <c r="M7" i="20"/>
  <c r="M8" i="20"/>
  <c r="M9" i="20"/>
  <c r="M11" i="20"/>
  <c r="M12" i="20"/>
  <c r="M13" i="20"/>
  <c r="M115" i="20"/>
  <c r="F116" i="20"/>
  <c r="M72" i="20"/>
  <c r="M69" i="20"/>
  <c r="M68" i="20"/>
  <c r="M67" i="20"/>
  <c r="M132" i="20"/>
  <c r="M131" i="20"/>
  <c r="M130" i="20"/>
  <c r="M129" i="20"/>
  <c r="M128" i="20"/>
  <c r="F131" i="20"/>
  <c r="F132" i="20"/>
  <c r="F133" i="20"/>
  <c r="F130" i="20"/>
  <c r="F129" i="20"/>
  <c r="F128" i="20"/>
  <c r="M118" i="20"/>
  <c r="M114" i="20"/>
  <c r="M113" i="20"/>
  <c r="M112" i="20"/>
  <c r="F118" i="20"/>
  <c r="F113" i="20"/>
  <c r="F112" i="20"/>
  <c r="M103" i="20"/>
  <c r="M100" i="20"/>
  <c r="M99" i="20"/>
  <c r="M98" i="20"/>
  <c r="F103" i="20"/>
  <c r="F100" i="20"/>
  <c r="F99" i="20"/>
  <c r="F98" i="20"/>
  <c r="M87" i="20"/>
  <c r="M84" i="20"/>
  <c r="M83" i="20"/>
  <c r="M82" i="20"/>
  <c r="F87" i="20"/>
  <c r="F84" i="20"/>
  <c r="F83" i="20"/>
  <c r="F82" i="20"/>
  <c r="F72" i="20"/>
  <c r="F69" i="20"/>
  <c r="F67" i="20"/>
  <c r="M42" i="20"/>
  <c r="M40" i="20"/>
  <c r="M39" i="20"/>
  <c r="M38" i="20"/>
  <c r="M37" i="20"/>
  <c r="F42" i="20"/>
  <c r="F40" i="20"/>
  <c r="F39" i="20"/>
  <c r="F38" i="20"/>
  <c r="F37" i="20"/>
  <c r="M6" i="20"/>
  <c r="F11" i="20"/>
  <c r="F9" i="20"/>
  <c r="F8" i="20"/>
  <c r="F7" i="20"/>
  <c r="F6" i="20"/>
  <c r="M19" i="7"/>
  <c r="K77" i="19"/>
  <c r="D7" i="22"/>
  <c r="C18" i="8"/>
  <c r="C19" i="8"/>
  <c r="C20" i="8"/>
  <c r="C21" i="8"/>
  <c r="C22" i="8"/>
  <c r="C23" i="8"/>
  <c r="C24" i="8"/>
  <c r="C25" i="8"/>
  <c r="C26" i="8"/>
  <c r="C27" i="8"/>
  <c r="C28" i="8"/>
  <c r="C29" i="8"/>
  <c r="C17" i="8"/>
  <c r="E23" i="29"/>
  <c r="C23" i="29"/>
  <c r="B23" i="29"/>
  <c r="Q33" i="35"/>
  <c r="O33" i="34"/>
  <c r="C18" i="42" s="1"/>
  <c r="P33" i="34"/>
  <c r="C19" i="42" s="1"/>
  <c r="Q33" i="34"/>
  <c r="C13" i="42" s="1"/>
  <c r="R33" i="34"/>
  <c r="C14" i="42" s="1"/>
  <c r="S33" i="34"/>
  <c r="C15" i="42" s="1"/>
  <c r="T33" i="34"/>
  <c r="C16" i="42" s="1"/>
  <c r="N33" i="34"/>
  <c r="P20" i="10" s="1"/>
  <c r="H90" i="20"/>
  <c r="H89" i="20"/>
  <c r="V20" i="10" l="1"/>
  <c r="U20" i="10"/>
  <c r="S20" i="10"/>
  <c r="R20" i="10"/>
  <c r="T20" i="10"/>
  <c r="Q20" i="10"/>
  <c r="C17" i="42"/>
  <c r="D10" i="8"/>
  <c r="O10" i="20" l="1"/>
  <c r="D41" i="8"/>
  <c r="U5" i="7"/>
  <c r="U7" i="7"/>
  <c r="E45" i="8"/>
  <c r="E46" i="8"/>
  <c r="E41" i="8" s="1"/>
  <c r="E47" i="8"/>
  <c r="M8" i="7"/>
  <c r="M9" i="7"/>
  <c r="M10" i="7"/>
  <c r="M11" i="7"/>
  <c r="M12" i="7"/>
  <c r="M13" i="7"/>
  <c r="M14" i="7"/>
  <c r="M15" i="7"/>
  <c r="M16" i="7"/>
  <c r="M17" i="7"/>
  <c r="M18" i="7"/>
  <c r="M7" i="7"/>
  <c r="U8" i="7"/>
  <c r="L13" i="7" s="1"/>
  <c r="L7" i="7" l="1"/>
  <c r="L9" i="7"/>
  <c r="F17" i="7"/>
  <c r="F12" i="7"/>
  <c r="L16" i="7"/>
  <c r="I18" i="7"/>
  <c r="F18" i="7"/>
  <c r="F9" i="7"/>
  <c r="F11" i="7"/>
  <c r="I12" i="7"/>
  <c r="I13" i="7"/>
  <c r="F10" i="7"/>
  <c r="L8" i="7"/>
  <c r="I10" i="7"/>
  <c r="L14" i="7"/>
  <c r="F7" i="7"/>
  <c r="I11" i="7"/>
  <c r="L15" i="7"/>
  <c r="L17" i="7"/>
  <c r="F16" i="7"/>
  <c r="F8" i="7"/>
  <c r="I14" i="7"/>
  <c r="L10" i="7"/>
  <c r="L18" i="7"/>
  <c r="F15" i="7"/>
  <c r="I7" i="7"/>
  <c r="I15" i="7"/>
  <c r="L11" i="7"/>
  <c r="F14" i="7"/>
  <c r="I8" i="7"/>
  <c r="I16" i="7"/>
  <c r="L12" i="7"/>
  <c r="F13" i="7"/>
  <c r="I9" i="7"/>
  <c r="I17" i="7"/>
  <c r="O25" i="7" l="1"/>
  <c r="I12" i="38" l="1"/>
  <c r="C13" i="38"/>
  <c r="I13" i="38" s="1"/>
  <c r="F44" i="19"/>
  <c r="E104" i="20"/>
  <c r="O134" i="20" l="1"/>
  <c r="H102" i="20"/>
  <c r="L135" i="20"/>
  <c r="F7" i="41" l="1"/>
  <c r="G50" i="25"/>
  <c r="K17" i="29"/>
  <c r="I65" i="10"/>
  <c r="I58" i="10"/>
  <c r="I64" i="10" s="1"/>
  <c r="H15" i="20"/>
  <c r="O115" i="20" l="1"/>
  <c r="O16" i="20"/>
  <c r="O13" i="20"/>
  <c r="L14" i="20"/>
  <c r="O12" i="20"/>
  <c r="C9" i="8"/>
  <c r="D46" i="10"/>
  <c r="K5" i="28" l="1"/>
  <c r="U47" i="25" s="1"/>
  <c r="F50" i="25" l="1"/>
  <c r="I50" i="25"/>
  <c r="D19" i="7" l="1"/>
  <c r="E7" i="7"/>
  <c r="D18" i="11"/>
  <c r="H108" i="16"/>
  <c r="H109" i="16"/>
  <c r="H110" i="16"/>
  <c r="F58" i="16"/>
  <c r="H57" i="16"/>
  <c r="G57" i="16"/>
  <c r="E57" i="16"/>
  <c r="F57" i="16"/>
  <c r="C92" i="16"/>
  <c r="D92" i="16"/>
  <c r="E92" i="16"/>
  <c r="F41" i="16"/>
  <c r="L26" i="7"/>
  <c r="K25" i="7"/>
  <c r="L25" i="7"/>
  <c r="M36" i="7"/>
  <c r="L36" i="7"/>
  <c r="K36" i="7" s="1"/>
  <c r="I36" i="7"/>
  <c r="H36" i="7"/>
  <c r="F36" i="7"/>
  <c r="E36" i="7" s="1"/>
  <c r="M35" i="7"/>
  <c r="L35" i="7"/>
  <c r="K35" i="7"/>
  <c r="I35" i="7"/>
  <c r="H35" i="7" s="1"/>
  <c r="F35" i="7"/>
  <c r="E35" i="7" s="1"/>
  <c r="M34" i="7"/>
  <c r="L34" i="7"/>
  <c r="K34" i="7"/>
  <c r="I34" i="7"/>
  <c r="H34" i="7" s="1"/>
  <c r="F34" i="7"/>
  <c r="E34" i="7" s="1"/>
  <c r="M33" i="7"/>
  <c r="L33" i="7"/>
  <c r="K33" i="7" s="1"/>
  <c r="I33" i="7"/>
  <c r="H33" i="7"/>
  <c r="F33" i="7"/>
  <c r="E33" i="7"/>
  <c r="M32" i="7"/>
  <c r="L32" i="7"/>
  <c r="K32" i="7" s="1"/>
  <c r="I32" i="7"/>
  <c r="H32" i="7" s="1"/>
  <c r="F32" i="7"/>
  <c r="E32" i="7" s="1"/>
  <c r="M31" i="7"/>
  <c r="L31" i="7"/>
  <c r="K31" i="7"/>
  <c r="I31" i="7"/>
  <c r="H31" i="7"/>
  <c r="F31" i="7"/>
  <c r="E31" i="7" s="1"/>
  <c r="M30" i="7"/>
  <c r="L30" i="7"/>
  <c r="K30" i="7" s="1"/>
  <c r="I30" i="7"/>
  <c r="H30" i="7"/>
  <c r="F30" i="7"/>
  <c r="E30" i="7"/>
  <c r="M29" i="7"/>
  <c r="L29" i="7"/>
  <c r="K29" i="7" s="1"/>
  <c r="I29" i="7"/>
  <c r="H29" i="7" s="1"/>
  <c r="F29" i="7"/>
  <c r="E29" i="7" s="1"/>
  <c r="M28" i="7"/>
  <c r="L28" i="7"/>
  <c r="K28" i="7"/>
  <c r="I28" i="7"/>
  <c r="H28" i="7" s="1"/>
  <c r="F28" i="7"/>
  <c r="E28" i="7" s="1"/>
  <c r="M27" i="7"/>
  <c r="L27" i="7"/>
  <c r="K27" i="7" s="1"/>
  <c r="I27" i="7"/>
  <c r="H27" i="7" s="1"/>
  <c r="F27" i="7"/>
  <c r="E27" i="7" s="1"/>
  <c r="M26" i="7"/>
  <c r="K26" i="7"/>
  <c r="I26" i="7"/>
  <c r="H26" i="7" s="1"/>
  <c r="F26" i="7"/>
  <c r="E26" i="7" s="1"/>
  <c r="M25" i="7"/>
  <c r="I25" i="7"/>
  <c r="H25" i="7"/>
  <c r="F25" i="7"/>
  <c r="E25" i="7"/>
  <c r="K18" i="7"/>
  <c r="H18" i="7"/>
  <c r="E18" i="7"/>
  <c r="N17" i="7"/>
  <c r="K17" i="7"/>
  <c r="H17" i="7"/>
  <c r="E17" i="7"/>
  <c r="N16" i="7"/>
  <c r="K16" i="7"/>
  <c r="H16" i="7"/>
  <c r="E16" i="7"/>
  <c r="N15" i="7"/>
  <c r="K15" i="7"/>
  <c r="H15" i="7"/>
  <c r="E15" i="7"/>
  <c r="N14" i="7"/>
  <c r="K14" i="7"/>
  <c r="H14" i="7"/>
  <c r="E14" i="7"/>
  <c r="N13" i="7"/>
  <c r="K13" i="7"/>
  <c r="H13" i="7"/>
  <c r="E13" i="7"/>
  <c r="N12" i="7"/>
  <c r="K12" i="7"/>
  <c r="H12" i="7"/>
  <c r="E12" i="7"/>
  <c r="N11" i="7"/>
  <c r="K11" i="7"/>
  <c r="H11" i="7"/>
  <c r="E11" i="7"/>
  <c r="N10" i="7"/>
  <c r="K10" i="7"/>
  <c r="H10" i="7"/>
  <c r="E10" i="7"/>
  <c r="N9" i="7"/>
  <c r="K9" i="7"/>
  <c r="H9" i="7"/>
  <c r="E9" i="7"/>
  <c r="N8" i="7"/>
  <c r="K8" i="7"/>
  <c r="H8" i="7"/>
  <c r="E8" i="7"/>
  <c r="N7" i="7"/>
  <c r="K7" i="7"/>
  <c r="H7" i="7"/>
  <c r="I89" i="19"/>
  <c r="I88" i="19"/>
  <c r="I87" i="19"/>
  <c r="E89" i="19"/>
  <c r="E88" i="19"/>
  <c r="E87" i="19"/>
  <c r="AC73" i="19"/>
  <c r="AB73" i="19"/>
  <c r="AA73" i="19"/>
  <c r="Z73" i="19"/>
  <c r="T73" i="19"/>
  <c r="S73" i="19"/>
  <c r="R73" i="19"/>
  <c r="Q73" i="19"/>
  <c r="J73" i="19"/>
  <c r="I73" i="19"/>
  <c r="AC72" i="19"/>
  <c r="AB72" i="19"/>
  <c r="AA72" i="19"/>
  <c r="Z72" i="19"/>
  <c r="T72" i="19"/>
  <c r="S72" i="19"/>
  <c r="R72" i="19"/>
  <c r="Q72" i="19"/>
  <c r="J72" i="19"/>
  <c r="I72" i="19"/>
  <c r="AC71" i="19"/>
  <c r="AB71" i="19"/>
  <c r="AA71" i="19"/>
  <c r="Z71" i="19"/>
  <c r="T71" i="19"/>
  <c r="S71" i="19"/>
  <c r="R71" i="19"/>
  <c r="Q71" i="19"/>
  <c r="J71" i="19"/>
  <c r="I71" i="19"/>
  <c r="AC70" i="19"/>
  <c r="AB70" i="19"/>
  <c r="AA70" i="19"/>
  <c r="Z70" i="19"/>
  <c r="T70" i="19"/>
  <c r="S70" i="19"/>
  <c r="R70" i="19"/>
  <c r="Q70" i="19"/>
  <c r="J70" i="19"/>
  <c r="I70" i="19"/>
  <c r="AC69" i="19"/>
  <c r="AB69" i="19"/>
  <c r="AA69" i="19"/>
  <c r="Z69" i="19"/>
  <c r="T69" i="19"/>
  <c r="S69" i="19"/>
  <c r="R69" i="19"/>
  <c r="Q69" i="19"/>
  <c r="J69" i="19"/>
  <c r="I69" i="19"/>
  <c r="AC68" i="19"/>
  <c r="AB68" i="19"/>
  <c r="AA68" i="19"/>
  <c r="Z68" i="19"/>
  <c r="T68" i="19"/>
  <c r="S68" i="19"/>
  <c r="R68" i="19"/>
  <c r="Q68" i="19"/>
  <c r="J68" i="19"/>
  <c r="I68" i="19"/>
  <c r="AC67" i="19"/>
  <c r="AB67" i="19"/>
  <c r="AA67" i="19"/>
  <c r="Z67" i="19"/>
  <c r="T67" i="19"/>
  <c r="S67" i="19"/>
  <c r="R67" i="19"/>
  <c r="Q67" i="19"/>
  <c r="J67" i="19"/>
  <c r="I67" i="19"/>
  <c r="AC66" i="19"/>
  <c r="AB66" i="19"/>
  <c r="AA66" i="19"/>
  <c r="Z66" i="19"/>
  <c r="T66" i="19"/>
  <c r="S66" i="19"/>
  <c r="R66" i="19"/>
  <c r="Q66" i="19"/>
  <c r="J66" i="19"/>
  <c r="I66" i="19"/>
  <c r="AC65" i="19"/>
  <c r="AB65" i="19"/>
  <c r="AA65" i="19"/>
  <c r="Z65" i="19"/>
  <c r="T65" i="19"/>
  <c r="S65" i="19"/>
  <c r="R65" i="19"/>
  <c r="Q65" i="19"/>
  <c r="J65" i="19"/>
  <c r="I65" i="19"/>
  <c r="AC64" i="19"/>
  <c r="AB64" i="19"/>
  <c r="AA64" i="19"/>
  <c r="Z64" i="19"/>
  <c r="T64" i="19"/>
  <c r="S64" i="19"/>
  <c r="R64" i="19"/>
  <c r="Q64" i="19"/>
  <c r="J64" i="19"/>
  <c r="I64" i="19"/>
  <c r="AC63" i="19"/>
  <c r="AB63" i="19"/>
  <c r="AA63" i="19"/>
  <c r="Z63" i="19"/>
  <c r="T63" i="19"/>
  <c r="S63" i="19"/>
  <c r="R63" i="19"/>
  <c r="Q63" i="19"/>
  <c r="J63" i="19"/>
  <c r="I63" i="19"/>
  <c r="AC62" i="19"/>
  <c r="AB62" i="19"/>
  <c r="AA62" i="19"/>
  <c r="Z62" i="19"/>
  <c r="T62" i="19"/>
  <c r="S62" i="19"/>
  <c r="R62" i="19"/>
  <c r="Q62" i="19"/>
  <c r="J62" i="19"/>
  <c r="I62" i="19"/>
  <c r="AC61" i="19"/>
  <c r="AB61" i="19"/>
  <c r="AA61" i="19"/>
  <c r="Z61" i="19"/>
  <c r="T61" i="19"/>
  <c r="S61" i="19"/>
  <c r="R61" i="19"/>
  <c r="Q61" i="19"/>
  <c r="J61" i="19"/>
  <c r="I61" i="19"/>
  <c r="AC60" i="19"/>
  <c r="AB60" i="19"/>
  <c r="AA60" i="19"/>
  <c r="Z60" i="19"/>
  <c r="T60" i="19"/>
  <c r="S60" i="19"/>
  <c r="R60" i="19"/>
  <c r="Q60" i="19"/>
  <c r="J60" i="19"/>
  <c r="I60" i="19"/>
  <c r="AC59" i="19"/>
  <c r="AB59" i="19"/>
  <c r="AA59" i="19"/>
  <c r="Z59" i="19"/>
  <c r="T59" i="19"/>
  <c r="S59" i="19"/>
  <c r="R59" i="19"/>
  <c r="Q59" i="19"/>
  <c r="J59" i="19"/>
  <c r="I59" i="19"/>
  <c r="AC58" i="19"/>
  <c r="AB58" i="19"/>
  <c r="AA58" i="19"/>
  <c r="Z58" i="19"/>
  <c r="T58" i="19"/>
  <c r="S58" i="19"/>
  <c r="R58" i="19"/>
  <c r="Q58" i="19"/>
  <c r="J58" i="19"/>
  <c r="I58" i="19"/>
  <c r="AC57" i="19"/>
  <c r="AB57" i="19"/>
  <c r="AA57" i="19"/>
  <c r="Z57" i="19"/>
  <c r="T57" i="19"/>
  <c r="S57" i="19"/>
  <c r="R57" i="19"/>
  <c r="Q57" i="19"/>
  <c r="J57" i="19"/>
  <c r="I57" i="19"/>
  <c r="AC56" i="19"/>
  <c r="AB56" i="19"/>
  <c r="AA56" i="19"/>
  <c r="Z56" i="19"/>
  <c r="T56" i="19"/>
  <c r="S56" i="19"/>
  <c r="R56" i="19"/>
  <c r="Q56" i="19"/>
  <c r="J56" i="19"/>
  <c r="I56" i="19"/>
  <c r="AC55" i="19"/>
  <c r="AB55" i="19"/>
  <c r="AA55" i="19"/>
  <c r="Z55" i="19"/>
  <c r="T55" i="19"/>
  <c r="S55" i="19"/>
  <c r="R55" i="19"/>
  <c r="Q55" i="19"/>
  <c r="J55" i="19"/>
  <c r="I55" i="19"/>
  <c r="AC54" i="19"/>
  <c r="AB54" i="19"/>
  <c r="AA54" i="19"/>
  <c r="Z54" i="19"/>
  <c r="T54" i="19"/>
  <c r="S54" i="19"/>
  <c r="R54" i="19"/>
  <c r="Q54" i="19"/>
  <c r="J54" i="19"/>
  <c r="I54" i="19"/>
  <c r="AC53" i="19"/>
  <c r="AB53" i="19"/>
  <c r="AA53" i="19"/>
  <c r="Z53" i="19"/>
  <c r="T53" i="19"/>
  <c r="S53" i="19"/>
  <c r="R53" i="19"/>
  <c r="Q53" i="19"/>
  <c r="J53" i="19"/>
  <c r="I53" i="19"/>
  <c r="AC52" i="19"/>
  <c r="AB52" i="19"/>
  <c r="AA52" i="19"/>
  <c r="Z52" i="19"/>
  <c r="T52" i="19"/>
  <c r="S52" i="19"/>
  <c r="R52" i="19"/>
  <c r="Q52" i="19"/>
  <c r="J52" i="19"/>
  <c r="I52" i="19"/>
  <c r="AC51" i="19"/>
  <c r="AB51" i="19"/>
  <c r="AA51" i="19"/>
  <c r="Z51" i="19"/>
  <c r="T51" i="19"/>
  <c r="S51" i="19"/>
  <c r="R51" i="19"/>
  <c r="Q51" i="19"/>
  <c r="J51" i="19"/>
  <c r="I51" i="19"/>
  <c r="AC50" i="19"/>
  <c r="AB50" i="19"/>
  <c r="AA50" i="19"/>
  <c r="Z50" i="19"/>
  <c r="T50" i="19"/>
  <c r="S50" i="19"/>
  <c r="R50" i="19"/>
  <c r="Q50" i="19"/>
  <c r="J50" i="19"/>
  <c r="I50" i="19"/>
  <c r="AC49" i="19"/>
  <c r="AB49" i="19"/>
  <c r="AA49" i="19"/>
  <c r="Z49" i="19"/>
  <c r="T49" i="19"/>
  <c r="S49" i="19"/>
  <c r="R49" i="19"/>
  <c r="Q49" i="19"/>
  <c r="J49" i="19"/>
  <c r="I49" i="19"/>
  <c r="AC48" i="19"/>
  <c r="AB48" i="19"/>
  <c r="AA48" i="19"/>
  <c r="Z48" i="19"/>
  <c r="T48" i="19"/>
  <c r="S48" i="19"/>
  <c r="R48" i="19"/>
  <c r="Q48" i="19"/>
  <c r="J48" i="19"/>
  <c r="I48" i="19"/>
  <c r="AC47" i="19"/>
  <c r="AB47" i="19"/>
  <c r="AA47" i="19"/>
  <c r="Z47" i="19"/>
  <c r="T47" i="19"/>
  <c r="S47" i="19"/>
  <c r="R47" i="19"/>
  <c r="Q47" i="19"/>
  <c r="J47" i="19"/>
  <c r="I47" i="19"/>
  <c r="AC46" i="19"/>
  <c r="AB46" i="19"/>
  <c r="AA46" i="19"/>
  <c r="Z46" i="19"/>
  <c r="T46" i="19"/>
  <c r="S46" i="19"/>
  <c r="R46" i="19"/>
  <c r="Q46" i="19"/>
  <c r="J46" i="19"/>
  <c r="I46" i="19"/>
  <c r="AC45" i="19"/>
  <c r="AB45" i="19"/>
  <c r="AA45" i="19"/>
  <c r="Z45" i="19"/>
  <c r="T45" i="19"/>
  <c r="S45" i="19"/>
  <c r="R45" i="19"/>
  <c r="Q45" i="19"/>
  <c r="J45" i="19"/>
  <c r="I45" i="19"/>
  <c r="AC44" i="19"/>
  <c r="AB44" i="19"/>
  <c r="AA44" i="19"/>
  <c r="Z44" i="19"/>
  <c r="T44" i="19"/>
  <c r="S44" i="19"/>
  <c r="R44" i="19"/>
  <c r="Q44" i="19"/>
  <c r="J44" i="19"/>
  <c r="I44" i="19"/>
  <c r="AC43" i="19"/>
  <c r="AB43" i="19"/>
  <c r="AA43" i="19"/>
  <c r="Z43" i="19"/>
  <c r="T43" i="19"/>
  <c r="S43" i="19"/>
  <c r="R43" i="19"/>
  <c r="Q43" i="19"/>
  <c r="F43" i="19"/>
  <c r="J43" i="19" s="1"/>
  <c r="AC42" i="19"/>
  <c r="AB42" i="19"/>
  <c r="AA42" i="19"/>
  <c r="Z42" i="19"/>
  <c r="T42" i="19"/>
  <c r="S42" i="19"/>
  <c r="R42" i="19"/>
  <c r="Q42" i="19"/>
  <c r="J42" i="19"/>
  <c r="I42" i="19"/>
  <c r="AC41" i="19"/>
  <c r="AB41" i="19"/>
  <c r="AA41" i="19"/>
  <c r="Z41" i="19"/>
  <c r="T41" i="19"/>
  <c r="S41" i="19"/>
  <c r="R41" i="19"/>
  <c r="Q41" i="19"/>
  <c r="J41" i="19"/>
  <c r="I41" i="19"/>
  <c r="AC40" i="19"/>
  <c r="AB40" i="19"/>
  <c r="AA40" i="19"/>
  <c r="Z40" i="19"/>
  <c r="T40" i="19"/>
  <c r="S40" i="19"/>
  <c r="R40" i="19"/>
  <c r="Q40" i="19"/>
  <c r="J40" i="19"/>
  <c r="I40" i="19"/>
  <c r="AC39" i="19"/>
  <c r="AB39" i="19"/>
  <c r="AA39" i="19"/>
  <c r="Z39" i="19"/>
  <c r="T39" i="19"/>
  <c r="S39" i="19"/>
  <c r="R39" i="19"/>
  <c r="Q39" i="19"/>
  <c r="J39" i="19"/>
  <c r="I39" i="19"/>
  <c r="AC38" i="19"/>
  <c r="AB38" i="19"/>
  <c r="AA38" i="19"/>
  <c r="Z38" i="19"/>
  <c r="T38" i="19"/>
  <c r="S38" i="19"/>
  <c r="R38" i="19"/>
  <c r="Q38" i="19"/>
  <c r="J38" i="19"/>
  <c r="I38" i="19"/>
  <c r="AC37" i="19"/>
  <c r="AB37" i="19"/>
  <c r="AA37" i="19"/>
  <c r="Z37" i="19"/>
  <c r="T37" i="19"/>
  <c r="S37" i="19"/>
  <c r="R37" i="19"/>
  <c r="Q37" i="19"/>
  <c r="J37" i="19"/>
  <c r="I37" i="19"/>
  <c r="AC36" i="19"/>
  <c r="AB36" i="19"/>
  <c r="AA36" i="19"/>
  <c r="Z36" i="19"/>
  <c r="T36" i="19"/>
  <c r="S36" i="19"/>
  <c r="R36" i="19"/>
  <c r="Q36" i="19"/>
  <c r="J36" i="19"/>
  <c r="I36" i="19"/>
  <c r="AC35" i="19"/>
  <c r="AB35" i="19"/>
  <c r="AA35" i="19"/>
  <c r="Z35" i="19"/>
  <c r="T35" i="19"/>
  <c r="S35" i="19"/>
  <c r="R35" i="19"/>
  <c r="Q35" i="19"/>
  <c r="J35" i="19"/>
  <c r="I35" i="19"/>
  <c r="AC34" i="19"/>
  <c r="AB34" i="19"/>
  <c r="AA34" i="19"/>
  <c r="Z34" i="19"/>
  <c r="T34" i="19"/>
  <c r="S34" i="19"/>
  <c r="R34" i="19"/>
  <c r="Q34" i="19"/>
  <c r="J34" i="19"/>
  <c r="I34" i="19"/>
  <c r="AC33" i="19"/>
  <c r="AB33" i="19"/>
  <c r="AA33" i="19"/>
  <c r="Z33" i="19"/>
  <c r="T33" i="19"/>
  <c r="S33" i="19"/>
  <c r="R33" i="19"/>
  <c r="Q33" i="19"/>
  <c r="J33" i="19"/>
  <c r="I33" i="19"/>
  <c r="AC32" i="19"/>
  <c r="AB32" i="19"/>
  <c r="AA32" i="19"/>
  <c r="Z32" i="19"/>
  <c r="T32" i="19"/>
  <c r="S32" i="19"/>
  <c r="R32" i="19"/>
  <c r="Q32" i="19"/>
  <c r="J32" i="19"/>
  <c r="I32" i="19"/>
  <c r="AC31" i="19"/>
  <c r="AB31" i="19"/>
  <c r="AA31" i="19"/>
  <c r="Z31" i="19"/>
  <c r="T31" i="19"/>
  <c r="S31" i="19"/>
  <c r="R31" i="19"/>
  <c r="Q31" i="19"/>
  <c r="J31" i="19"/>
  <c r="I31" i="19"/>
  <c r="AC30" i="19"/>
  <c r="AB30" i="19"/>
  <c r="AA30" i="19"/>
  <c r="Z30" i="19"/>
  <c r="T30" i="19"/>
  <c r="S30" i="19"/>
  <c r="R30" i="19"/>
  <c r="Q30" i="19"/>
  <c r="J30" i="19"/>
  <c r="I30" i="19"/>
  <c r="AC29" i="19"/>
  <c r="AB29" i="19"/>
  <c r="AA29" i="19"/>
  <c r="Z29" i="19"/>
  <c r="T29" i="19"/>
  <c r="S29" i="19"/>
  <c r="R29" i="19"/>
  <c r="Q29" i="19"/>
  <c r="J29" i="19"/>
  <c r="I29" i="19"/>
  <c r="AC28" i="19"/>
  <c r="AB28" i="19"/>
  <c r="AA28" i="19"/>
  <c r="Z28" i="19"/>
  <c r="T28" i="19"/>
  <c r="S28" i="19"/>
  <c r="R28" i="19"/>
  <c r="Q28" i="19"/>
  <c r="J28" i="19"/>
  <c r="I28" i="19"/>
  <c r="AC27" i="19"/>
  <c r="AB27" i="19"/>
  <c r="AA27" i="19"/>
  <c r="Z27" i="19"/>
  <c r="T27" i="19"/>
  <c r="S27" i="19"/>
  <c r="R27" i="19"/>
  <c r="Q27" i="19"/>
  <c r="J27" i="19"/>
  <c r="I27" i="19"/>
  <c r="AC26" i="19"/>
  <c r="AB26" i="19"/>
  <c r="AA26" i="19"/>
  <c r="Z26" i="19"/>
  <c r="T26" i="19"/>
  <c r="S26" i="19"/>
  <c r="R26" i="19"/>
  <c r="Q26" i="19"/>
  <c r="J26" i="19"/>
  <c r="I26" i="19"/>
  <c r="AC25" i="19"/>
  <c r="AB25" i="19"/>
  <c r="AA25" i="19"/>
  <c r="Z25" i="19"/>
  <c r="T25" i="19"/>
  <c r="S25" i="19"/>
  <c r="R25" i="19"/>
  <c r="Q25" i="19"/>
  <c r="J25" i="19"/>
  <c r="I25" i="19"/>
  <c r="AC24" i="19"/>
  <c r="AB24" i="19"/>
  <c r="AA24" i="19"/>
  <c r="Z24" i="19"/>
  <c r="T24" i="19"/>
  <c r="S24" i="19"/>
  <c r="R24" i="19"/>
  <c r="Q24" i="19"/>
  <c r="J24" i="19"/>
  <c r="I24" i="19"/>
  <c r="AC23" i="19"/>
  <c r="AB23" i="19"/>
  <c r="AA23" i="19"/>
  <c r="Z23" i="19"/>
  <c r="T23" i="19"/>
  <c r="S23" i="19"/>
  <c r="R23" i="19"/>
  <c r="Q23" i="19"/>
  <c r="AC22" i="19"/>
  <c r="AB22" i="19"/>
  <c r="AA22" i="19"/>
  <c r="Z22" i="19"/>
  <c r="T22" i="19"/>
  <c r="S22" i="19"/>
  <c r="R22" i="19"/>
  <c r="Q22" i="19"/>
  <c r="AC21" i="19"/>
  <c r="AB21" i="19"/>
  <c r="AA21" i="19"/>
  <c r="Z21" i="19"/>
  <c r="T21" i="19"/>
  <c r="S21" i="19"/>
  <c r="R21" i="19"/>
  <c r="Q21" i="19"/>
  <c r="J21" i="19"/>
  <c r="I21" i="19"/>
  <c r="AC20" i="19"/>
  <c r="AB20" i="19"/>
  <c r="AA20" i="19"/>
  <c r="Z20" i="19"/>
  <c r="T20" i="19"/>
  <c r="S20" i="19"/>
  <c r="R20" i="19"/>
  <c r="Q20" i="19"/>
  <c r="J20" i="19"/>
  <c r="I20" i="19"/>
  <c r="AC19" i="19"/>
  <c r="AB19" i="19"/>
  <c r="AA19" i="19"/>
  <c r="Z19" i="19"/>
  <c r="T19" i="19"/>
  <c r="S19" i="19"/>
  <c r="R19" i="19"/>
  <c r="Q19" i="19"/>
  <c r="J19" i="19"/>
  <c r="I19" i="19"/>
  <c r="AC18" i="19"/>
  <c r="AB18" i="19"/>
  <c r="AA18" i="19"/>
  <c r="Z18" i="19"/>
  <c r="T18" i="19"/>
  <c r="S18" i="19"/>
  <c r="R18" i="19"/>
  <c r="Q18" i="19"/>
  <c r="J18" i="19"/>
  <c r="I18" i="19"/>
  <c r="AC17" i="19"/>
  <c r="AB17" i="19"/>
  <c r="AA17" i="19"/>
  <c r="Z17" i="19"/>
  <c r="T17" i="19"/>
  <c r="S17" i="19"/>
  <c r="R17" i="19"/>
  <c r="Q17" i="19"/>
  <c r="J17" i="19"/>
  <c r="I17" i="19"/>
  <c r="AC16" i="19"/>
  <c r="AB16" i="19"/>
  <c r="AA16" i="19"/>
  <c r="Z16" i="19"/>
  <c r="T16" i="19"/>
  <c r="S16" i="19"/>
  <c r="R16" i="19"/>
  <c r="Q16" i="19"/>
  <c r="J16" i="19"/>
  <c r="I16" i="19"/>
  <c r="AC15" i="19"/>
  <c r="AB15" i="19"/>
  <c r="AA15" i="19"/>
  <c r="Z15" i="19"/>
  <c r="T15" i="19"/>
  <c r="S15" i="19"/>
  <c r="R15" i="19"/>
  <c r="Q15" i="19"/>
  <c r="J15" i="19"/>
  <c r="I15" i="19"/>
  <c r="AC14" i="19"/>
  <c r="AB14" i="19"/>
  <c r="AA14" i="19"/>
  <c r="Z14" i="19"/>
  <c r="T14" i="19"/>
  <c r="S14" i="19"/>
  <c r="R14" i="19"/>
  <c r="Q14" i="19"/>
  <c r="J14" i="19"/>
  <c r="I14" i="19"/>
  <c r="AC13" i="19"/>
  <c r="AB13" i="19"/>
  <c r="AA13" i="19"/>
  <c r="Z13" i="19"/>
  <c r="T13" i="19"/>
  <c r="S13" i="19"/>
  <c r="R13" i="19"/>
  <c r="Q13" i="19"/>
  <c r="J13" i="19"/>
  <c r="I13" i="19"/>
  <c r="AC12" i="19"/>
  <c r="AB12" i="19"/>
  <c r="AA12" i="19"/>
  <c r="Z12" i="19"/>
  <c r="T12" i="19"/>
  <c r="S12" i="19"/>
  <c r="R12" i="19"/>
  <c r="Q12" i="19"/>
  <c r="J12" i="19"/>
  <c r="I12" i="19"/>
  <c r="AC11" i="19"/>
  <c r="AB11" i="19"/>
  <c r="AA11" i="19"/>
  <c r="Z11" i="19"/>
  <c r="T11" i="19"/>
  <c r="S11" i="19"/>
  <c r="R11" i="19"/>
  <c r="Q11" i="19"/>
  <c r="J11" i="19"/>
  <c r="I11" i="19"/>
  <c r="AC10" i="19"/>
  <c r="AB10" i="19"/>
  <c r="AA10" i="19"/>
  <c r="Z10" i="19"/>
  <c r="T10" i="19"/>
  <c r="S10" i="19"/>
  <c r="R10" i="19"/>
  <c r="Q10" i="19"/>
  <c r="J10" i="19"/>
  <c r="G10" i="19"/>
  <c r="I10" i="19" s="1"/>
  <c r="AC9" i="19"/>
  <c r="AB9" i="19"/>
  <c r="AA9" i="19"/>
  <c r="Z9" i="19"/>
  <c r="T9" i="19"/>
  <c r="S9" i="19"/>
  <c r="R9" i="19"/>
  <c r="Q9" i="19"/>
  <c r="J9" i="19"/>
  <c r="I9" i="19"/>
  <c r="AC8" i="19"/>
  <c r="AB8" i="19"/>
  <c r="AA8" i="19"/>
  <c r="Z8" i="19"/>
  <c r="T8" i="19"/>
  <c r="S8" i="19"/>
  <c r="R8" i="19"/>
  <c r="Q8" i="19"/>
  <c r="J8" i="19"/>
  <c r="I8" i="19"/>
  <c r="AC7" i="19"/>
  <c r="AB7" i="19"/>
  <c r="AA7" i="19"/>
  <c r="Z7" i="19"/>
  <c r="T7" i="19"/>
  <c r="S7" i="19"/>
  <c r="R7" i="19"/>
  <c r="Q7" i="19"/>
  <c r="J7" i="19"/>
  <c r="G7" i="19"/>
  <c r="I7" i="19" s="1"/>
  <c r="H5" i="36"/>
  <c r="D18" i="8" s="1"/>
  <c r="H6" i="36"/>
  <c r="D19" i="8" s="1"/>
  <c r="D20" i="8"/>
  <c r="D21" i="8"/>
  <c r="D22" i="8"/>
  <c r="D23" i="8"/>
  <c r="D25" i="8"/>
  <c r="D28" i="8"/>
  <c r="D29" i="8"/>
  <c r="H4" i="36"/>
  <c r="D17" i="8" s="1"/>
  <c r="E45" i="10" l="1"/>
  <c r="G45" i="10" s="1"/>
  <c r="E37" i="10"/>
  <c r="G37" i="10" s="1"/>
  <c r="G87" i="19"/>
  <c r="C4" i="37"/>
  <c r="K60" i="19"/>
  <c r="K68" i="19"/>
  <c r="K73" i="19"/>
  <c r="K8" i="19"/>
  <c r="I43" i="19"/>
  <c r="K52" i="19"/>
  <c r="K29" i="19"/>
  <c r="K31" i="19"/>
  <c r="K44" i="19"/>
  <c r="K13" i="19"/>
  <c r="K12" i="19"/>
  <c r="K55" i="19"/>
  <c r="K56" i="19"/>
  <c r="K59" i="19"/>
  <c r="K63" i="19"/>
  <c r="K67" i="19"/>
  <c r="K71" i="19"/>
  <c r="K72" i="19"/>
  <c r="K62" i="19"/>
  <c r="K32" i="19"/>
  <c r="K38" i="19"/>
  <c r="K48" i="19"/>
  <c r="K25" i="19"/>
  <c r="K14" i="19"/>
  <c r="K34" i="19"/>
  <c r="K66" i="19"/>
  <c r="K21" i="19"/>
  <c r="K28" i="19"/>
  <c r="K39" i="19"/>
  <c r="K53" i="19"/>
  <c r="K17" i="19"/>
  <c r="K18" i="19"/>
  <c r="K26" i="19"/>
  <c r="K41" i="19"/>
  <c r="K57" i="19"/>
  <c r="K10" i="19"/>
  <c r="K49" i="19"/>
  <c r="K70" i="19"/>
  <c r="K11" i="19"/>
  <c r="K27" i="19"/>
  <c r="K40" i="19"/>
  <c r="K42" i="19"/>
  <c r="K50" i="19"/>
  <c r="K65" i="19"/>
  <c r="K7" i="19"/>
  <c r="K16" i="19"/>
  <c r="K33" i="19"/>
  <c r="K64" i="19"/>
  <c r="K9" i="19"/>
  <c r="K19" i="19"/>
  <c r="K35" i="19"/>
  <c r="K36" i="19"/>
  <c r="K43" i="19"/>
  <c r="K58" i="19"/>
  <c r="K20" i="19"/>
  <c r="K37" i="19"/>
  <c r="K46" i="19"/>
  <c r="K61" i="19"/>
  <c r="K15" i="19"/>
  <c r="K24" i="19"/>
  <c r="K30" i="19"/>
  <c r="K45" i="19"/>
  <c r="K47" i="19"/>
  <c r="K51" i="19"/>
  <c r="K54" i="19"/>
  <c r="K69" i="19"/>
  <c r="N18" i="7"/>
  <c r="C5" i="10"/>
  <c r="E58" i="10" l="1"/>
  <c r="G76" i="10"/>
  <c r="B92" i="16"/>
  <c r="B93" i="16"/>
  <c r="B94" i="16"/>
  <c r="B95" i="16"/>
  <c r="H33" i="29"/>
  <c r="G33" i="29"/>
  <c r="I33" i="29" s="1"/>
  <c r="F33" i="29"/>
  <c r="H32" i="29"/>
  <c r="G32" i="29"/>
  <c r="I32" i="29" s="1"/>
  <c r="F32" i="29"/>
  <c r="H31" i="29"/>
  <c r="G31" i="29"/>
  <c r="I31" i="29" s="1"/>
  <c r="F31" i="29"/>
  <c r="H30" i="29"/>
  <c r="G30" i="29"/>
  <c r="I30" i="29" s="1"/>
  <c r="F30" i="29"/>
  <c r="H29" i="29"/>
  <c r="G29" i="29"/>
  <c r="I29" i="29" s="1"/>
  <c r="F29" i="29"/>
  <c r="H28" i="29"/>
  <c r="G28" i="29"/>
  <c r="I28" i="29" s="1"/>
  <c r="F28" i="29"/>
  <c r="H27" i="29"/>
  <c r="G27" i="29"/>
  <c r="I27" i="29" s="1"/>
  <c r="F27" i="29"/>
  <c r="H26" i="29"/>
  <c r="G26" i="29"/>
  <c r="I26" i="29" s="1"/>
  <c r="F26" i="29"/>
  <c r="H25" i="29"/>
  <c r="G25" i="29"/>
  <c r="I25" i="29" s="1"/>
  <c r="F25" i="29"/>
  <c r="H24" i="29"/>
  <c r="G24" i="29"/>
  <c r="I24" i="29" s="1"/>
  <c r="F24" i="29"/>
  <c r="H23" i="29"/>
  <c r="G23" i="29"/>
  <c r="I23" i="29" s="1"/>
  <c r="F23" i="29"/>
  <c r="E86" i="16" l="1"/>
  <c r="F86" i="16" s="1"/>
  <c r="K86" i="16" s="1"/>
  <c r="K23" i="29"/>
  <c r="K34" i="29" s="1"/>
  <c r="K26" i="29"/>
  <c r="K32" i="29"/>
  <c r="K25" i="29"/>
  <c r="K28" i="29"/>
  <c r="K30" i="29"/>
  <c r="K33" i="29"/>
  <c r="K35" i="29"/>
  <c r="K29" i="29"/>
  <c r="K27" i="29"/>
  <c r="K31" i="29"/>
  <c r="K36" i="29" l="1"/>
  <c r="C4" i="16" l="1"/>
  <c r="F6" i="41" l="1"/>
  <c r="G10" i="26"/>
  <c r="H10" i="26" s="1"/>
  <c r="I17" i="26"/>
  <c r="J17" i="26"/>
  <c r="E17" i="26"/>
  <c r="M68" i="16"/>
  <c r="M82" i="16"/>
  <c r="M84" i="16"/>
  <c r="M88" i="16"/>
  <c r="M96" i="16"/>
  <c r="M18" i="16"/>
  <c r="M32" i="16"/>
  <c r="M34" i="16"/>
  <c r="M37" i="16"/>
  <c r="M46" i="16"/>
  <c r="I89" i="16"/>
  <c r="J89" i="16"/>
  <c r="H97" i="16"/>
  <c r="H98" i="16"/>
  <c r="G98" i="16"/>
  <c r="G97" i="16"/>
  <c r="J97" i="16"/>
  <c r="J98" i="16"/>
  <c r="I98" i="16"/>
  <c r="I97" i="16"/>
  <c r="O36" i="34"/>
  <c r="P36" i="34"/>
  <c r="Q36" i="34"/>
  <c r="R36" i="34"/>
  <c r="S36" i="34"/>
  <c r="T36" i="34"/>
  <c r="N36" i="34"/>
  <c r="O40" i="22"/>
  <c r="P40" i="22"/>
  <c r="Q40" i="22"/>
  <c r="R40" i="22"/>
  <c r="S40" i="22"/>
  <c r="T40" i="22"/>
  <c r="N40" i="22"/>
  <c r="D12" i="11"/>
  <c r="J8" i="14" s="1"/>
  <c r="G17" i="26" l="1"/>
  <c r="H17" i="26" s="1"/>
  <c r="K17" i="26"/>
  <c r="L17" i="26" s="1"/>
  <c r="K10" i="26"/>
  <c r="D12" i="28"/>
  <c r="G5" i="28"/>
  <c r="G11" i="28" s="1"/>
  <c r="D5" i="28"/>
  <c r="C37" i="10"/>
  <c r="C5" i="28" s="1"/>
  <c r="N77" i="34"/>
  <c r="N78" i="34"/>
  <c r="O75" i="20"/>
  <c r="L73" i="20"/>
  <c r="O72" i="20"/>
  <c r="M71" i="20"/>
  <c r="O71" i="20" s="1"/>
  <c r="M70" i="20"/>
  <c r="O70" i="20" s="1"/>
  <c r="O69" i="20"/>
  <c r="O68" i="20"/>
  <c r="O67" i="20"/>
  <c r="C11" i="28" l="1"/>
  <c r="C9" i="26"/>
  <c r="O73" i="20"/>
  <c r="F28" i="22"/>
  <c r="D28" i="22"/>
  <c r="F26" i="22"/>
  <c r="D26" i="22"/>
  <c r="E22" i="22"/>
  <c r="E22" i="34" s="1"/>
  <c r="D22" i="22"/>
  <c r="D21" i="22"/>
  <c r="O133" i="20"/>
  <c r="O132" i="20"/>
  <c r="O131" i="20"/>
  <c r="O130" i="20"/>
  <c r="O129" i="20"/>
  <c r="O128" i="20"/>
  <c r="H132" i="20"/>
  <c r="E135" i="20"/>
  <c r="H133" i="20"/>
  <c r="H131" i="20"/>
  <c r="H130" i="20"/>
  <c r="H129" i="20"/>
  <c r="H128" i="20"/>
  <c r="L119" i="20"/>
  <c r="O118" i="20"/>
  <c r="O117" i="20"/>
  <c r="M116" i="20"/>
  <c r="O116" i="20" s="1"/>
  <c r="O114" i="20"/>
  <c r="O113" i="20"/>
  <c r="O112" i="20"/>
  <c r="E119" i="20"/>
  <c r="H118" i="20"/>
  <c r="F117" i="20"/>
  <c r="H117" i="20" s="1"/>
  <c r="H116" i="20"/>
  <c r="H114" i="20"/>
  <c r="H113" i="20"/>
  <c r="H112" i="20"/>
  <c r="D14" i="22"/>
  <c r="D18" i="22"/>
  <c r="L104" i="20"/>
  <c r="O103" i="20"/>
  <c r="M102" i="20"/>
  <c r="O102" i="20" s="1"/>
  <c r="O101" i="20"/>
  <c r="O100" i="20"/>
  <c r="O99" i="20"/>
  <c r="O98" i="20"/>
  <c r="O106" i="20"/>
  <c r="O105" i="20"/>
  <c r="H103" i="20"/>
  <c r="F101" i="20"/>
  <c r="H101" i="20" s="1"/>
  <c r="H100" i="20"/>
  <c r="H99" i="20"/>
  <c r="H98" i="20"/>
  <c r="O90" i="20"/>
  <c r="O89" i="20"/>
  <c r="L88" i="20"/>
  <c r="O87" i="20"/>
  <c r="O86" i="20"/>
  <c r="O85" i="20"/>
  <c r="O84" i="20"/>
  <c r="O83" i="20"/>
  <c r="O82" i="20"/>
  <c r="E88" i="20"/>
  <c r="H87" i="20"/>
  <c r="F86" i="20"/>
  <c r="H86" i="20" s="1"/>
  <c r="F85" i="20"/>
  <c r="H85" i="20" s="1"/>
  <c r="H84" i="20"/>
  <c r="H83" i="20"/>
  <c r="H82" i="20"/>
  <c r="D11" i="22"/>
  <c r="D11" i="34" s="1"/>
  <c r="D9" i="22"/>
  <c r="D9" i="34" s="1"/>
  <c r="H75" i="20"/>
  <c r="H121" i="20" s="1"/>
  <c r="O121" i="20" s="1"/>
  <c r="H74" i="20"/>
  <c r="E73" i="20"/>
  <c r="H72" i="20"/>
  <c r="F71" i="20"/>
  <c r="H71" i="20" s="1"/>
  <c r="F70" i="20"/>
  <c r="H70" i="20" s="1"/>
  <c r="H69" i="20"/>
  <c r="H68" i="20"/>
  <c r="H67" i="20"/>
  <c r="H16" i="20"/>
  <c r="H45" i="20"/>
  <c r="O45" i="20" s="1"/>
  <c r="H44" i="20"/>
  <c r="O44" i="20" s="1"/>
  <c r="L43" i="20"/>
  <c r="O42" i="20"/>
  <c r="M41" i="20"/>
  <c r="O41" i="20" s="1"/>
  <c r="O40" i="20"/>
  <c r="O39" i="20"/>
  <c r="O38" i="20"/>
  <c r="O37" i="20"/>
  <c r="E43" i="20"/>
  <c r="H42" i="20"/>
  <c r="F41" i="20"/>
  <c r="H41" i="20" s="1"/>
  <c r="H40" i="20"/>
  <c r="H39" i="20"/>
  <c r="H38" i="20"/>
  <c r="H37" i="20"/>
  <c r="O15" i="20"/>
  <c r="O11" i="20"/>
  <c r="O9" i="20"/>
  <c r="O8" i="20"/>
  <c r="O7" i="20"/>
  <c r="O6" i="20"/>
  <c r="E14" i="20"/>
  <c r="H11" i="20"/>
  <c r="F10" i="20"/>
  <c r="H10" i="20" s="1"/>
  <c r="H9" i="20"/>
  <c r="H8" i="20"/>
  <c r="H7" i="20"/>
  <c r="H6" i="20"/>
  <c r="O74" i="20" l="1"/>
  <c r="H120" i="20"/>
  <c r="O120" i="20" s="1"/>
  <c r="H14" i="20"/>
  <c r="H17" i="20" s="1"/>
  <c r="O76" i="20"/>
  <c r="F11" i="34" s="1"/>
  <c r="O14" i="20"/>
  <c r="O17" i="20" s="1"/>
  <c r="F7" i="34" s="1"/>
  <c r="H119" i="20"/>
  <c r="H122" i="20" s="1"/>
  <c r="F21" i="22" s="1"/>
  <c r="O119" i="20"/>
  <c r="O122" i="20" s="1"/>
  <c r="F21" i="34" s="1"/>
  <c r="C37" i="25"/>
  <c r="C16" i="26"/>
  <c r="D47" i="22"/>
  <c r="O135" i="20"/>
  <c r="O138" i="20" s="1"/>
  <c r="H135" i="20"/>
  <c r="H138" i="20" s="1"/>
  <c r="O104" i="20"/>
  <c r="O107" i="20" s="1"/>
  <c r="H104" i="20"/>
  <c r="H107" i="20" s="1"/>
  <c r="F14" i="22" s="1"/>
  <c r="O88" i="20"/>
  <c r="O91" i="20" s="1"/>
  <c r="F18" i="34" s="1"/>
  <c r="H88" i="20"/>
  <c r="H91" i="20" s="1"/>
  <c r="F18" i="22" s="1"/>
  <c r="H73" i="20"/>
  <c r="H76" i="20" s="1"/>
  <c r="F11" i="22" s="1"/>
  <c r="O43" i="20"/>
  <c r="O46" i="20" s="1"/>
  <c r="F9" i="34" s="1"/>
  <c r="H43" i="20"/>
  <c r="H46" i="20" s="1"/>
  <c r="F9" i="22" s="1"/>
  <c r="F7" i="22"/>
  <c r="C54" i="16"/>
  <c r="H107" i="16"/>
  <c r="F98" i="16"/>
  <c r="F97" i="16"/>
  <c r="M97" i="16" s="1"/>
  <c r="K55" i="16"/>
  <c r="K99" i="16"/>
  <c r="C55" i="16"/>
  <c r="C56" i="16"/>
  <c r="D56" i="16"/>
  <c r="E56" i="16"/>
  <c r="G56" i="16"/>
  <c r="H56" i="16"/>
  <c r="I56" i="16"/>
  <c r="J56" i="16"/>
  <c r="C57" i="16"/>
  <c r="D57" i="16"/>
  <c r="I57" i="16"/>
  <c r="J57" i="16"/>
  <c r="J58" i="16"/>
  <c r="C59" i="16"/>
  <c r="D59" i="16"/>
  <c r="E59" i="16"/>
  <c r="G59" i="16"/>
  <c r="H59" i="16"/>
  <c r="I59" i="16"/>
  <c r="J59" i="16"/>
  <c r="C60" i="16"/>
  <c r="D60" i="16"/>
  <c r="E60" i="16"/>
  <c r="G60" i="16"/>
  <c r="H60" i="16"/>
  <c r="I60" i="16"/>
  <c r="J60" i="16"/>
  <c r="C61" i="16"/>
  <c r="D61" i="16"/>
  <c r="E61" i="16"/>
  <c r="G61" i="16"/>
  <c r="H61" i="16"/>
  <c r="I61" i="16"/>
  <c r="J61" i="16"/>
  <c r="C62" i="16"/>
  <c r="D62" i="16"/>
  <c r="E62" i="16"/>
  <c r="G62" i="16"/>
  <c r="H62" i="16"/>
  <c r="I62" i="16"/>
  <c r="J62" i="16"/>
  <c r="C63" i="16"/>
  <c r="D63" i="16"/>
  <c r="E63" i="16"/>
  <c r="G63" i="16"/>
  <c r="H63" i="16"/>
  <c r="I63" i="16"/>
  <c r="J63" i="16"/>
  <c r="C64" i="16"/>
  <c r="D64" i="16"/>
  <c r="E64" i="16"/>
  <c r="G64" i="16"/>
  <c r="H64" i="16"/>
  <c r="I64" i="16"/>
  <c r="J64" i="16"/>
  <c r="C65" i="16"/>
  <c r="D65" i="16"/>
  <c r="E65" i="16"/>
  <c r="G65" i="16"/>
  <c r="H65" i="16"/>
  <c r="I65" i="16"/>
  <c r="J65" i="16"/>
  <c r="C66" i="16"/>
  <c r="D66" i="16"/>
  <c r="E66" i="16"/>
  <c r="G66" i="16"/>
  <c r="H66" i="16"/>
  <c r="I66" i="16"/>
  <c r="J66" i="16"/>
  <c r="C67" i="16"/>
  <c r="D67" i="16"/>
  <c r="E67" i="16"/>
  <c r="G67" i="16"/>
  <c r="H67" i="16"/>
  <c r="I67" i="16"/>
  <c r="J67" i="16"/>
  <c r="C68" i="16"/>
  <c r="C69" i="16"/>
  <c r="D69" i="16"/>
  <c r="E69" i="16"/>
  <c r="G69" i="16"/>
  <c r="H69" i="16"/>
  <c r="I69" i="16"/>
  <c r="J69" i="16"/>
  <c r="C70" i="16"/>
  <c r="D70" i="16"/>
  <c r="E70" i="16"/>
  <c r="G70" i="16"/>
  <c r="H70" i="16"/>
  <c r="I70" i="16"/>
  <c r="J70" i="16"/>
  <c r="C71" i="16"/>
  <c r="E71" i="16"/>
  <c r="F71" i="16" s="1"/>
  <c r="G71" i="16"/>
  <c r="H71" i="16"/>
  <c r="I71" i="16"/>
  <c r="J71" i="16"/>
  <c r="C72" i="16"/>
  <c r="D72" i="16"/>
  <c r="E72" i="16"/>
  <c r="G72" i="16"/>
  <c r="H72" i="16"/>
  <c r="I72" i="16"/>
  <c r="J72" i="16"/>
  <c r="C73" i="16"/>
  <c r="D73" i="16"/>
  <c r="E73" i="16"/>
  <c r="G73" i="16"/>
  <c r="H73" i="16"/>
  <c r="I73" i="16"/>
  <c r="J73" i="16"/>
  <c r="C74" i="16"/>
  <c r="E74" i="16"/>
  <c r="F74" i="16" s="1"/>
  <c r="G74" i="16"/>
  <c r="H74" i="16"/>
  <c r="I74" i="16"/>
  <c r="J74" i="16"/>
  <c r="C75" i="16"/>
  <c r="D75" i="16"/>
  <c r="E75" i="16"/>
  <c r="G75" i="16"/>
  <c r="H75" i="16"/>
  <c r="I75" i="16"/>
  <c r="J75" i="16"/>
  <c r="C76" i="16"/>
  <c r="D76" i="16"/>
  <c r="E76" i="16"/>
  <c r="G76" i="16"/>
  <c r="H76" i="16"/>
  <c r="I76" i="16"/>
  <c r="J76" i="16"/>
  <c r="C77" i="16"/>
  <c r="D77" i="16"/>
  <c r="E77" i="16"/>
  <c r="G77" i="16"/>
  <c r="H77" i="16"/>
  <c r="I77" i="16"/>
  <c r="J77" i="16"/>
  <c r="C78" i="16"/>
  <c r="D78" i="16"/>
  <c r="E78" i="16"/>
  <c r="G78" i="16"/>
  <c r="H78" i="16"/>
  <c r="I78" i="16"/>
  <c r="J78" i="16"/>
  <c r="C79" i="16"/>
  <c r="D79" i="16"/>
  <c r="E79" i="16"/>
  <c r="G79" i="16"/>
  <c r="H79" i="16"/>
  <c r="I79" i="16"/>
  <c r="J79" i="16"/>
  <c r="C80" i="16"/>
  <c r="D80" i="16"/>
  <c r="E80" i="16"/>
  <c r="G80" i="16"/>
  <c r="H80" i="16"/>
  <c r="I80" i="16"/>
  <c r="J80" i="16"/>
  <c r="C81" i="16"/>
  <c r="D81" i="16"/>
  <c r="E81" i="16"/>
  <c r="G81" i="16"/>
  <c r="H81" i="16"/>
  <c r="I81" i="16"/>
  <c r="J81" i="16"/>
  <c r="C82" i="16"/>
  <c r="C83" i="16"/>
  <c r="D83" i="16"/>
  <c r="E83" i="16"/>
  <c r="G83" i="16"/>
  <c r="H83" i="16"/>
  <c r="I83" i="16"/>
  <c r="J83" i="16"/>
  <c r="C84" i="16"/>
  <c r="K12" i="28"/>
  <c r="C88" i="16"/>
  <c r="C89" i="16"/>
  <c r="D89" i="16"/>
  <c r="E89" i="16"/>
  <c r="G89" i="16"/>
  <c r="H89" i="16"/>
  <c r="C90" i="16"/>
  <c r="D90" i="16"/>
  <c r="E90" i="16"/>
  <c r="G90" i="16"/>
  <c r="H90" i="16"/>
  <c r="I90" i="16"/>
  <c r="J90" i="16"/>
  <c r="C91" i="16"/>
  <c r="D91" i="16"/>
  <c r="E91" i="16"/>
  <c r="G91" i="16"/>
  <c r="H91" i="16"/>
  <c r="I91" i="16"/>
  <c r="J91" i="16"/>
  <c r="G92" i="16"/>
  <c r="H92" i="16"/>
  <c r="I92" i="16"/>
  <c r="J92" i="16"/>
  <c r="C93" i="16"/>
  <c r="D93" i="16"/>
  <c r="E93" i="16"/>
  <c r="G93" i="16"/>
  <c r="H93" i="16"/>
  <c r="I93" i="16"/>
  <c r="J93" i="16"/>
  <c r="C94" i="16"/>
  <c r="D94" i="16"/>
  <c r="E94" i="16"/>
  <c r="G94" i="16"/>
  <c r="H94" i="16"/>
  <c r="I94" i="16"/>
  <c r="J94" i="16"/>
  <c r="C95" i="16"/>
  <c r="D95" i="16"/>
  <c r="E95" i="16"/>
  <c r="G95" i="16"/>
  <c r="H95" i="16"/>
  <c r="I95" i="16"/>
  <c r="J95" i="16"/>
  <c r="C96" i="16"/>
  <c r="B56" i="16"/>
  <c r="B57" i="16"/>
  <c r="B58" i="16"/>
  <c r="B59" i="16"/>
  <c r="B60" i="16"/>
  <c r="B61" i="16"/>
  <c r="B62" i="16"/>
  <c r="B63" i="16"/>
  <c r="B64" i="16"/>
  <c r="B65" i="16"/>
  <c r="B66" i="16"/>
  <c r="B67" i="16"/>
  <c r="B69" i="16"/>
  <c r="B70" i="16"/>
  <c r="B71" i="16"/>
  <c r="B72" i="16"/>
  <c r="B73" i="16"/>
  <c r="B74" i="16"/>
  <c r="B75" i="16"/>
  <c r="B76" i="16"/>
  <c r="B77" i="16"/>
  <c r="B78" i="16"/>
  <c r="B79" i="16"/>
  <c r="B80" i="16"/>
  <c r="B81" i="16"/>
  <c r="B83" i="16"/>
  <c r="B85" i="16"/>
  <c r="B89" i="16"/>
  <c r="B90" i="16"/>
  <c r="B91" i="16"/>
  <c r="B97" i="16"/>
  <c r="B98" i="16"/>
  <c r="F48" i="16"/>
  <c r="F47" i="16"/>
  <c r="F45" i="16"/>
  <c r="F44" i="16"/>
  <c r="F43" i="16"/>
  <c r="F42" i="16"/>
  <c r="K41" i="16"/>
  <c r="F40" i="16"/>
  <c r="F39" i="16"/>
  <c r="M39" i="16" s="1"/>
  <c r="F38" i="16"/>
  <c r="F35" i="16"/>
  <c r="K35" i="16" s="1"/>
  <c r="I43" i="10" s="1"/>
  <c r="F33" i="16"/>
  <c r="F31" i="16"/>
  <c r="F30" i="16"/>
  <c r="F29" i="16"/>
  <c r="F28" i="16"/>
  <c r="F27" i="16"/>
  <c r="F26" i="16"/>
  <c r="F25" i="16"/>
  <c r="F24" i="16"/>
  <c r="F23" i="16"/>
  <c r="F22" i="16"/>
  <c r="F21" i="16"/>
  <c r="F19" i="16"/>
  <c r="K18" i="16"/>
  <c r="K32" i="16"/>
  <c r="K34" i="16"/>
  <c r="K37" i="16"/>
  <c r="K46" i="16"/>
  <c r="F17" i="16"/>
  <c r="F16" i="16"/>
  <c r="F15" i="16"/>
  <c r="F14" i="16"/>
  <c r="F13" i="16"/>
  <c r="F12" i="16"/>
  <c r="F11" i="16"/>
  <c r="F10" i="16"/>
  <c r="F9" i="16"/>
  <c r="F8" i="16"/>
  <c r="F6" i="16"/>
  <c r="K5" i="16"/>
  <c r="J49" i="34" l="1"/>
  <c r="K49" i="34"/>
  <c r="E49" i="34"/>
  <c r="F49" i="34"/>
  <c r="G49" i="34"/>
  <c r="H49" i="34"/>
  <c r="I49" i="34"/>
  <c r="J53" i="22"/>
  <c r="G53" i="22"/>
  <c r="I53" i="22"/>
  <c r="K53" i="22"/>
  <c r="E53" i="22"/>
  <c r="F53" i="22"/>
  <c r="H53" i="22"/>
  <c r="H44" i="22"/>
  <c r="F44" i="22"/>
  <c r="I44" i="22"/>
  <c r="G44" i="22"/>
  <c r="E44" i="22"/>
  <c r="K44" i="22"/>
  <c r="J44" i="22"/>
  <c r="I40" i="34"/>
  <c r="E40" i="34"/>
  <c r="G40" i="34"/>
  <c r="J40" i="34"/>
  <c r="K40" i="34"/>
  <c r="F40" i="34"/>
  <c r="H40" i="34"/>
  <c r="K97" i="16"/>
  <c r="K13" i="16"/>
  <c r="M13" i="16"/>
  <c r="K17" i="16"/>
  <c r="M17" i="16"/>
  <c r="K40" i="16"/>
  <c r="M40" i="16"/>
  <c r="F56" i="16"/>
  <c r="M56" i="16" s="1"/>
  <c r="M6" i="16"/>
  <c r="K10" i="16"/>
  <c r="M10" i="16"/>
  <c r="K22" i="16"/>
  <c r="M22" i="16"/>
  <c r="K26" i="16"/>
  <c r="M26" i="16"/>
  <c r="K30" i="16"/>
  <c r="M30" i="16"/>
  <c r="K45" i="16"/>
  <c r="M45" i="16"/>
  <c r="K11" i="16"/>
  <c r="M11" i="16"/>
  <c r="K15" i="16"/>
  <c r="M15" i="16"/>
  <c r="K19" i="16"/>
  <c r="M19" i="16"/>
  <c r="K23" i="16"/>
  <c r="M23" i="16"/>
  <c r="K27" i="16"/>
  <c r="M27" i="16"/>
  <c r="K31" i="16"/>
  <c r="M31" i="16"/>
  <c r="K38" i="16"/>
  <c r="M38" i="16"/>
  <c r="K42" i="16"/>
  <c r="M42" i="16"/>
  <c r="K47" i="16"/>
  <c r="M47" i="16"/>
  <c r="K98" i="16"/>
  <c r="M98" i="16"/>
  <c r="K9" i="16"/>
  <c r="M9" i="16"/>
  <c r="K21" i="16"/>
  <c r="M21" i="16"/>
  <c r="K25" i="16"/>
  <c r="M25" i="16"/>
  <c r="K29" i="16"/>
  <c r="M29" i="16"/>
  <c r="K44" i="16"/>
  <c r="M44" i="16"/>
  <c r="K14" i="16"/>
  <c r="M14" i="16"/>
  <c r="K7" i="16"/>
  <c r="M7" i="16"/>
  <c r="K8" i="16"/>
  <c r="M8" i="16"/>
  <c r="K12" i="16"/>
  <c r="M12" i="16"/>
  <c r="K16" i="16"/>
  <c r="M16" i="16"/>
  <c r="K20" i="16"/>
  <c r="M20" i="16"/>
  <c r="K24" i="16"/>
  <c r="M24" i="16"/>
  <c r="K28" i="16"/>
  <c r="M28" i="16"/>
  <c r="K33" i="16"/>
  <c r="M33" i="16"/>
  <c r="K39" i="16"/>
  <c r="K43" i="16"/>
  <c r="M43" i="16"/>
  <c r="K48" i="16"/>
  <c r="M48" i="16"/>
  <c r="F90" i="16"/>
  <c r="F89" i="16"/>
  <c r="M89" i="16" s="1"/>
  <c r="K74" i="16"/>
  <c r="F93" i="16"/>
  <c r="K93" i="16" s="1"/>
  <c r="F92" i="16"/>
  <c r="F83" i="16"/>
  <c r="K83" i="16" s="1"/>
  <c r="F70" i="16"/>
  <c r="M70" i="16" s="1"/>
  <c r="F95" i="16"/>
  <c r="K95" i="16" s="1"/>
  <c r="F78" i="16"/>
  <c r="K78" i="16" s="1"/>
  <c r="F81" i="16"/>
  <c r="K81" i="16" s="1"/>
  <c r="F80" i="16"/>
  <c r="K80" i="16" s="1"/>
  <c r="F79" i="16"/>
  <c r="K79" i="16" s="1"/>
  <c r="F77" i="16"/>
  <c r="K77" i="16" s="1"/>
  <c r="F76" i="16"/>
  <c r="K76" i="16" s="1"/>
  <c r="F75" i="16"/>
  <c r="K75" i="16" s="1"/>
  <c r="F73" i="16"/>
  <c r="K73" i="16" s="1"/>
  <c r="F72" i="16"/>
  <c r="K72" i="16" s="1"/>
  <c r="K71" i="16"/>
  <c r="F69" i="16"/>
  <c r="F67" i="16"/>
  <c r="K67" i="16" s="1"/>
  <c r="F66" i="16"/>
  <c r="F65" i="16"/>
  <c r="K65" i="16" s="1"/>
  <c r="F64" i="16"/>
  <c r="K64" i="16" s="1"/>
  <c r="F63" i="16"/>
  <c r="K63" i="16" s="1"/>
  <c r="F62" i="16"/>
  <c r="K62" i="16" s="1"/>
  <c r="F61" i="16"/>
  <c r="F60" i="16"/>
  <c r="F59" i="16"/>
  <c r="K59" i="16" s="1"/>
  <c r="K58" i="16"/>
  <c r="K57" i="16"/>
  <c r="F94" i="16"/>
  <c r="K94" i="16" s="1"/>
  <c r="F91" i="16"/>
  <c r="M91" i="16" s="1"/>
  <c r="K92" i="16" l="1"/>
  <c r="M92" i="16"/>
  <c r="K69" i="16"/>
  <c r="M69" i="16"/>
  <c r="K90" i="16"/>
  <c r="M90" i="16"/>
  <c r="K70" i="16"/>
  <c r="M73" i="16"/>
  <c r="M71" i="16"/>
  <c r="M75" i="16"/>
  <c r="M76" i="16"/>
  <c r="M95" i="16"/>
  <c r="M83" i="16"/>
  <c r="M65" i="16"/>
  <c r="M59" i="16"/>
  <c r="K66" i="16"/>
  <c r="M66" i="16"/>
  <c r="M77" i="16"/>
  <c r="M58" i="16"/>
  <c r="M93" i="16"/>
  <c r="K91" i="16"/>
  <c r="M63" i="16"/>
  <c r="M62" i="16"/>
  <c r="K60" i="16"/>
  <c r="M60" i="16"/>
  <c r="K89" i="16"/>
  <c r="M78" i="16"/>
  <c r="M94" i="16"/>
  <c r="M67" i="16"/>
  <c r="M79" i="16"/>
  <c r="M72" i="16"/>
  <c r="K56" i="16"/>
  <c r="M74" i="16"/>
  <c r="K61" i="16"/>
  <c r="M61" i="16"/>
  <c r="M64" i="16"/>
  <c r="M57" i="16"/>
  <c r="M81" i="16"/>
  <c r="M80" i="16"/>
  <c r="M49" i="16"/>
  <c r="D37" i="25" s="1"/>
  <c r="M46" i="7"/>
  <c r="M47" i="7"/>
  <c r="M48" i="7"/>
  <c r="M49" i="7"/>
  <c r="M50" i="7"/>
  <c r="M51" i="7"/>
  <c r="M52" i="7"/>
  <c r="M53" i="7"/>
  <c r="M54" i="7"/>
  <c r="M45" i="7"/>
  <c r="M100" i="16" l="1"/>
  <c r="K100" i="16"/>
  <c r="L37" i="25"/>
  <c r="K79" i="19"/>
  <c r="AD8" i="19"/>
  <c r="AD9" i="19"/>
  <c r="AD12" i="19"/>
  <c r="AD14" i="19"/>
  <c r="AD16" i="19"/>
  <c r="AD18" i="19"/>
  <c r="AD20" i="19"/>
  <c r="AD24" i="19"/>
  <c r="AD26" i="19"/>
  <c r="AD28" i="19"/>
  <c r="AD32" i="19"/>
  <c r="AD34" i="19"/>
  <c r="AD36" i="19"/>
  <c r="AD40" i="19"/>
  <c r="AD42" i="19"/>
  <c r="AD44" i="19"/>
  <c r="AD48" i="19"/>
  <c r="AD50" i="19"/>
  <c r="AD52" i="19"/>
  <c r="AD56" i="19"/>
  <c r="AD58" i="19"/>
  <c r="AD60" i="19"/>
  <c r="AD64" i="19"/>
  <c r="AD66" i="19"/>
  <c r="AD68" i="19"/>
  <c r="AD72" i="19"/>
  <c r="AD73" i="19" l="1"/>
  <c r="AD71" i="19"/>
  <c r="AD69" i="19"/>
  <c r="AD67" i="19"/>
  <c r="AD65" i="19"/>
  <c r="AD63" i="19"/>
  <c r="AD61" i="19"/>
  <c r="AD59" i="19"/>
  <c r="AD57" i="19"/>
  <c r="AD55" i="19"/>
  <c r="AD53" i="19"/>
  <c r="AD51" i="19"/>
  <c r="AD49" i="19"/>
  <c r="AD47" i="19"/>
  <c r="AD45" i="19"/>
  <c r="AD43" i="19"/>
  <c r="AD41" i="19"/>
  <c r="AD39" i="19"/>
  <c r="AD37" i="19"/>
  <c r="AD35" i="19"/>
  <c r="AD33" i="19"/>
  <c r="AD31" i="19"/>
  <c r="AD29" i="19"/>
  <c r="AD27" i="19"/>
  <c r="AD25" i="19"/>
  <c r="AD23" i="19"/>
  <c r="AD21" i="19"/>
  <c r="AD19" i="19"/>
  <c r="AD17" i="19"/>
  <c r="AD15" i="19"/>
  <c r="AD13" i="19"/>
  <c r="AD11" i="19"/>
  <c r="AD70" i="19"/>
  <c r="AD62" i="19"/>
  <c r="AD54" i="19"/>
  <c r="AD46" i="19"/>
  <c r="AD38" i="19"/>
  <c r="AD30" i="19"/>
  <c r="AD22" i="19"/>
  <c r="AD10" i="19"/>
  <c r="K75" i="19"/>
  <c r="E19" i="7" l="1"/>
  <c r="K76" i="19" l="1"/>
  <c r="AH106" i="19" s="1"/>
  <c r="E9" i="22" s="1"/>
  <c r="E9" i="34" s="1"/>
  <c r="AH108" i="19"/>
  <c r="AH107" i="19"/>
  <c r="P74" i="34" l="1"/>
  <c r="P75" i="34"/>
  <c r="E11" i="22"/>
  <c r="E11" i="34" s="1"/>
  <c r="Q18" i="35" l="1"/>
  <c r="Q19" i="35"/>
  <c r="Q17" i="35"/>
  <c r="R10" i="35"/>
  <c r="R11" i="35"/>
  <c r="R9" i="35"/>
  <c r="K13" i="14" l="1"/>
  <c r="K14" i="14"/>
  <c r="K15" i="14"/>
  <c r="K12" i="14"/>
  <c r="R12" i="38"/>
  <c r="S12" i="38"/>
  <c r="D57" i="34" l="1"/>
  <c r="D58" i="34"/>
  <c r="D56" i="34"/>
  <c r="D53" i="34"/>
  <c r="D54" i="34"/>
  <c r="D52" i="34"/>
  <c r="D47" i="34"/>
  <c r="D48" i="34"/>
  <c r="D49" i="34"/>
  <c r="D50" i="34"/>
  <c r="D46" i="34"/>
  <c r="D40" i="34"/>
  <c r="D42" i="34"/>
  <c r="D44" i="34"/>
  <c r="D38" i="34"/>
  <c r="G6" i="25"/>
  <c r="G7" i="25"/>
  <c r="G15" i="25" l="1"/>
  <c r="G6" i="41"/>
  <c r="G16" i="25"/>
  <c r="G7" i="41"/>
  <c r="AF11" i="19"/>
  <c r="AF13" i="19"/>
  <c r="AF14" i="19"/>
  <c r="G24" i="41"/>
  <c r="F40" i="25"/>
  <c r="H40" i="25" s="1"/>
  <c r="F39" i="25"/>
  <c r="H39" i="25" s="1"/>
  <c r="N39" i="25"/>
  <c r="P39" i="25" s="1"/>
  <c r="N40" i="25"/>
  <c r="K37" i="25"/>
  <c r="K13" i="28"/>
  <c r="D16" i="25"/>
  <c r="F16" i="25"/>
  <c r="I16" i="25"/>
  <c r="D17" i="25"/>
  <c r="F17" i="25"/>
  <c r="I17" i="25"/>
  <c r="C17" i="25"/>
  <c r="C16" i="25"/>
  <c r="K7" i="25"/>
  <c r="K16" i="25" s="1"/>
  <c r="L7" i="25"/>
  <c r="L16" i="25" s="1"/>
  <c r="M7" i="25"/>
  <c r="M16" i="25" s="1"/>
  <c r="K8" i="25"/>
  <c r="K17" i="25" s="1"/>
  <c r="L8" i="25"/>
  <c r="L17" i="25" s="1"/>
  <c r="M8" i="25"/>
  <c r="M17" i="25" s="1"/>
  <c r="J12" i="28"/>
  <c r="J13" i="28"/>
  <c r="J14" i="28"/>
  <c r="K14" i="28"/>
  <c r="E14" i="28"/>
  <c r="F14" i="28"/>
  <c r="J8" i="28"/>
  <c r="L8" i="28"/>
  <c r="I67" i="10"/>
  <c r="C61" i="10"/>
  <c r="D61" i="10"/>
  <c r="E61" i="10"/>
  <c r="H61" i="10"/>
  <c r="C45" i="10"/>
  <c r="C46" i="10"/>
  <c r="C47" i="10"/>
  <c r="C67" i="10" s="1"/>
  <c r="C44" i="10"/>
  <c r="C8" i="14" s="1"/>
  <c r="D47" i="10"/>
  <c r="D67" i="10" s="1"/>
  <c r="G47" i="10"/>
  <c r="E67" i="10" s="1"/>
  <c r="H47" i="10"/>
  <c r="H67" i="10" s="1"/>
  <c r="G46" i="10"/>
  <c r="H46" i="10"/>
  <c r="L13" i="28" s="1"/>
  <c r="L14" i="28" l="1"/>
  <c r="B9" i="42"/>
  <c r="K38" i="25"/>
  <c r="P40" i="25"/>
  <c r="M8" i="28"/>
  <c r="D14" i="28"/>
  <c r="M14" i="28"/>
  <c r="M13" i="28"/>
  <c r="M6" i="25"/>
  <c r="L6" i="25"/>
  <c r="K6" i="25"/>
  <c r="I15" i="25"/>
  <c r="F15" i="25"/>
  <c r="L15" i="25" s="1"/>
  <c r="D15" i="25"/>
  <c r="C15" i="25"/>
  <c r="K15" i="25" l="1"/>
  <c r="M15" i="25"/>
  <c r="I66" i="10" l="1"/>
  <c r="C5" i="8" l="1"/>
  <c r="J13" i="14" l="1"/>
  <c r="J14" i="14"/>
  <c r="J15" i="14"/>
  <c r="J12" i="14"/>
  <c r="N25" i="7" l="1"/>
  <c r="O34" i="7"/>
  <c r="N34" i="7" s="1"/>
  <c r="O35" i="7"/>
  <c r="N35" i="7" s="1"/>
  <c r="O26" i="7"/>
  <c r="N26" i="7" s="1"/>
  <c r="O36" i="7"/>
  <c r="N36" i="7" s="1"/>
  <c r="O28" i="7"/>
  <c r="N28" i="7" s="1"/>
  <c r="O27" i="7"/>
  <c r="N27" i="7" s="1"/>
  <c r="O31" i="7"/>
  <c r="N31" i="7" s="1"/>
  <c r="O29" i="7"/>
  <c r="N29" i="7" s="1"/>
  <c r="O30" i="7"/>
  <c r="N30" i="7" s="1"/>
  <c r="O32" i="7"/>
  <c r="N32" i="7" s="1"/>
  <c r="O33" i="7"/>
  <c r="N33" i="7" s="1"/>
  <c r="K6" i="16"/>
  <c r="K49" i="16" s="1"/>
  <c r="N37" i="7" l="1"/>
  <c r="I7" i="14"/>
  <c r="D14" i="14"/>
  <c r="D15" i="14"/>
  <c r="C13" i="14"/>
  <c r="C19" i="25"/>
  <c r="C20" i="25"/>
  <c r="C21" i="25"/>
  <c r="C22" i="25"/>
  <c r="C18" i="25"/>
  <c r="D19" i="25"/>
  <c r="D20" i="25"/>
  <c r="D21" i="25"/>
  <c r="D22" i="25"/>
  <c r="D18" i="25"/>
  <c r="I19" i="25"/>
  <c r="I20" i="25"/>
  <c r="I18" i="25"/>
  <c r="F19" i="25"/>
  <c r="F20" i="25"/>
  <c r="F18" i="25"/>
  <c r="L15" i="28"/>
  <c r="L7" i="28"/>
  <c r="L9" i="28"/>
  <c r="G9" i="28"/>
  <c r="F12" i="28"/>
  <c r="F13" i="28"/>
  <c r="F15" i="28"/>
  <c r="F11" i="28"/>
  <c r="F9" i="28"/>
  <c r="E12" i="28"/>
  <c r="E13" i="28"/>
  <c r="E9" i="28"/>
  <c r="C9" i="28"/>
  <c r="L12" i="28"/>
  <c r="L11" i="28"/>
  <c r="C21" i="10"/>
  <c r="C26" i="10" s="1"/>
  <c r="C20" i="10"/>
  <c r="C25" i="10" s="1"/>
  <c r="C11" i="10"/>
  <c r="C10" i="10"/>
  <c r="D43" i="22"/>
  <c r="D45" i="22"/>
  <c r="D46" i="22"/>
  <c r="D42" i="22"/>
  <c r="D7" i="34"/>
  <c r="D41" i="34"/>
  <c r="D43" i="34"/>
  <c r="F29" i="22"/>
  <c r="F30" i="22"/>
  <c r="F25" i="22"/>
  <c r="F24" i="22"/>
  <c r="D29" i="22"/>
  <c r="D65" i="22" s="1"/>
  <c r="D30" i="22"/>
  <c r="D66" i="22" s="1"/>
  <c r="D64" i="22"/>
  <c r="D25" i="22"/>
  <c r="D61" i="22" s="1"/>
  <c r="D62" i="22"/>
  <c r="D24" i="22"/>
  <c r="D60" i="22" s="1"/>
  <c r="T35" i="34"/>
  <c r="V22" i="10" s="1"/>
  <c r="S35" i="34"/>
  <c r="U22" i="10" s="1"/>
  <c r="R35" i="34"/>
  <c r="T22" i="10" s="1"/>
  <c r="Q35" i="34"/>
  <c r="S22" i="10" s="1"/>
  <c r="P35" i="34"/>
  <c r="R22" i="10" s="1"/>
  <c r="O35" i="34"/>
  <c r="Q22" i="10" s="1"/>
  <c r="N35" i="34"/>
  <c r="P22" i="10" s="1"/>
  <c r="G12" i="28" l="1"/>
  <c r="I50" i="10" s="1"/>
  <c r="I51" i="10" s="1"/>
  <c r="D39" i="34"/>
  <c r="D11" i="28"/>
  <c r="D13" i="28"/>
  <c r="N75" i="34"/>
  <c r="D63" i="22"/>
  <c r="J48" i="34"/>
  <c r="K48" i="34"/>
  <c r="E48" i="34"/>
  <c r="F48" i="34"/>
  <c r="H44" i="34"/>
  <c r="G48" i="34"/>
  <c r="I44" i="34"/>
  <c r="J44" i="34"/>
  <c r="K44" i="34"/>
  <c r="E44" i="34"/>
  <c r="H48" i="34"/>
  <c r="F44" i="34"/>
  <c r="I48" i="34"/>
  <c r="G44" i="34"/>
  <c r="N39" i="22"/>
  <c r="G16" i="34" l="1"/>
  <c r="G12" i="34"/>
  <c r="P47" i="7"/>
  <c r="S47" i="7"/>
  <c r="V48" i="7"/>
  <c r="V49" i="7"/>
  <c r="V50" i="7"/>
  <c r="V51" i="7"/>
  <c r="V47" i="7"/>
  <c r="W47" i="7"/>
  <c r="T47" i="7"/>
  <c r="Q47" i="7"/>
  <c r="U6" i="7"/>
  <c r="O45" i="7" s="1"/>
  <c r="H37" i="7" l="1"/>
  <c r="O52" i="7"/>
  <c r="O44" i="7"/>
  <c r="O51" i="7"/>
  <c r="N51" i="7" s="1"/>
  <c r="O54" i="7"/>
  <c r="O50" i="7"/>
  <c r="N50" i="7" s="1"/>
  <c r="O46" i="7"/>
  <c r="O48" i="7"/>
  <c r="N48" i="7" s="1"/>
  <c r="O43" i="7"/>
  <c r="O47" i="7"/>
  <c r="N47" i="7" s="1"/>
  <c r="O53" i="7"/>
  <c r="O49" i="7"/>
  <c r="N49" i="7" s="1"/>
  <c r="K37" i="7"/>
  <c r="J37" i="7"/>
  <c r="E37" i="7"/>
  <c r="D37" i="7"/>
  <c r="G37" i="7"/>
  <c r="N52" i="7" l="1"/>
  <c r="N46" i="7"/>
  <c r="D55" i="7"/>
  <c r="N54" i="7"/>
  <c r="N45" i="7"/>
  <c r="M44" i="7"/>
  <c r="N44" i="7" s="1"/>
  <c r="J19" i="7"/>
  <c r="H52" i="34"/>
  <c r="F52" i="34"/>
  <c r="G52" i="34"/>
  <c r="I52" i="34"/>
  <c r="E52" i="34"/>
  <c r="K52" i="34"/>
  <c r="J52" i="34"/>
  <c r="F54" i="34"/>
  <c r="J54" i="34"/>
  <c r="E54" i="34"/>
  <c r="K54" i="34"/>
  <c r="H54" i="34"/>
  <c r="I54" i="34"/>
  <c r="G54" i="34"/>
  <c r="E47" i="34"/>
  <c r="G47" i="34"/>
  <c r="J47" i="34"/>
  <c r="F47" i="34"/>
  <c r="I47" i="34"/>
  <c r="K47" i="34"/>
  <c r="H47" i="34"/>
  <c r="M37" i="7"/>
  <c r="F25" i="24" s="1"/>
  <c r="S43" i="24" s="1"/>
  <c r="N53" i="7"/>
  <c r="F79" i="19"/>
  <c r="D24" i="8" s="1"/>
  <c r="K89" i="19"/>
  <c r="K90" i="19"/>
  <c r="K91" i="19"/>
  <c r="K92" i="19"/>
  <c r="K93" i="19"/>
  <c r="K94" i="19"/>
  <c r="K87" i="19"/>
  <c r="L87" i="19" s="1"/>
  <c r="K88" i="19"/>
  <c r="J55" i="7" l="1"/>
  <c r="G19" i="7"/>
  <c r="G55" i="7"/>
  <c r="M43" i="7"/>
  <c r="N43" i="7" s="1"/>
  <c r="G15" i="34"/>
  <c r="G20" i="34"/>
  <c r="K19" i="7" l="1"/>
  <c r="H55" i="7"/>
  <c r="E55" i="7"/>
  <c r="K55" i="7"/>
  <c r="H19" i="7"/>
  <c r="N80" i="19" l="1"/>
  <c r="O80" i="19"/>
  <c r="P80" i="19"/>
  <c r="AF7" i="19" l="1"/>
  <c r="B5" i="42" s="1"/>
  <c r="B26" i="42" s="1"/>
  <c r="I26" i="42" s="1"/>
  <c r="G10" i="25"/>
  <c r="G19" i="25" s="1"/>
  <c r="B30" i="42"/>
  <c r="I30" i="42" s="1"/>
  <c r="B31" i="42"/>
  <c r="I31" i="42" s="1"/>
  <c r="B41" i="42"/>
  <c r="C41" i="42" s="1"/>
  <c r="D40" i="42"/>
  <c r="D39" i="42"/>
  <c r="D38" i="42"/>
  <c r="D37" i="42"/>
  <c r="D36" i="42"/>
  <c r="D35" i="42"/>
  <c r="D34" i="42"/>
  <c r="H31" i="42"/>
  <c r="H30" i="42"/>
  <c r="H29" i="42"/>
  <c r="H28" i="42"/>
  <c r="H27" i="42"/>
  <c r="H26" i="42"/>
  <c r="Q75" i="34" l="1"/>
  <c r="J26" i="42"/>
  <c r="J30" i="42"/>
  <c r="D41" i="42"/>
  <c r="J31" i="42"/>
  <c r="G43" i="34" l="1"/>
  <c r="H43" i="34"/>
  <c r="I43" i="34"/>
  <c r="F43" i="34"/>
  <c r="J43" i="34"/>
  <c r="K43" i="34"/>
  <c r="E43" i="34"/>
  <c r="G11" i="34" l="1"/>
  <c r="I10" i="42"/>
  <c r="I9" i="42"/>
  <c r="I5" i="42"/>
  <c r="H6" i="42"/>
  <c r="H7" i="42"/>
  <c r="H8" i="42"/>
  <c r="H9" i="42"/>
  <c r="H10" i="42"/>
  <c r="H5" i="42"/>
  <c r="P12" i="42"/>
  <c r="Q12" i="42"/>
  <c r="R12" i="42"/>
  <c r="S12" i="42"/>
  <c r="T12" i="42"/>
  <c r="O12" i="42"/>
  <c r="D14" i="42"/>
  <c r="D15" i="42"/>
  <c r="D16" i="42"/>
  <c r="D17" i="42"/>
  <c r="D18" i="42"/>
  <c r="D19" i="42"/>
  <c r="D13" i="42"/>
  <c r="B20" i="42"/>
  <c r="C20" i="42" s="1"/>
  <c r="D15" i="8"/>
  <c r="C15" i="8"/>
  <c r="D6" i="41"/>
  <c r="D12" i="41" s="1"/>
  <c r="E6" i="41"/>
  <c r="E12" i="41" s="1"/>
  <c r="F12" i="41"/>
  <c r="Q12" i="41" s="1"/>
  <c r="H6" i="41"/>
  <c r="H12" i="41" s="1"/>
  <c r="I6" i="41"/>
  <c r="D7" i="41"/>
  <c r="D13" i="41" s="1"/>
  <c r="E7" i="41"/>
  <c r="E13" i="41" s="1"/>
  <c r="F13" i="41"/>
  <c r="Q13" i="41" s="1"/>
  <c r="G13" i="41"/>
  <c r="H7" i="41"/>
  <c r="H13" i="41" s="1"/>
  <c r="I7" i="41"/>
  <c r="D8" i="41"/>
  <c r="D14" i="41" s="1"/>
  <c r="E8" i="41"/>
  <c r="E14" i="41" s="1"/>
  <c r="F8" i="41"/>
  <c r="F14" i="41" s="1"/>
  <c r="Q14" i="41" s="1"/>
  <c r="H8" i="41"/>
  <c r="H14" i="41" s="1"/>
  <c r="I8" i="41"/>
  <c r="D9" i="41"/>
  <c r="D15" i="41" s="1"/>
  <c r="E9" i="41"/>
  <c r="E15" i="41" s="1"/>
  <c r="F9" i="41"/>
  <c r="F15" i="41" s="1"/>
  <c r="Q15" i="41" s="1"/>
  <c r="H9" i="41"/>
  <c r="H15" i="41" s="1"/>
  <c r="I9" i="41"/>
  <c r="D10" i="41"/>
  <c r="D16" i="41" s="1"/>
  <c r="E10" i="41"/>
  <c r="E16" i="41" s="1"/>
  <c r="F10" i="41"/>
  <c r="F16" i="41" s="1"/>
  <c r="Q16" i="41" s="1"/>
  <c r="G10" i="41"/>
  <c r="G16" i="41" s="1"/>
  <c r="H10" i="41"/>
  <c r="H16" i="41" s="1"/>
  <c r="I10" i="41"/>
  <c r="AB28" i="41"/>
  <c r="X28" i="41"/>
  <c r="AB27" i="41"/>
  <c r="X27" i="41"/>
  <c r="AB26" i="41"/>
  <c r="X26" i="41"/>
  <c r="AB25" i="41"/>
  <c r="X25" i="41"/>
  <c r="AB24" i="41"/>
  <c r="X24" i="41"/>
  <c r="AB23" i="41"/>
  <c r="X23" i="41"/>
  <c r="AB22" i="41"/>
  <c r="X22" i="41"/>
  <c r="AB21" i="41"/>
  <c r="X21" i="41"/>
  <c r="AB20" i="41"/>
  <c r="X20" i="41"/>
  <c r="K10" i="41" l="1"/>
  <c r="M8" i="41"/>
  <c r="M6" i="41"/>
  <c r="D33" i="41"/>
  <c r="D34" i="41" s="1"/>
  <c r="D35" i="41" s="1"/>
  <c r="N6" i="41"/>
  <c r="J6" i="41"/>
  <c r="K8" i="41"/>
  <c r="K6" i="41"/>
  <c r="M10" i="41"/>
  <c r="L6" i="41"/>
  <c r="L8" i="41"/>
  <c r="J5" i="42"/>
  <c r="J10" i="42"/>
  <c r="J9" i="42"/>
  <c r="D20" i="42"/>
  <c r="N8" i="41"/>
  <c r="M7" i="41"/>
  <c r="J8" i="41"/>
  <c r="K9" i="41"/>
  <c r="M12" i="41"/>
  <c r="N12" i="41"/>
  <c r="J7" i="41"/>
  <c r="N7" i="41"/>
  <c r="L9" i="41"/>
  <c r="L10" i="41"/>
  <c r="K7" i="41"/>
  <c r="M9" i="41"/>
  <c r="L7" i="41"/>
  <c r="J9" i="41"/>
  <c r="N9" i="41"/>
  <c r="J10" i="41"/>
  <c r="N10" i="41"/>
  <c r="J12" i="41"/>
  <c r="N13" i="41"/>
  <c r="K13" i="41"/>
  <c r="L15" i="41"/>
  <c r="M15" i="41"/>
  <c r="K16" i="41"/>
  <c r="L16" i="41"/>
  <c r="M14" i="41"/>
  <c r="N14" i="41"/>
  <c r="J14" i="41"/>
  <c r="K12" i="41"/>
  <c r="L12" i="41"/>
  <c r="L13" i="41"/>
  <c r="K14" i="41"/>
  <c r="J15" i="41"/>
  <c r="N15" i="41"/>
  <c r="M16" i="41"/>
  <c r="M13" i="41"/>
  <c r="L14" i="41"/>
  <c r="K15" i="41"/>
  <c r="J16" i="41"/>
  <c r="N16" i="41"/>
  <c r="J13" i="41"/>
  <c r="C14" i="8"/>
  <c r="C13" i="8"/>
  <c r="C12" i="8"/>
  <c r="C11" i="8"/>
  <c r="H117" i="16" l="1"/>
  <c r="D12" i="8" s="1"/>
  <c r="O7" i="41"/>
  <c r="O13" i="41"/>
  <c r="C8" i="8" l="1"/>
  <c r="I8" i="14" l="1"/>
  <c r="I9" i="14"/>
  <c r="L9" i="14" s="1"/>
  <c r="I10" i="14"/>
  <c r="L10" i="14" s="1"/>
  <c r="I13" i="14"/>
  <c r="I14" i="14"/>
  <c r="L14" i="14" s="1"/>
  <c r="I15" i="14"/>
  <c r="L15" i="14" s="1"/>
  <c r="I12" i="14"/>
  <c r="C6" i="8" l="1"/>
  <c r="G88" i="19" l="1"/>
  <c r="L88" i="19" s="1"/>
  <c r="G89" i="19"/>
  <c r="L89" i="19" s="1"/>
  <c r="G90" i="19"/>
  <c r="L90" i="19" s="1"/>
  <c r="M90" i="19" s="1"/>
  <c r="G91" i="19"/>
  <c r="L91" i="19" s="1"/>
  <c r="M91" i="19" s="1"/>
  <c r="F13" i="10" s="1"/>
  <c r="D28" i="10" s="1"/>
  <c r="G92" i="19"/>
  <c r="L92" i="19" s="1"/>
  <c r="M92" i="19" s="1"/>
  <c r="G93" i="19"/>
  <c r="L93" i="19" s="1"/>
  <c r="M93" i="19" s="1"/>
  <c r="G94" i="19"/>
  <c r="L94" i="19" s="1"/>
  <c r="M94" i="19" s="1"/>
  <c r="M30" i="8"/>
  <c r="C386" i="31"/>
  <c r="M89" i="19" l="1"/>
  <c r="AH115" i="19"/>
  <c r="AH122" i="19"/>
  <c r="M87" i="19"/>
  <c r="G95" i="19"/>
  <c r="F12" i="10"/>
  <c r="D27" i="10" s="1"/>
  <c r="F7" i="10"/>
  <c r="D22" i="10" s="1"/>
  <c r="M88" i="19"/>
  <c r="D341" i="31"/>
  <c r="D353" i="31" s="1"/>
  <c r="D317" i="31"/>
  <c r="D322" i="31" s="1"/>
  <c r="D325" i="31" s="1"/>
  <c r="D221" i="31"/>
  <c r="D234" i="31" s="1"/>
  <c r="C338" i="31"/>
  <c r="C314" i="31"/>
  <c r="C290" i="31"/>
  <c r="C266" i="31"/>
  <c r="C242" i="31"/>
  <c r="C218" i="31"/>
  <c r="C194" i="31"/>
  <c r="C170" i="31"/>
  <c r="C146" i="31"/>
  <c r="C122" i="31"/>
  <c r="C98" i="31"/>
  <c r="C74" i="31"/>
  <c r="C50" i="31"/>
  <c r="C26" i="31"/>
  <c r="C2" i="31"/>
  <c r="M95" i="19" l="1"/>
  <c r="P77" i="34"/>
  <c r="E14" i="22"/>
  <c r="D5" i="11"/>
  <c r="L95" i="19"/>
  <c r="D354" i="31"/>
  <c r="D226" i="31"/>
  <c r="D229" i="31" s="1"/>
  <c r="D233" i="31"/>
  <c r="D227" i="31"/>
  <c r="D230" i="31" s="1"/>
  <c r="D329" i="31"/>
  <c r="D330" i="31"/>
  <c r="D346" i="31"/>
  <c r="D349" i="31" s="1"/>
  <c r="D323" i="31"/>
  <c r="D326" i="31" s="1"/>
  <c r="D347" i="31"/>
  <c r="D350" i="31" s="1"/>
  <c r="C7" i="37"/>
  <c r="E22" i="38"/>
  <c r="E21" i="38"/>
  <c r="E20" i="38"/>
  <c r="D8" i="14" l="1"/>
  <c r="D13" i="14" s="1"/>
  <c r="L13" i="14" s="1"/>
  <c r="E14" i="34"/>
  <c r="E18" i="22"/>
  <c r="E18" i="34" s="1"/>
  <c r="P80" i="34"/>
  <c r="Q80" i="34" s="1"/>
  <c r="E21" i="22"/>
  <c r="E21" i="34" s="1"/>
  <c r="L8" i="14"/>
  <c r="D5" i="10"/>
  <c r="D27" i="8"/>
  <c r="D26" i="8"/>
  <c r="C19" i="38"/>
  <c r="C7" i="38"/>
  <c r="C18" i="38" l="1"/>
  <c r="E18" i="38" s="1"/>
  <c r="E19" i="38"/>
  <c r="Q77" i="34"/>
  <c r="H46" i="34"/>
  <c r="K46" i="34"/>
  <c r="F46" i="34"/>
  <c r="G46" i="34"/>
  <c r="I46" i="34"/>
  <c r="J46" i="34"/>
  <c r="E46" i="34"/>
  <c r="D77" i="31"/>
  <c r="G53" i="34"/>
  <c r="G55" i="34" s="1"/>
  <c r="F53" i="34"/>
  <c r="F55" i="34" s="1"/>
  <c r="H53" i="34"/>
  <c r="H55" i="34" s="1"/>
  <c r="E53" i="34"/>
  <c r="J53" i="34"/>
  <c r="J55" i="34" s="1"/>
  <c r="K53" i="34"/>
  <c r="K55" i="34" s="1"/>
  <c r="I53" i="34"/>
  <c r="I55" i="34" s="1"/>
  <c r="Q78" i="34"/>
  <c r="E50" i="34"/>
  <c r="I50" i="34"/>
  <c r="K50" i="34"/>
  <c r="G50" i="34"/>
  <c r="H50" i="34"/>
  <c r="F50" i="34"/>
  <c r="J50" i="34"/>
  <c r="C23" i="38"/>
  <c r="E23" i="38" s="1"/>
  <c r="J12" i="30"/>
  <c r="H13" i="24"/>
  <c r="E14" i="8"/>
  <c r="F14" i="8" s="1"/>
  <c r="G18" i="34" l="1"/>
  <c r="G19" i="34" s="1"/>
  <c r="G5" i="24" s="1"/>
  <c r="H51" i="34"/>
  <c r="Q79" i="34"/>
  <c r="K51" i="34"/>
  <c r="F51" i="34"/>
  <c r="G51" i="34"/>
  <c r="J51" i="34"/>
  <c r="I51" i="34"/>
  <c r="G21" i="34"/>
  <c r="G23" i="34" s="1"/>
  <c r="G6" i="24" s="1"/>
  <c r="E55" i="34"/>
  <c r="E51" i="34"/>
  <c r="D90" i="31"/>
  <c r="D82" i="31"/>
  <c r="D85" i="31" s="1"/>
  <c r="D83" i="31"/>
  <c r="D86" i="31" s="1"/>
  <c r="D89" i="31"/>
  <c r="E24" i="38"/>
  <c r="I13" i="24"/>
  <c r="I14" i="8" s="1"/>
  <c r="G13" i="24"/>
  <c r="P14" i="8"/>
  <c r="D13" i="8"/>
  <c r="S27" i="26"/>
  <c r="U27" i="26" s="1"/>
  <c r="V27" i="26" s="1"/>
  <c r="S26" i="26"/>
  <c r="U26" i="26" s="1"/>
  <c r="V26" i="26" s="1"/>
  <c r="S25" i="26"/>
  <c r="U25" i="26" s="1"/>
  <c r="V25" i="26" s="1"/>
  <c r="R29" i="35"/>
  <c r="T29" i="35" s="1"/>
  <c r="U29" i="35" s="1"/>
  <c r="Q34" i="35" s="1"/>
  <c r="R30" i="35"/>
  <c r="T30" i="35" s="1"/>
  <c r="U30" i="35" s="1"/>
  <c r="O35" i="35" s="1"/>
  <c r="Q35" i="35" s="1"/>
  <c r="R28" i="35"/>
  <c r="T28" i="35" s="1"/>
  <c r="U28" i="35" s="1"/>
  <c r="D7" i="8" l="1"/>
  <c r="D53" i="31" s="1"/>
  <c r="E25" i="38"/>
  <c r="Q36" i="35"/>
  <c r="D269" i="31"/>
  <c r="D66" i="31" l="1"/>
  <c r="D59" i="31"/>
  <c r="D62" i="31" s="1"/>
  <c r="D58" i="31"/>
  <c r="D61" i="31" s="1"/>
  <c r="D65" i="31"/>
  <c r="D14" i="8"/>
  <c r="D293" i="31" s="1"/>
  <c r="Q37" i="35"/>
  <c r="Q38" i="35" s="1"/>
  <c r="D282" i="31"/>
  <c r="D281" i="31"/>
  <c r="D274" i="31"/>
  <c r="D275" i="31"/>
  <c r="D149" i="31" l="1"/>
  <c r="D298" i="31"/>
  <c r="D301" i="31" s="1"/>
  <c r="D306" i="31"/>
  <c r="D305" i="31"/>
  <c r="D299" i="31"/>
  <c r="D302" i="31" s="1"/>
  <c r="D9" i="8"/>
  <c r="D125" i="31" s="1"/>
  <c r="D137" i="31" s="1"/>
  <c r="D278" i="31"/>
  <c r="D277" i="31"/>
  <c r="D162" i="31" l="1"/>
  <c r="D161" i="31"/>
  <c r="D155" i="31"/>
  <c r="D158" i="31" s="1"/>
  <c r="D154" i="31"/>
  <c r="D157" i="31" s="1"/>
  <c r="D131" i="31"/>
  <c r="D134" i="31" s="1"/>
  <c r="D138" i="31"/>
  <c r="D130" i="31"/>
  <c r="D133" i="31" s="1"/>
  <c r="E13" i="8"/>
  <c r="H22" i="24"/>
  <c r="I22" i="24" l="1"/>
  <c r="I13" i="8" s="1"/>
  <c r="G22" i="24"/>
  <c r="P13" i="8"/>
  <c r="J11" i="35"/>
  <c r="I11" i="35"/>
  <c r="J10" i="35"/>
  <c r="I10" i="35"/>
  <c r="J9" i="35"/>
  <c r="I9" i="35"/>
  <c r="J10" i="26"/>
  <c r="K15" i="28"/>
  <c r="G15" i="28"/>
  <c r="H7" i="29"/>
  <c r="H8" i="29"/>
  <c r="H9" i="29"/>
  <c r="H10" i="29"/>
  <c r="H11" i="29"/>
  <c r="H12" i="29"/>
  <c r="H13" i="29"/>
  <c r="H14" i="29"/>
  <c r="H15" i="29"/>
  <c r="F7" i="29"/>
  <c r="F8" i="29"/>
  <c r="F9" i="29"/>
  <c r="F10" i="29"/>
  <c r="F11" i="29"/>
  <c r="F12" i="29"/>
  <c r="F13" i="29"/>
  <c r="F14" i="29"/>
  <c r="F15" i="29"/>
  <c r="G6" i="29"/>
  <c r="I6" i="29" s="1"/>
  <c r="G7" i="29"/>
  <c r="I7" i="29" s="1"/>
  <c r="G8" i="29"/>
  <c r="I8" i="29" s="1"/>
  <c r="G9" i="29"/>
  <c r="I9" i="29" s="1"/>
  <c r="G10" i="29"/>
  <c r="I10" i="29" s="1"/>
  <c r="G11" i="29"/>
  <c r="I11" i="29" s="1"/>
  <c r="G12" i="29"/>
  <c r="I12" i="29" s="1"/>
  <c r="G13" i="29"/>
  <c r="I13" i="29" s="1"/>
  <c r="G14" i="29"/>
  <c r="I14" i="29" s="1"/>
  <c r="G15" i="29"/>
  <c r="I15" i="29" s="1"/>
  <c r="G5" i="29"/>
  <c r="H65" i="10"/>
  <c r="H66" i="10"/>
  <c r="H68" i="10"/>
  <c r="H64" i="10"/>
  <c r="H59" i="10"/>
  <c r="H60" i="10"/>
  <c r="H62" i="10"/>
  <c r="H58" i="10"/>
  <c r="E65" i="10"/>
  <c r="E66" i="10"/>
  <c r="E68" i="10"/>
  <c r="D64" i="10"/>
  <c r="D65" i="10"/>
  <c r="D66" i="10"/>
  <c r="D68" i="10"/>
  <c r="C65" i="10"/>
  <c r="C66" i="10"/>
  <c r="C68" i="10"/>
  <c r="C64" i="10"/>
  <c r="D58" i="10"/>
  <c r="D59" i="10"/>
  <c r="D60" i="10"/>
  <c r="D62" i="10"/>
  <c r="C59" i="10"/>
  <c r="C60" i="10"/>
  <c r="C62" i="10"/>
  <c r="C58" i="10"/>
  <c r="E59" i="10"/>
  <c r="E60" i="10"/>
  <c r="E62" i="10"/>
  <c r="F8" i="10"/>
  <c r="D23" i="10" s="1"/>
  <c r="V23" i="10"/>
  <c r="U23" i="10"/>
  <c r="T23" i="10"/>
  <c r="S23" i="10"/>
  <c r="R23" i="10"/>
  <c r="Q23" i="10"/>
  <c r="P23" i="10"/>
  <c r="D52" i="22"/>
  <c r="D48" i="22"/>
  <c r="I5" i="29" l="1"/>
  <c r="J65" i="10"/>
  <c r="M12" i="28"/>
  <c r="K11" i="28"/>
  <c r="K67" i="10"/>
  <c r="K61" i="10"/>
  <c r="K68" i="10"/>
  <c r="K66" i="10"/>
  <c r="O61" i="10"/>
  <c r="O67" i="10"/>
  <c r="O68" i="10"/>
  <c r="O66" i="10"/>
  <c r="L67" i="10"/>
  <c r="L61" i="10"/>
  <c r="L68" i="10"/>
  <c r="L66" i="10"/>
  <c r="P61" i="10"/>
  <c r="P68" i="10"/>
  <c r="P67" i="10"/>
  <c r="P66" i="10"/>
  <c r="M68" i="10"/>
  <c r="M61" i="10"/>
  <c r="M67" i="10"/>
  <c r="M66" i="10"/>
  <c r="J68" i="10"/>
  <c r="J67" i="10"/>
  <c r="J61" i="10"/>
  <c r="J66" i="10"/>
  <c r="N68" i="10"/>
  <c r="N61" i="10"/>
  <c r="N67" i="10"/>
  <c r="N66" i="10"/>
  <c r="K59" i="10"/>
  <c r="K60" i="10"/>
  <c r="K62" i="10"/>
  <c r="K65" i="10"/>
  <c r="O59" i="10"/>
  <c r="O60" i="10"/>
  <c r="O62" i="10"/>
  <c r="O65" i="10"/>
  <c r="J62" i="10"/>
  <c r="J59" i="10"/>
  <c r="J60" i="10"/>
  <c r="L65" i="10"/>
  <c r="L59" i="10"/>
  <c r="L60" i="10"/>
  <c r="L62" i="10"/>
  <c r="P65" i="10"/>
  <c r="P59" i="10"/>
  <c r="P60" i="10"/>
  <c r="P62" i="10"/>
  <c r="N60" i="10"/>
  <c r="N62" i="10"/>
  <c r="N65" i="10"/>
  <c r="N59" i="10"/>
  <c r="M62" i="10"/>
  <c r="M65" i="10"/>
  <c r="M59" i="10"/>
  <c r="M60" i="10"/>
  <c r="J23" i="10"/>
  <c r="H28" i="10"/>
  <c r="L28" i="10"/>
  <c r="I28" i="10"/>
  <c r="M28" i="10"/>
  <c r="K28" i="10"/>
  <c r="G28" i="10"/>
  <c r="J27" i="10"/>
  <c r="J28" i="10"/>
  <c r="M27" i="10"/>
  <c r="I27" i="10"/>
  <c r="L27" i="10"/>
  <c r="H27" i="10"/>
  <c r="K27" i="10"/>
  <c r="G27" i="10"/>
  <c r="I22" i="10"/>
  <c r="M22" i="10"/>
  <c r="J22" i="10"/>
  <c r="H22" i="10"/>
  <c r="G22" i="10"/>
  <c r="K22" i="10"/>
  <c r="L22" i="10"/>
  <c r="M23" i="10"/>
  <c r="L23" i="10"/>
  <c r="H23" i="10"/>
  <c r="I23" i="10"/>
  <c r="K23" i="10"/>
  <c r="G23" i="10"/>
  <c r="I10" i="26"/>
  <c r="L10" i="26" s="1"/>
  <c r="O39" i="22"/>
  <c r="P39" i="22"/>
  <c r="Q39" i="22"/>
  <c r="R39" i="22"/>
  <c r="S39" i="22"/>
  <c r="T39" i="22"/>
  <c r="I45" i="10" l="1"/>
  <c r="I40" i="10"/>
  <c r="I47" i="10"/>
  <c r="G21" i="24"/>
  <c r="K51" i="22"/>
  <c r="K54" i="22"/>
  <c r="H51" i="22"/>
  <c r="H54" i="22"/>
  <c r="E54" i="22"/>
  <c r="J51" i="22"/>
  <c r="J54" i="22"/>
  <c r="I51" i="22"/>
  <c r="I54" i="22"/>
  <c r="G51" i="22"/>
  <c r="G54" i="22"/>
  <c r="F51" i="22"/>
  <c r="F54" i="22"/>
  <c r="G7" i="10"/>
  <c r="G12" i="10"/>
  <c r="I39" i="10"/>
  <c r="G13" i="10"/>
  <c r="L19" i="35"/>
  <c r="G9" i="24" s="1"/>
  <c r="L12" i="35"/>
  <c r="L11" i="26"/>
  <c r="L16" i="26"/>
  <c r="L9" i="26"/>
  <c r="L18" i="26"/>
  <c r="I46" i="10"/>
  <c r="I38" i="10"/>
  <c r="I41" i="10"/>
  <c r="G8" i="10"/>
  <c r="E47" i="22"/>
  <c r="H58" i="22"/>
  <c r="E58" i="22"/>
  <c r="J58" i="22"/>
  <c r="H47" i="22"/>
  <c r="E57" i="22"/>
  <c r="H57" i="22"/>
  <c r="J47" i="22"/>
  <c r="F47" i="22"/>
  <c r="I48" i="22"/>
  <c r="H52" i="22"/>
  <c r="E56" i="22"/>
  <c r="H56" i="22"/>
  <c r="K57" i="22"/>
  <c r="G57" i="22"/>
  <c r="F58" i="22"/>
  <c r="K48" i="22"/>
  <c r="G48" i="22"/>
  <c r="J52" i="22"/>
  <c r="F52" i="22"/>
  <c r="J56" i="22"/>
  <c r="F56" i="22"/>
  <c r="I57" i="22"/>
  <c r="K47" i="22"/>
  <c r="G47" i="22"/>
  <c r="J48" i="22"/>
  <c r="F48" i="22"/>
  <c r="I52" i="22"/>
  <c r="I56" i="22"/>
  <c r="K58" i="22"/>
  <c r="G58" i="22"/>
  <c r="I47" i="22"/>
  <c r="E48" i="22"/>
  <c r="H48" i="22"/>
  <c r="K52" i="22"/>
  <c r="G52" i="22"/>
  <c r="K56" i="22"/>
  <c r="G56" i="22"/>
  <c r="J57" i="22"/>
  <c r="F57" i="22"/>
  <c r="I58" i="22"/>
  <c r="G18" i="22" l="1"/>
  <c r="I51" i="25"/>
  <c r="G20" i="22"/>
  <c r="G21" i="22"/>
  <c r="G11" i="22"/>
  <c r="E55" i="22"/>
  <c r="G59" i="22"/>
  <c r="H55" i="22"/>
  <c r="E59" i="22"/>
  <c r="K55" i="22"/>
  <c r="H59" i="22"/>
  <c r="F59" i="22"/>
  <c r="J59" i="22"/>
  <c r="G55" i="22"/>
  <c r="F55" i="22"/>
  <c r="I55" i="22"/>
  <c r="J55" i="22"/>
  <c r="I59" i="22"/>
  <c r="K59" i="22"/>
  <c r="L20" i="35"/>
  <c r="F10" i="30"/>
  <c r="D21" i="24" l="1"/>
  <c r="H21" i="24" s="1"/>
  <c r="G19" i="22"/>
  <c r="E7" i="8" s="1"/>
  <c r="G23" i="22"/>
  <c r="P7" i="8" l="1"/>
  <c r="F7" i="8"/>
  <c r="G7" i="8" s="1"/>
  <c r="D5" i="24"/>
  <c r="D6" i="24"/>
  <c r="G20" i="24" l="1"/>
  <c r="N16" i="30"/>
  <c r="N17" i="30"/>
  <c r="H17" i="30"/>
  <c r="H16" i="30"/>
  <c r="N12" i="30"/>
  <c r="H12" i="30"/>
  <c r="N5" i="30"/>
  <c r="N6" i="30"/>
  <c r="K7" i="29"/>
  <c r="K8" i="29"/>
  <c r="K9" i="29"/>
  <c r="K10" i="29"/>
  <c r="K11" i="29"/>
  <c r="K12" i="29"/>
  <c r="K13" i="29"/>
  <c r="K14" i="29"/>
  <c r="K15" i="29"/>
  <c r="G17" i="24" l="1"/>
  <c r="F6" i="29" l="1"/>
  <c r="H6" i="29"/>
  <c r="H5" i="29"/>
  <c r="F5" i="29"/>
  <c r="K5" i="29" s="1"/>
  <c r="K16" i="29" l="1"/>
  <c r="K6" i="29"/>
  <c r="M22" i="25"/>
  <c r="L22" i="25"/>
  <c r="K22" i="25"/>
  <c r="M21" i="25"/>
  <c r="L21" i="25"/>
  <c r="K21" i="25"/>
  <c r="M20" i="25"/>
  <c r="L20" i="25"/>
  <c r="K20" i="25"/>
  <c r="M19" i="25"/>
  <c r="L19" i="25"/>
  <c r="K19" i="25"/>
  <c r="M18" i="25"/>
  <c r="L18" i="25"/>
  <c r="K18" i="25"/>
  <c r="J15" i="28"/>
  <c r="J11" i="28"/>
  <c r="J6" i="28"/>
  <c r="M6" i="28" s="1"/>
  <c r="J7" i="28"/>
  <c r="M7" i="28" s="1"/>
  <c r="J9" i="28"/>
  <c r="M9" i="28" s="1"/>
  <c r="J5" i="28"/>
  <c r="L11" i="30" l="1"/>
  <c r="N11" i="30" s="1"/>
  <c r="G19" i="24" s="1"/>
  <c r="C12" i="40"/>
  <c r="D11" i="30"/>
  <c r="F11" i="30" s="1"/>
  <c r="H11" i="30" s="1"/>
  <c r="D19" i="24" s="1"/>
  <c r="F19" i="24" s="1"/>
  <c r="K18" i="29"/>
  <c r="D6" i="38" s="1"/>
  <c r="D10" i="30" l="1"/>
  <c r="D13" i="30" s="1"/>
  <c r="E12" i="30" s="1"/>
  <c r="D9" i="24"/>
  <c r="N10" i="30"/>
  <c r="H19" i="24"/>
  <c r="H10" i="30" l="1"/>
  <c r="H13" i="30" s="1"/>
  <c r="J13" i="30"/>
  <c r="K12" i="30" s="1"/>
  <c r="H9" i="24"/>
  <c r="E10" i="30"/>
  <c r="E11" i="30"/>
  <c r="C6" i="39"/>
  <c r="D6" i="39" s="1"/>
  <c r="N13" i="30" s="1"/>
  <c r="E13" i="30" l="1"/>
  <c r="K10" i="25"/>
  <c r="L10" i="25"/>
  <c r="M10" i="25"/>
  <c r="K11" i="25"/>
  <c r="L11" i="25"/>
  <c r="M11" i="25"/>
  <c r="M9" i="25"/>
  <c r="L9" i="25"/>
  <c r="K9" i="25"/>
  <c r="AB35" i="25"/>
  <c r="AB34" i="25"/>
  <c r="AB33" i="25"/>
  <c r="AB32" i="25"/>
  <c r="AB31" i="25"/>
  <c r="AB30" i="25"/>
  <c r="AB29" i="25"/>
  <c r="AB28" i="25"/>
  <c r="AB27" i="25"/>
  <c r="X35" i="25"/>
  <c r="X34" i="25"/>
  <c r="X33" i="25"/>
  <c r="X32" i="25"/>
  <c r="X31" i="25"/>
  <c r="X30" i="25"/>
  <c r="X29" i="25"/>
  <c r="X28" i="25"/>
  <c r="X27" i="25"/>
  <c r="J19" i="25" l="1"/>
  <c r="J7" i="25"/>
  <c r="J16" i="25" s="1"/>
  <c r="N8" i="25"/>
  <c r="J15" i="25"/>
  <c r="J6" i="25"/>
  <c r="N19" i="25"/>
  <c r="N7" i="25"/>
  <c r="N6" i="25"/>
  <c r="N15" i="25"/>
  <c r="J8" i="25"/>
  <c r="J17" i="25" s="1"/>
  <c r="J10" i="25"/>
  <c r="N22" i="25"/>
  <c r="N10" i="25"/>
  <c r="J21" i="25"/>
  <c r="J11" i="25"/>
  <c r="J20" i="25"/>
  <c r="N9" i="25"/>
  <c r="N18" i="25"/>
  <c r="J9" i="25"/>
  <c r="J18" i="25"/>
  <c r="J22" i="25"/>
  <c r="N21" i="25"/>
  <c r="N11" i="25"/>
  <c r="N20" i="25"/>
  <c r="O19" i="25" l="1"/>
  <c r="O6" i="25"/>
  <c r="O15" i="25"/>
  <c r="N16" i="25"/>
  <c r="O7" i="25"/>
  <c r="N17" i="25"/>
  <c r="O10" i="25"/>
  <c r="O22" i="25"/>
  <c r="M15" i="28"/>
  <c r="M5" i="28"/>
  <c r="E64" i="10"/>
  <c r="J64" i="10" l="1"/>
  <c r="O64" i="10"/>
  <c r="O69" i="10" s="1"/>
  <c r="K64" i="10"/>
  <c r="K69" i="10" s="1"/>
  <c r="L64" i="10"/>
  <c r="L69" i="10" s="1"/>
  <c r="M64" i="10"/>
  <c r="M69" i="10" s="1"/>
  <c r="N64" i="10"/>
  <c r="N69" i="10" s="1"/>
  <c r="P64" i="10"/>
  <c r="P69" i="10" s="1"/>
  <c r="W15" i="42"/>
  <c r="W18" i="42"/>
  <c r="W19" i="42"/>
  <c r="W14" i="42"/>
  <c r="W17" i="42"/>
  <c r="W13" i="42"/>
  <c r="W16" i="42"/>
  <c r="O16" i="25"/>
  <c r="L8" i="26"/>
  <c r="M11" i="28"/>
  <c r="M16" i="28" s="1"/>
  <c r="M10" i="28"/>
  <c r="L14" i="26"/>
  <c r="L13" i="26"/>
  <c r="L15" i="26"/>
  <c r="L6" i="26"/>
  <c r="L7" i="26"/>
  <c r="L19" i="26" l="1"/>
  <c r="G10" i="24" s="1"/>
  <c r="I44" i="10"/>
  <c r="I49" i="10" s="1"/>
  <c r="W20" i="42"/>
  <c r="J69" i="10"/>
  <c r="M17" i="28"/>
  <c r="C15" i="40" l="1"/>
  <c r="L7" i="30"/>
  <c r="L12" i="26"/>
  <c r="D10" i="24" l="1"/>
  <c r="H10" i="24" s="1"/>
  <c r="F7" i="30"/>
  <c r="L20" i="26"/>
  <c r="H6" i="30"/>
  <c r="D20" i="24" s="1"/>
  <c r="E9" i="8" l="1"/>
  <c r="P9" i="8" s="1"/>
  <c r="F9" i="8"/>
  <c r="H20" i="24"/>
  <c r="M58" i="10" l="1"/>
  <c r="M63" i="10" s="1"/>
  <c r="M70" i="10" s="1"/>
  <c r="J58" i="10"/>
  <c r="K58" i="10"/>
  <c r="K63" i="10" s="1"/>
  <c r="K70" i="10" s="1"/>
  <c r="L58" i="10"/>
  <c r="L63" i="10" s="1"/>
  <c r="L70" i="10" s="1"/>
  <c r="N58" i="10"/>
  <c r="N63" i="10" s="1"/>
  <c r="N70" i="10" s="1"/>
  <c r="O58" i="10"/>
  <c r="O63" i="10" s="1"/>
  <c r="O70" i="10" s="1"/>
  <c r="P58" i="10"/>
  <c r="P63" i="10" s="1"/>
  <c r="P70" i="10" s="1"/>
  <c r="I37" i="10" l="1"/>
  <c r="I42" i="10" s="1"/>
  <c r="J63" i="10"/>
  <c r="J70" i="10" s="1"/>
  <c r="Z74" i="19" l="1"/>
  <c r="AI90" i="19" s="1"/>
  <c r="E28" i="22" s="1"/>
  <c r="AC78" i="19"/>
  <c r="I52" i="10"/>
  <c r="AB74" i="19"/>
  <c r="AI92" i="19" s="1"/>
  <c r="E30" i="22" s="1"/>
  <c r="AA74" i="19"/>
  <c r="AI91" i="19" s="1"/>
  <c r="E29" i="22" s="1"/>
  <c r="N19" i="7"/>
  <c r="N55" i="7"/>
  <c r="M55" i="7"/>
  <c r="E26" i="34" l="1"/>
  <c r="F15" i="24"/>
  <c r="G11" i="25"/>
  <c r="G20" i="25" s="1"/>
  <c r="AF10" i="19"/>
  <c r="T44" i="24"/>
  <c r="G8" i="25"/>
  <c r="G66" i="22"/>
  <c r="E66" i="22"/>
  <c r="I66" i="22"/>
  <c r="J66" i="22"/>
  <c r="H66" i="22"/>
  <c r="F66" i="22"/>
  <c r="K66" i="22"/>
  <c r="E65" i="22"/>
  <c r="G65" i="22"/>
  <c r="F65" i="22"/>
  <c r="I65" i="22"/>
  <c r="H65" i="22"/>
  <c r="K65" i="22"/>
  <c r="J65" i="22"/>
  <c r="I64" i="22"/>
  <c r="G64" i="22"/>
  <c r="J64" i="22"/>
  <c r="H64" i="22"/>
  <c r="E64" i="22"/>
  <c r="K64" i="22"/>
  <c r="F64" i="22"/>
  <c r="F57" i="34"/>
  <c r="J57" i="34"/>
  <c r="G57" i="34"/>
  <c r="K57" i="34"/>
  <c r="H57" i="34"/>
  <c r="E57" i="34"/>
  <c r="I57" i="34"/>
  <c r="Z76" i="19"/>
  <c r="Q74" i="19"/>
  <c r="AI86" i="19" s="1"/>
  <c r="E24" i="22" s="1"/>
  <c r="S74" i="19"/>
  <c r="AI88" i="19" s="1"/>
  <c r="E26" i="22" s="1"/>
  <c r="F13" i="8"/>
  <c r="J13" i="8"/>
  <c r="J14" i="8"/>
  <c r="S37" i="24" l="1"/>
  <c r="T38" i="24" s="1"/>
  <c r="O11" i="25"/>
  <c r="G17" i="25"/>
  <c r="O8" i="25"/>
  <c r="O17" i="25" s="1"/>
  <c r="L7" i="14"/>
  <c r="G8" i="41"/>
  <c r="O20" i="25"/>
  <c r="G60" i="22"/>
  <c r="F60" i="22"/>
  <c r="H60" i="22"/>
  <c r="I60" i="22"/>
  <c r="E60" i="22"/>
  <c r="K60" i="22"/>
  <c r="J60" i="22"/>
  <c r="G25" i="34"/>
  <c r="D10" i="10"/>
  <c r="G30" i="22"/>
  <c r="G29" i="22"/>
  <c r="G28" i="22"/>
  <c r="G58" i="34"/>
  <c r="K58" i="34"/>
  <c r="H58" i="34"/>
  <c r="I58" i="34"/>
  <c r="F58" i="34"/>
  <c r="J58" i="34"/>
  <c r="I62" i="22"/>
  <c r="H62" i="22"/>
  <c r="J62" i="22"/>
  <c r="E62" i="22"/>
  <c r="K62" i="22"/>
  <c r="G62" i="22"/>
  <c r="F62" i="22"/>
  <c r="E152" i="31"/>
  <c r="E296" i="31"/>
  <c r="G14" i="8"/>
  <c r="G9" i="8"/>
  <c r="E128" i="31"/>
  <c r="E297" i="31"/>
  <c r="K14" i="8"/>
  <c r="E56" i="31"/>
  <c r="E273" i="31"/>
  <c r="K13" i="8"/>
  <c r="E272" i="31"/>
  <c r="G13" i="8"/>
  <c r="H6" i="24"/>
  <c r="E22" i="14" l="1"/>
  <c r="D11" i="8" s="1"/>
  <c r="D197" i="31" s="1"/>
  <c r="L12" i="14"/>
  <c r="L16" i="14" s="1"/>
  <c r="C8" i="39" s="1"/>
  <c r="G14" i="41"/>
  <c r="O14" i="41" s="1"/>
  <c r="O8" i="41"/>
  <c r="G24" i="22"/>
  <c r="H45" i="22"/>
  <c r="K45" i="22"/>
  <c r="E45" i="22"/>
  <c r="F45" i="22"/>
  <c r="I45" i="22"/>
  <c r="J45" i="22"/>
  <c r="G45" i="22"/>
  <c r="G26" i="34"/>
  <c r="U272" i="31"/>
  <c r="O272" i="31"/>
  <c r="T272" i="31"/>
  <c r="M272" i="31"/>
  <c r="S272" i="31"/>
  <c r="K272" i="31"/>
  <c r="W272" i="31"/>
  <c r="X272" i="31"/>
  <c r="Q272" i="31"/>
  <c r="J272" i="31"/>
  <c r="F272" i="31"/>
  <c r="R272" i="31"/>
  <c r="N272" i="31"/>
  <c r="V272" i="31"/>
  <c r="H272" i="31"/>
  <c r="G272" i="31"/>
  <c r="P272" i="31"/>
  <c r="I272" i="31"/>
  <c r="E277" i="31"/>
  <c r="E281" i="31" s="1"/>
  <c r="L272" i="31"/>
  <c r="U297" i="31"/>
  <c r="N297" i="31"/>
  <c r="L297" i="31"/>
  <c r="Q297" i="31"/>
  <c r="P297" i="31"/>
  <c r="V297" i="31"/>
  <c r="T297" i="31"/>
  <c r="K297" i="31"/>
  <c r="G297" i="31"/>
  <c r="J297" i="31"/>
  <c r="X297" i="31"/>
  <c r="O297" i="31"/>
  <c r="R297" i="31"/>
  <c r="E302" i="31"/>
  <c r="E306" i="31" s="1"/>
  <c r="S297" i="31"/>
  <c r="F297" i="31"/>
  <c r="W297" i="31"/>
  <c r="I297" i="31"/>
  <c r="H297" i="31"/>
  <c r="M297" i="31"/>
  <c r="W296" i="31"/>
  <c r="T296" i="31"/>
  <c r="X296" i="31"/>
  <c r="K296" i="31"/>
  <c r="E301" i="31"/>
  <c r="E305" i="31" s="1"/>
  <c r="O296" i="31"/>
  <c r="F296" i="31"/>
  <c r="J296" i="31"/>
  <c r="S296" i="31"/>
  <c r="L296" i="31"/>
  <c r="P296" i="31"/>
  <c r="V296" i="31"/>
  <c r="U296" i="31"/>
  <c r="N296" i="31"/>
  <c r="H296" i="31"/>
  <c r="M296" i="31"/>
  <c r="I296" i="31"/>
  <c r="R296" i="31"/>
  <c r="G296" i="31"/>
  <c r="Q296" i="31"/>
  <c r="L11" i="14"/>
  <c r="D16" i="24" s="1"/>
  <c r="V273" i="31"/>
  <c r="H273" i="31"/>
  <c r="K273" i="31"/>
  <c r="S273" i="31"/>
  <c r="L273" i="31"/>
  <c r="I273" i="31"/>
  <c r="F273" i="31"/>
  <c r="E278" i="31"/>
  <c r="E282" i="31" s="1"/>
  <c r="P273" i="31"/>
  <c r="M273" i="31"/>
  <c r="J273" i="31"/>
  <c r="G273" i="31"/>
  <c r="T273" i="31"/>
  <c r="Q273" i="31"/>
  <c r="N273" i="31"/>
  <c r="W273" i="31"/>
  <c r="X273" i="31"/>
  <c r="U273" i="31"/>
  <c r="R273" i="31"/>
  <c r="O273" i="31"/>
  <c r="F56" i="31"/>
  <c r="J56" i="31"/>
  <c r="S56" i="31"/>
  <c r="N56" i="31"/>
  <c r="X56" i="31"/>
  <c r="E61" i="31"/>
  <c r="E65" i="31" s="1"/>
  <c r="V56" i="31"/>
  <c r="K56" i="31"/>
  <c r="G56" i="31"/>
  <c r="R56" i="31"/>
  <c r="M56" i="31"/>
  <c r="T56" i="31"/>
  <c r="W56" i="31"/>
  <c r="U56" i="31"/>
  <c r="I56" i="31"/>
  <c r="H56" i="31"/>
  <c r="P56" i="31"/>
  <c r="L56" i="31"/>
  <c r="O56" i="31"/>
  <c r="Q56" i="31"/>
  <c r="I128" i="31"/>
  <c r="K128" i="31"/>
  <c r="W128" i="31"/>
  <c r="N128" i="31"/>
  <c r="P128" i="31"/>
  <c r="J128" i="31"/>
  <c r="V128" i="31"/>
  <c r="R128" i="31"/>
  <c r="T128" i="31"/>
  <c r="X128" i="31"/>
  <c r="L128" i="31"/>
  <c r="Q128" i="31"/>
  <c r="U128" i="31"/>
  <c r="O128" i="31"/>
  <c r="G128" i="31"/>
  <c r="E133" i="31"/>
  <c r="E137" i="31" s="1"/>
  <c r="H128" i="31"/>
  <c r="S128" i="31"/>
  <c r="M128" i="31"/>
  <c r="F128" i="31"/>
  <c r="V152" i="31"/>
  <c r="O152" i="31"/>
  <c r="I152" i="31"/>
  <c r="F152" i="31"/>
  <c r="E157" i="31"/>
  <c r="E161" i="31" s="1"/>
  <c r="K152" i="31"/>
  <c r="M152" i="31"/>
  <c r="J152" i="31"/>
  <c r="H152" i="31"/>
  <c r="Q152" i="31"/>
  <c r="N152" i="31"/>
  <c r="G152" i="31"/>
  <c r="P152" i="31"/>
  <c r="U152" i="31"/>
  <c r="R152" i="31"/>
  <c r="X152" i="31"/>
  <c r="T152" i="31"/>
  <c r="L152" i="31"/>
  <c r="W152" i="31"/>
  <c r="S152" i="31"/>
  <c r="F6" i="10"/>
  <c r="D21" i="10" s="1"/>
  <c r="F11" i="10"/>
  <c r="D4" i="11"/>
  <c r="F5" i="10"/>
  <c r="F10" i="10"/>
  <c r="D25" i="10" s="1"/>
  <c r="D20" i="10" l="1"/>
  <c r="H20" i="10" s="1"/>
  <c r="D26" i="10"/>
  <c r="M26" i="10" s="1"/>
  <c r="D30" i="24"/>
  <c r="D29" i="24"/>
  <c r="D31" i="24"/>
  <c r="G9" i="22"/>
  <c r="E46" i="22"/>
  <c r="J46" i="22"/>
  <c r="F46" i="22"/>
  <c r="I46" i="22"/>
  <c r="K46" i="22"/>
  <c r="H46" i="22"/>
  <c r="G46" i="22"/>
  <c r="E41" i="34"/>
  <c r="H41" i="34"/>
  <c r="G41" i="34"/>
  <c r="K41" i="34"/>
  <c r="F41" i="34"/>
  <c r="I41" i="34"/>
  <c r="J41" i="34"/>
  <c r="Q74" i="34"/>
  <c r="D8" i="8"/>
  <c r="D101" i="31" s="1"/>
  <c r="I13" i="30"/>
  <c r="E30" i="24" s="1"/>
  <c r="E39" i="42"/>
  <c r="E40" i="42"/>
  <c r="E36" i="42"/>
  <c r="E35" i="42"/>
  <c r="E37" i="42"/>
  <c r="E38" i="42"/>
  <c r="E34" i="42"/>
  <c r="E13" i="42"/>
  <c r="E14" i="42"/>
  <c r="E19" i="42"/>
  <c r="E18" i="42"/>
  <c r="E15" i="42"/>
  <c r="E17" i="42"/>
  <c r="E16" i="42"/>
  <c r="N301" i="31"/>
  <c r="O301" i="31"/>
  <c r="V302" i="31"/>
  <c r="I277" i="31"/>
  <c r="J277" i="31"/>
  <c r="O277" i="31"/>
  <c r="M133" i="31"/>
  <c r="N133" i="31"/>
  <c r="H61" i="31"/>
  <c r="G61" i="31"/>
  <c r="F61" i="31"/>
  <c r="F65" i="31" s="1"/>
  <c r="Q278" i="31"/>
  <c r="I278" i="31"/>
  <c r="D8" i="39"/>
  <c r="U157" i="31"/>
  <c r="K157" i="31"/>
  <c r="S133" i="31"/>
  <c r="X133" i="31"/>
  <c r="W133" i="31"/>
  <c r="I61" i="31"/>
  <c r="K61" i="31"/>
  <c r="T278" i="31"/>
  <c r="L278" i="31"/>
  <c r="U301" i="31"/>
  <c r="R302" i="31"/>
  <c r="P302" i="31"/>
  <c r="P277" i="31"/>
  <c r="Q277" i="31"/>
  <c r="U277" i="31"/>
  <c r="Q301" i="31"/>
  <c r="V301" i="31"/>
  <c r="K301" i="31"/>
  <c r="M302" i="31"/>
  <c r="O302" i="31"/>
  <c r="Q302" i="31"/>
  <c r="G277" i="31"/>
  <c r="X277" i="31"/>
  <c r="T133" i="31"/>
  <c r="I133" i="31"/>
  <c r="R278" i="31"/>
  <c r="J278" i="31"/>
  <c r="K278" i="31"/>
  <c r="G301" i="31"/>
  <c r="P301" i="31"/>
  <c r="X301" i="31"/>
  <c r="H302" i="31"/>
  <c r="X302" i="31"/>
  <c r="L302" i="31"/>
  <c r="H277" i="31"/>
  <c r="W277" i="31"/>
  <c r="R157" i="31"/>
  <c r="K133" i="31"/>
  <c r="S278" i="31"/>
  <c r="W157" i="31"/>
  <c r="N157" i="31"/>
  <c r="I157" i="31"/>
  <c r="G133" i="31"/>
  <c r="R133" i="31"/>
  <c r="Q61" i="31"/>
  <c r="W61" i="31"/>
  <c r="X61" i="31"/>
  <c r="U278" i="31"/>
  <c r="M278" i="31"/>
  <c r="H278" i="31"/>
  <c r="R301" i="31"/>
  <c r="L301" i="31"/>
  <c r="T301" i="31"/>
  <c r="I302" i="31"/>
  <c r="J302" i="31"/>
  <c r="N302" i="31"/>
  <c r="V277" i="31"/>
  <c r="K277" i="31"/>
  <c r="O278" i="31"/>
  <c r="G278" i="31"/>
  <c r="S157" i="31"/>
  <c r="G157" i="31"/>
  <c r="F157" i="31"/>
  <c r="F161" i="31" s="1"/>
  <c r="L157" i="31"/>
  <c r="Q157" i="31"/>
  <c r="O157" i="31"/>
  <c r="O133" i="31"/>
  <c r="V133" i="31"/>
  <c r="O61" i="31"/>
  <c r="T61" i="31"/>
  <c r="N61" i="31"/>
  <c r="X278" i="31"/>
  <c r="P278" i="31"/>
  <c r="V278" i="31"/>
  <c r="I301" i="31"/>
  <c r="S301" i="31"/>
  <c r="W301" i="31"/>
  <c r="W302" i="31"/>
  <c r="G302" i="31"/>
  <c r="U302" i="31"/>
  <c r="N277" i="31"/>
  <c r="S277" i="31"/>
  <c r="M157" i="31"/>
  <c r="H133" i="31"/>
  <c r="V61" i="31"/>
  <c r="T157" i="31"/>
  <c r="H157" i="31"/>
  <c r="V157" i="31"/>
  <c r="U133" i="31"/>
  <c r="J133" i="31"/>
  <c r="L61" i="31"/>
  <c r="M61" i="31"/>
  <c r="S61" i="31"/>
  <c r="W278" i="31"/>
  <c r="M301" i="31"/>
  <c r="J301" i="31"/>
  <c r="D210" i="31"/>
  <c r="D209" i="31"/>
  <c r="D202" i="31"/>
  <c r="D203" i="31"/>
  <c r="F302" i="31"/>
  <c r="F306" i="31" s="1"/>
  <c r="K302" i="31"/>
  <c r="L277" i="31"/>
  <c r="R277" i="31"/>
  <c r="M277" i="31"/>
  <c r="L133" i="31"/>
  <c r="P157" i="31"/>
  <c r="U61" i="31"/>
  <c r="X157" i="31"/>
  <c r="J157" i="31"/>
  <c r="F133" i="31"/>
  <c r="F137" i="31" s="1"/>
  <c r="Q133" i="31"/>
  <c r="P133" i="31"/>
  <c r="P61" i="31"/>
  <c r="R61" i="31"/>
  <c r="J61" i="31"/>
  <c r="N278" i="31"/>
  <c r="F278" i="31"/>
  <c r="F282" i="31" s="1"/>
  <c r="H301" i="31"/>
  <c r="F301" i="31"/>
  <c r="F305" i="31" s="1"/>
  <c r="S302" i="31"/>
  <c r="T302" i="31"/>
  <c r="F277" i="31"/>
  <c r="F281" i="31" s="1"/>
  <c r="T277" i="31"/>
  <c r="G21" i="10"/>
  <c r="J21" i="10"/>
  <c r="M21" i="10"/>
  <c r="L21" i="10"/>
  <c r="K21" i="10"/>
  <c r="I21" i="10"/>
  <c r="H21" i="10"/>
  <c r="O13" i="30"/>
  <c r="F30" i="24" s="1"/>
  <c r="G20" i="10"/>
  <c r="L17" i="14"/>
  <c r="E11" i="8" s="1"/>
  <c r="M25" i="10"/>
  <c r="I25" i="10"/>
  <c r="L25" i="10"/>
  <c r="H25" i="10"/>
  <c r="K25" i="10"/>
  <c r="G25" i="10"/>
  <c r="J25" i="10"/>
  <c r="J20" i="10" l="1"/>
  <c r="J24" i="10" s="1"/>
  <c r="K20" i="10"/>
  <c r="K24" i="10" s="1"/>
  <c r="M20" i="10"/>
  <c r="M24" i="10" s="1"/>
  <c r="I20" i="10"/>
  <c r="I24" i="10" s="1"/>
  <c r="L20" i="10"/>
  <c r="L24" i="10" s="1"/>
  <c r="G26" i="10"/>
  <c r="G29" i="10" s="1"/>
  <c r="H26" i="10"/>
  <c r="H29" i="10" s="1"/>
  <c r="K26" i="10"/>
  <c r="K29" i="10" s="1"/>
  <c r="L26" i="10"/>
  <c r="L29" i="10" s="1"/>
  <c r="I26" i="10"/>
  <c r="I29" i="10" s="1"/>
  <c r="H24" i="10"/>
  <c r="J26" i="10"/>
  <c r="J29" i="10" s="1"/>
  <c r="G9" i="34"/>
  <c r="G42" i="34"/>
  <c r="K42" i="34"/>
  <c r="F42" i="34"/>
  <c r="E42" i="34"/>
  <c r="H42" i="34"/>
  <c r="J42" i="34"/>
  <c r="I42" i="34"/>
  <c r="G305" i="31"/>
  <c r="H305" i="31" s="1"/>
  <c r="I305" i="31" s="1"/>
  <c r="J305" i="31" s="1"/>
  <c r="K305" i="31" s="1"/>
  <c r="L305" i="31" s="1"/>
  <c r="M305" i="31" s="1"/>
  <c r="N305" i="31" s="1"/>
  <c r="O305" i="31" s="1"/>
  <c r="P305" i="31" s="1"/>
  <c r="Q305" i="31" s="1"/>
  <c r="R305" i="31" s="1"/>
  <c r="S305" i="31" s="1"/>
  <c r="T305" i="31" s="1"/>
  <c r="U305" i="31" s="1"/>
  <c r="V305" i="31" s="1"/>
  <c r="W305" i="31" s="1"/>
  <c r="X305" i="31" s="1"/>
  <c r="M29" i="10"/>
  <c r="E20" i="42"/>
  <c r="D12" i="24" s="1"/>
  <c r="E41" i="42"/>
  <c r="G12" i="24" s="1"/>
  <c r="G282" i="31"/>
  <c r="H282" i="31" s="1"/>
  <c r="I282" i="31" s="1"/>
  <c r="J282" i="31" s="1"/>
  <c r="K282" i="31" s="1"/>
  <c r="L282" i="31" s="1"/>
  <c r="M282" i="31" s="1"/>
  <c r="N282" i="31" s="1"/>
  <c r="O282" i="31" s="1"/>
  <c r="P282" i="31" s="1"/>
  <c r="Q282" i="31" s="1"/>
  <c r="R282" i="31" s="1"/>
  <c r="S282" i="31" s="1"/>
  <c r="T282" i="31" s="1"/>
  <c r="U282" i="31" s="1"/>
  <c r="V282" i="31" s="1"/>
  <c r="W282" i="31" s="1"/>
  <c r="X282" i="31" s="1"/>
  <c r="G306" i="31"/>
  <c r="H306" i="31" s="1"/>
  <c r="I306" i="31" s="1"/>
  <c r="J306" i="31" s="1"/>
  <c r="K306" i="31" s="1"/>
  <c r="L306" i="31" s="1"/>
  <c r="M306" i="31" s="1"/>
  <c r="N306" i="31" s="1"/>
  <c r="O306" i="31" s="1"/>
  <c r="P306" i="31" s="1"/>
  <c r="Q306" i="31" s="1"/>
  <c r="R306" i="31" s="1"/>
  <c r="S306" i="31" s="1"/>
  <c r="T306" i="31" s="1"/>
  <c r="U306" i="31" s="1"/>
  <c r="V306" i="31" s="1"/>
  <c r="W306" i="31" s="1"/>
  <c r="X306" i="31" s="1"/>
  <c r="G161" i="31"/>
  <c r="H161" i="31" s="1"/>
  <c r="I161" i="31" s="1"/>
  <c r="J161" i="31" s="1"/>
  <c r="K161" i="31" s="1"/>
  <c r="L161" i="31" s="1"/>
  <c r="M161" i="31" s="1"/>
  <c r="N161" i="31" s="1"/>
  <c r="G281" i="31"/>
  <c r="H281" i="31" s="1"/>
  <c r="I281" i="31" s="1"/>
  <c r="J281" i="31" s="1"/>
  <c r="K281" i="31" s="1"/>
  <c r="L281" i="31" s="1"/>
  <c r="M281" i="31" s="1"/>
  <c r="N281" i="31" s="1"/>
  <c r="O281" i="31" s="1"/>
  <c r="P281" i="31" s="1"/>
  <c r="Q281" i="31" s="1"/>
  <c r="R281" i="31" s="1"/>
  <c r="S281" i="31" s="1"/>
  <c r="T281" i="31" s="1"/>
  <c r="U281" i="31" s="1"/>
  <c r="V281" i="31" s="1"/>
  <c r="W281" i="31" s="1"/>
  <c r="X281" i="31" s="1"/>
  <c r="D205" i="31"/>
  <c r="G137" i="31"/>
  <c r="H137" i="31" s="1"/>
  <c r="I137" i="31" s="1"/>
  <c r="J137" i="31" s="1"/>
  <c r="K137" i="31" s="1"/>
  <c r="L137" i="31" s="1"/>
  <c r="M137" i="31" s="1"/>
  <c r="N137" i="31" s="1"/>
  <c r="O137" i="31" s="1"/>
  <c r="P137" i="31" s="1"/>
  <c r="Q137" i="31" s="1"/>
  <c r="R137" i="31" s="1"/>
  <c r="S137" i="31" s="1"/>
  <c r="T137" i="31" s="1"/>
  <c r="U137" i="31" s="1"/>
  <c r="V137" i="31" s="1"/>
  <c r="W137" i="31" s="1"/>
  <c r="X137" i="31" s="1"/>
  <c r="G65" i="31"/>
  <c r="P11" i="8"/>
  <c r="F11" i="8"/>
  <c r="D206" i="31"/>
  <c r="G16" i="24"/>
  <c r="D107" i="31"/>
  <c r="D113" i="31"/>
  <c r="D114" i="31"/>
  <c r="D106" i="31"/>
  <c r="G24" i="10"/>
  <c r="G6" i="10"/>
  <c r="G10" i="10"/>
  <c r="G5" i="10" l="1"/>
  <c r="G9" i="10" s="1"/>
  <c r="D8" i="24" s="1"/>
  <c r="G11" i="10"/>
  <c r="G14" i="10" s="1"/>
  <c r="G8" i="24" s="1"/>
  <c r="H30" i="10"/>
  <c r="I30" i="10"/>
  <c r="O161" i="31"/>
  <c r="P161" i="31" s="1"/>
  <c r="Q161" i="31" s="1"/>
  <c r="R161" i="31" s="1"/>
  <c r="S161" i="31" s="1"/>
  <c r="T161" i="31" s="1"/>
  <c r="U161" i="31" s="1"/>
  <c r="V161" i="31" s="1"/>
  <c r="W161" i="31" s="1"/>
  <c r="X161" i="31" s="1"/>
  <c r="J30" i="10"/>
  <c r="D307" i="31" a="1"/>
  <c r="D307" i="31" s="1"/>
  <c r="H14" i="8" s="1"/>
  <c r="K30" i="10"/>
  <c r="L30" i="10"/>
  <c r="D308" i="31" a="1"/>
  <c r="D308" i="31" s="1"/>
  <c r="M30" i="10"/>
  <c r="D139" i="31" a="1"/>
  <c r="D139" i="31" s="1"/>
  <c r="E200" i="31"/>
  <c r="G11" i="8"/>
  <c r="H16" i="24"/>
  <c r="D283" i="31" a="1"/>
  <c r="D283" i="31" s="1"/>
  <c r="H65" i="31"/>
  <c r="I65" i="31" s="1"/>
  <c r="J65" i="31" s="1"/>
  <c r="K65" i="31" s="1"/>
  <c r="L65" i="31" s="1"/>
  <c r="M65" i="31" s="1"/>
  <c r="N65" i="31" s="1"/>
  <c r="O65" i="31" s="1"/>
  <c r="P65" i="31" s="1"/>
  <c r="Q65" i="31" s="1"/>
  <c r="R65" i="31" s="1"/>
  <c r="S65" i="31" s="1"/>
  <c r="T65" i="31" s="1"/>
  <c r="U65" i="31" s="1"/>
  <c r="V65" i="31" s="1"/>
  <c r="W65" i="31" s="1"/>
  <c r="X65" i="31" s="1"/>
  <c r="D284" i="31" a="1"/>
  <c r="D284" i="31" s="1"/>
  <c r="G30" i="10"/>
  <c r="D109" i="31"/>
  <c r="D110" i="31"/>
  <c r="T78" i="19"/>
  <c r="H13" i="8" l="1"/>
  <c r="H9" i="8"/>
  <c r="L14" i="8"/>
  <c r="L13" i="8"/>
  <c r="C13" i="40"/>
  <c r="C16" i="40" s="1"/>
  <c r="R74" i="19"/>
  <c r="AI87" i="19" s="1"/>
  <c r="E25" i="22" s="1"/>
  <c r="E24" i="34" s="1"/>
  <c r="G9" i="25"/>
  <c r="AD7" i="19"/>
  <c r="D163" i="31" a="1"/>
  <c r="D163" i="31" s="1"/>
  <c r="D67" i="31" a="1"/>
  <c r="D67" i="31" s="1"/>
  <c r="H7" i="8" s="1"/>
  <c r="E205" i="31"/>
  <c r="E209" i="31" s="1"/>
  <c r="O200" i="31"/>
  <c r="M200" i="31"/>
  <c r="K200" i="31"/>
  <c r="J200" i="31"/>
  <c r="V200" i="31"/>
  <c r="G200" i="31"/>
  <c r="R200" i="31"/>
  <c r="U200" i="31"/>
  <c r="F200" i="31"/>
  <c r="Q200" i="31"/>
  <c r="P200" i="31"/>
  <c r="T200" i="31"/>
  <c r="X200" i="31"/>
  <c r="W200" i="31"/>
  <c r="I200" i="31"/>
  <c r="H200" i="31"/>
  <c r="N200" i="31"/>
  <c r="S200" i="31"/>
  <c r="L200" i="31"/>
  <c r="K74" i="19"/>
  <c r="AH104" i="19" s="1"/>
  <c r="G15" i="10"/>
  <c r="AF12" i="19" l="1"/>
  <c r="B8" i="42" s="1"/>
  <c r="B29" i="42" s="1"/>
  <c r="I29" i="42" s="1"/>
  <c r="J29" i="42" s="1"/>
  <c r="AF8" i="19"/>
  <c r="B6" i="42" s="1"/>
  <c r="E7" i="22"/>
  <c r="E43" i="22" s="1"/>
  <c r="Q76" i="19"/>
  <c r="G9" i="41"/>
  <c r="O21" i="25"/>
  <c r="AF9" i="19"/>
  <c r="B7" i="42" s="1"/>
  <c r="AD6" i="19"/>
  <c r="G18" i="25"/>
  <c r="O9" i="25"/>
  <c r="O14" i="25" s="1"/>
  <c r="E8" i="8"/>
  <c r="F8" i="8"/>
  <c r="I61" i="22"/>
  <c r="I67" i="22" s="1"/>
  <c r="J61" i="22"/>
  <c r="J67" i="22" s="1"/>
  <c r="F61" i="22"/>
  <c r="F67" i="22" s="1"/>
  <c r="E61" i="22"/>
  <c r="K61" i="22"/>
  <c r="K67" i="22" s="1"/>
  <c r="H61" i="22"/>
  <c r="H67" i="22" s="1"/>
  <c r="G61" i="22"/>
  <c r="G67" i="22" s="1"/>
  <c r="W205" i="31"/>
  <c r="G205" i="31"/>
  <c r="T205" i="31"/>
  <c r="J205" i="31"/>
  <c r="X205" i="31"/>
  <c r="K205" i="31"/>
  <c r="S205" i="31"/>
  <c r="Q205" i="31"/>
  <c r="M205" i="31"/>
  <c r="P205" i="31"/>
  <c r="N205" i="31"/>
  <c r="F205" i="31"/>
  <c r="F209" i="31" s="1"/>
  <c r="O205" i="31"/>
  <c r="L205" i="31"/>
  <c r="H205" i="31"/>
  <c r="U205" i="31"/>
  <c r="V205" i="31"/>
  <c r="I205" i="31"/>
  <c r="R205" i="31"/>
  <c r="H8" i="24"/>
  <c r="P8" i="8" l="1"/>
  <c r="Q81" i="34"/>
  <c r="D6" i="8" s="1"/>
  <c r="D29" i="31" s="1"/>
  <c r="I8" i="42"/>
  <c r="J8" i="42" s="1"/>
  <c r="B27" i="42"/>
  <c r="I27" i="42" s="1"/>
  <c r="J27" i="42" s="1"/>
  <c r="I6" i="42"/>
  <c r="J6" i="42" s="1"/>
  <c r="G15" i="41"/>
  <c r="E104" i="31"/>
  <c r="G8" i="8"/>
  <c r="E37" i="25"/>
  <c r="F37" i="25" s="1"/>
  <c r="O18" i="25"/>
  <c r="B28" i="42"/>
  <c r="I28" i="42" s="1"/>
  <c r="J28" i="42" s="1"/>
  <c r="I7" i="42"/>
  <c r="J7" i="42" s="1"/>
  <c r="AH105" i="19"/>
  <c r="P73" i="34" s="1"/>
  <c r="G25" i="22"/>
  <c r="G31" i="22" s="1"/>
  <c r="E67" i="22"/>
  <c r="G56" i="34"/>
  <c r="G59" i="34" s="1"/>
  <c r="H56" i="34"/>
  <c r="H59" i="34" s="1"/>
  <c r="K56" i="34"/>
  <c r="K59" i="34" s="1"/>
  <c r="F56" i="34"/>
  <c r="F59" i="34" s="1"/>
  <c r="J56" i="34"/>
  <c r="J59" i="34" s="1"/>
  <c r="E56" i="34"/>
  <c r="I56" i="34"/>
  <c r="I59" i="34" s="1"/>
  <c r="G209" i="31"/>
  <c r="H209" i="31" s="1"/>
  <c r="I209" i="31" s="1"/>
  <c r="J209" i="31" s="1"/>
  <c r="K209" i="31" s="1"/>
  <c r="L209" i="31" s="1"/>
  <c r="M209" i="31" s="1"/>
  <c r="N209" i="31" s="1"/>
  <c r="O209" i="31" s="1"/>
  <c r="P209" i="31" s="1"/>
  <c r="Q209" i="31" s="1"/>
  <c r="R209" i="31" s="1"/>
  <c r="S209" i="31" s="1"/>
  <c r="T209" i="31" s="1"/>
  <c r="U209" i="31" s="1"/>
  <c r="V209" i="31" s="1"/>
  <c r="W209" i="31" s="1"/>
  <c r="X209" i="31" s="1"/>
  <c r="D7" i="24" l="1"/>
  <c r="D35" i="31"/>
  <c r="D38" i="31" s="1"/>
  <c r="D41" i="31"/>
  <c r="D34" i="31"/>
  <c r="D37" i="31" s="1"/>
  <c r="D42" i="31"/>
  <c r="O23" i="25"/>
  <c r="M37" i="25" s="1"/>
  <c r="N37" i="25" s="1"/>
  <c r="F16" i="42"/>
  <c r="G16" i="42" s="1"/>
  <c r="F15" i="42"/>
  <c r="G15" i="42" s="1"/>
  <c r="F13" i="42"/>
  <c r="F19" i="42"/>
  <c r="G19" i="42" s="1"/>
  <c r="F14" i="42"/>
  <c r="G14" i="42" s="1"/>
  <c r="F18" i="42"/>
  <c r="G18" i="42" s="1"/>
  <c r="F17" i="42"/>
  <c r="G17" i="42" s="1"/>
  <c r="F38" i="42"/>
  <c r="G38" i="42" s="1"/>
  <c r="F39" i="42"/>
  <c r="G39" i="42" s="1"/>
  <c r="F35" i="42"/>
  <c r="G35" i="42" s="1"/>
  <c r="F36" i="42"/>
  <c r="G36" i="42" s="1"/>
  <c r="F40" i="42"/>
  <c r="G40" i="42" s="1"/>
  <c r="F34" i="42"/>
  <c r="F37" i="42"/>
  <c r="G37" i="42" s="1"/>
  <c r="H37" i="25"/>
  <c r="H41" i="25" s="1"/>
  <c r="G22" i="41" s="1"/>
  <c r="F41" i="25"/>
  <c r="O6" i="41"/>
  <c r="O11" i="41" s="1"/>
  <c r="G12" i="41"/>
  <c r="O12" i="41" s="1"/>
  <c r="O17" i="41" s="1"/>
  <c r="N104" i="31"/>
  <c r="N109" i="31" s="1"/>
  <c r="O104" i="31"/>
  <c r="O109" i="31" s="1"/>
  <c r="T104" i="31"/>
  <c r="T109" i="31" s="1"/>
  <c r="E109" i="31"/>
  <c r="E113" i="31" s="1"/>
  <c r="U104" i="31"/>
  <c r="U109" i="31" s="1"/>
  <c r="K104" i="31"/>
  <c r="K109" i="31" s="1"/>
  <c r="F104" i="31"/>
  <c r="F109" i="31" s="1"/>
  <c r="M104" i="31"/>
  <c r="M109" i="31" s="1"/>
  <c r="J104" i="31"/>
  <c r="J109" i="31" s="1"/>
  <c r="V104" i="31"/>
  <c r="V109" i="31" s="1"/>
  <c r="W104" i="31"/>
  <c r="W109" i="31" s="1"/>
  <c r="R104" i="31"/>
  <c r="R109" i="31" s="1"/>
  <c r="L104" i="31"/>
  <c r="L109" i="31" s="1"/>
  <c r="X104" i="31"/>
  <c r="X109" i="31" s="1"/>
  <c r="H104" i="31"/>
  <c r="H109" i="31" s="1"/>
  <c r="I104" i="31"/>
  <c r="I109" i="31" s="1"/>
  <c r="P104" i="31"/>
  <c r="P109" i="31" s="1"/>
  <c r="Q104" i="31"/>
  <c r="Q109" i="31" s="1"/>
  <c r="S104" i="31"/>
  <c r="S109" i="31" s="1"/>
  <c r="G104" i="31"/>
  <c r="G109" i="31" s="1"/>
  <c r="E7" i="34"/>
  <c r="Q73" i="34" s="1"/>
  <c r="K43" i="22"/>
  <c r="J43" i="22"/>
  <c r="F43" i="22"/>
  <c r="G7" i="22" s="1"/>
  <c r="I43" i="22"/>
  <c r="G43" i="22"/>
  <c r="H43" i="22"/>
  <c r="J42" i="22"/>
  <c r="H42" i="22"/>
  <c r="F42" i="22"/>
  <c r="G42" i="22"/>
  <c r="E42" i="22"/>
  <c r="I42" i="22"/>
  <c r="K42" i="22"/>
  <c r="G24" i="34"/>
  <c r="E59" i="34"/>
  <c r="D211" i="31" a="1"/>
  <c r="D211" i="31" s="1"/>
  <c r="D17" i="24"/>
  <c r="H17" i="24" s="1"/>
  <c r="K102" i="16"/>
  <c r="E12" i="8" s="1"/>
  <c r="Q76" i="34" l="1"/>
  <c r="D5" i="8" s="1"/>
  <c r="H11" i="8"/>
  <c r="N41" i="25"/>
  <c r="T49" i="25"/>
  <c r="P37" i="25"/>
  <c r="P41" i="25" s="1"/>
  <c r="O24" i="25"/>
  <c r="F113" i="31"/>
  <c r="G113" i="31" s="1"/>
  <c r="H113" i="31" s="1"/>
  <c r="I113" i="31" s="1"/>
  <c r="J113" i="31" s="1"/>
  <c r="K113" i="31" s="1"/>
  <c r="L113" i="31" s="1"/>
  <c r="M113" i="31" s="1"/>
  <c r="N113" i="31" s="1"/>
  <c r="O113" i="31" s="1"/>
  <c r="P113" i="31" s="1"/>
  <c r="Q113" i="31" s="1"/>
  <c r="R113" i="31" s="1"/>
  <c r="S113" i="31" s="1"/>
  <c r="T113" i="31" s="1"/>
  <c r="U113" i="31" s="1"/>
  <c r="V113" i="31" s="1"/>
  <c r="W113" i="31" s="1"/>
  <c r="X113" i="31" s="1"/>
  <c r="F20" i="42"/>
  <c r="G13" i="42"/>
  <c r="G20" i="42" s="1"/>
  <c r="O18" i="41"/>
  <c r="G23" i="41" s="1"/>
  <c r="G25" i="41" s="1"/>
  <c r="F41" i="42"/>
  <c r="G34" i="42"/>
  <c r="G41" i="42" s="1"/>
  <c r="F49" i="22"/>
  <c r="F68" i="22" s="1"/>
  <c r="H18" i="42" s="1"/>
  <c r="I18" i="42" s="1"/>
  <c r="J18" i="42" s="1"/>
  <c r="K18" i="42" s="1"/>
  <c r="X18" i="42" s="1"/>
  <c r="G49" i="22"/>
  <c r="G68" i="22" s="1"/>
  <c r="H19" i="42" s="1"/>
  <c r="I19" i="42" s="1"/>
  <c r="J19" i="42" s="1"/>
  <c r="K19" i="42" s="1"/>
  <c r="X19" i="42" s="1"/>
  <c r="K49" i="22"/>
  <c r="K68" i="22" s="1"/>
  <c r="H16" i="42" s="1"/>
  <c r="I16" i="42" s="1"/>
  <c r="J16" i="42" s="1"/>
  <c r="K16" i="42" s="1"/>
  <c r="X16" i="42" s="1"/>
  <c r="I49" i="22"/>
  <c r="I68" i="22" s="1"/>
  <c r="H14" i="42" s="1"/>
  <c r="I14" i="42" s="1"/>
  <c r="J14" i="42" s="1"/>
  <c r="K14" i="42" s="1"/>
  <c r="X14" i="42" s="1"/>
  <c r="H38" i="34"/>
  <c r="E38" i="34"/>
  <c r="K38" i="34"/>
  <c r="G38" i="34"/>
  <c r="F38" i="34"/>
  <c r="I38" i="34"/>
  <c r="J38" i="34"/>
  <c r="H49" i="22"/>
  <c r="H68" i="22" s="1"/>
  <c r="H13" i="42" s="1"/>
  <c r="G6" i="22"/>
  <c r="E49" i="22"/>
  <c r="E68" i="22" s="1"/>
  <c r="H17" i="42" s="1"/>
  <c r="I17" i="42" s="1"/>
  <c r="J17" i="42" s="1"/>
  <c r="K17" i="42" s="1"/>
  <c r="X17" i="42" s="1"/>
  <c r="J49" i="22"/>
  <c r="J68" i="22" s="1"/>
  <c r="H15" i="42" s="1"/>
  <c r="I15" i="42" s="1"/>
  <c r="J15" i="42" s="1"/>
  <c r="K15" i="42" s="1"/>
  <c r="X15" i="42" s="1"/>
  <c r="E39" i="34"/>
  <c r="J39" i="34"/>
  <c r="K39" i="34"/>
  <c r="H39" i="34"/>
  <c r="F39" i="34"/>
  <c r="I39" i="34"/>
  <c r="G39" i="34"/>
  <c r="G27" i="34"/>
  <c r="E6" i="8" s="1"/>
  <c r="P12" i="8"/>
  <c r="F12" i="8"/>
  <c r="G7" i="34" l="1"/>
  <c r="D5" i="31"/>
  <c r="D31" i="8"/>
  <c r="G13" i="22"/>
  <c r="D4" i="24" s="1"/>
  <c r="D115" i="31" a="1"/>
  <c r="D115" i="31" s="1"/>
  <c r="G7" i="24"/>
  <c r="H7" i="24" s="1"/>
  <c r="J45" i="34"/>
  <c r="J60" i="34" s="1"/>
  <c r="H36" i="42" s="1"/>
  <c r="I36" i="42" s="1"/>
  <c r="J36" i="42" s="1"/>
  <c r="K36" i="42" s="1"/>
  <c r="I45" i="34"/>
  <c r="I60" i="34" s="1"/>
  <c r="H35" i="42" s="1"/>
  <c r="I35" i="42" s="1"/>
  <c r="J35" i="42" s="1"/>
  <c r="K35" i="42" s="1"/>
  <c r="G6" i="34"/>
  <c r="E45" i="34"/>
  <c r="E60" i="34" s="1"/>
  <c r="H38" i="42" s="1"/>
  <c r="I38" i="42" s="1"/>
  <c r="J38" i="42" s="1"/>
  <c r="K38" i="42" s="1"/>
  <c r="K45" i="34"/>
  <c r="K60" i="34" s="1"/>
  <c r="H37" i="42" s="1"/>
  <c r="I37" i="42" s="1"/>
  <c r="J37" i="42" s="1"/>
  <c r="K37" i="42" s="1"/>
  <c r="I13" i="42"/>
  <c r="J13" i="42" s="1"/>
  <c r="K13" i="42" s="1"/>
  <c r="H20" i="42"/>
  <c r="I20" i="42" s="1"/>
  <c r="F45" i="34"/>
  <c r="F60" i="34" s="1"/>
  <c r="H39" i="42" s="1"/>
  <c r="I39" i="42" s="1"/>
  <c r="J39" i="42" s="1"/>
  <c r="K39" i="42" s="1"/>
  <c r="H45" i="34"/>
  <c r="H60" i="34" s="1"/>
  <c r="H34" i="42" s="1"/>
  <c r="G45" i="34"/>
  <c r="G60" i="34" s="1"/>
  <c r="H40" i="42" s="1"/>
  <c r="I40" i="42" s="1"/>
  <c r="J40" i="42" s="1"/>
  <c r="K40" i="42" s="1"/>
  <c r="G12" i="8"/>
  <c r="E224" i="31"/>
  <c r="K11" i="30"/>
  <c r="K10" i="30"/>
  <c r="H6" i="31" l="1"/>
  <c r="P6" i="31"/>
  <c r="X6" i="31"/>
  <c r="O6" i="31"/>
  <c r="I6" i="31"/>
  <c r="Q6" i="31"/>
  <c r="E6" i="31"/>
  <c r="J6" i="31"/>
  <c r="R6" i="31"/>
  <c r="K6" i="31"/>
  <c r="S6" i="31"/>
  <c r="N6" i="31"/>
  <c r="L6" i="31"/>
  <c r="T6" i="31"/>
  <c r="F6" i="31"/>
  <c r="W6" i="31"/>
  <c r="M6" i="31"/>
  <c r="U6" i="31"/>
  <c r="V6" i="31"/>
  <c r="G6" i="31"/>
  <c r="R390" i="31"/>
  <c r="U318" i="31"/>
  <c r="L294" i="31"/>
  <c r="L298" i="31" s="1"/>
  <c r="F78" i="31"/>
  <c r="G270" i="31"/>
  <c r="G275" i="31" s="1"/>
  <c r="H78" i="31"/>
  <c r="M54" i="31"/>
  <c r="M58" i="31" s="1"/>
  <c r="P222" i="31"/>
  <c r="D17" i="31"/>
  <c r="L198" i="31"/>
  <c r="L202" i="31" s="1"/>
  <c r="K198" i="31"/>
  <c r="K202" i="31" s="1"/>
  <c r="V30" i="31"/>
  <c r="W342" i="31"/>
  <c r="U246" i="31"/>
  <c r="S318" i="31"/>
  <c r="F366" i="31"/>
  <c r="S342" i="31"/>
  <c r="T198" i="31"/>
  <c r="T202" i="31" s="1"/>
  <c r="N54" i="31"/>
  <c r="N58" i="31" s="1"/>
  <c r="O78" i="31"/>
  <c r="W54" i="31"/>
  <c r="W58" i="31" s="1"/>
  <c r="W222" i="31"/>
  <c r="L150" i="31"/>
  <c r="L154" i="31" s="1"/>
  <c r="Q126" i="31"/>
  <c r="Q130" i="31" s="1"/>
  <c r="I390" i="31"/>
  <c r="Q270" i="31"/>
  <c r="Q275" i="31" s="1"/>
  <c r="F150" i="31"/>
  <c r="F154" i="31" s="1"/>
  <c r="U174" i="31"/>
  <c r="O294" i="31"/>
  <c r="O298" i="31" s="1"/>
  <c r="S78" i="31"/>
  <c r="N198" i="31"/>
  <c r="N202" i="31" s="1"/>
  <c r="L54" i="31"/>
  <c r="L58" i="31" s="1"/>
  <c r="L174" i="31"/>
  <c r="I270" i="31"/>
  <c r="I274" i="31" s="1"/>
  <c r="T126" i="31"/>
  <c r="T130" i="31" s="1"/>
  <c r="V222" i="31"/>
  <c r="K78" i="31"/>
  <c r="V174" i="31"/>
  <c r="M150" i="31"/>
  <c r="M154" i="31" s="1"/>
  <c r="K126" i="31"/>
  <c r="K130" i="31" s="1"/>
  <c r="O30" i="31"/>
  <c r="X102" i="31"/>
  <c r="X106" i="31" s="1"/>
  <c r="E222" i="31"/>
  <c r="I54" i="31"/>
  <c r="I58" i="31" s="1"/>
  <c r="H294" i="31"/>
  <c r="H298" i="31" s="1"/>
  <c r="J102" i="31"/>
  <c r="J106" i="31" s="1"/>
  <c r="J390" i="31"/>
  <c r="S390" i="31"/>
  <c r="S198" i="31"/>
  <c r="S202" i="31" s="1"/>
  <c r="M126" i="31"/>
  <c r="M130" i="31" s="1"/>
  <c r="E390" i="31"/>
  <c r="E318" i="31"/>
  <c r="Q390" i="31"/>
  <c r="F198" i="31"/>
  <c r="F202" i="31" s="1"/>
  <c r="J318" i="31"/>
  <c r="R342" i="31"/>
  <c r="M222" i="31"/>
  <c r="E342" i="31"/>
  <c r="W294" i="31"/>
  <c r="W299" i="31" s="1"/>
  <c r="X294" i="31"/>
  <c r="X298" i="31" s="1"/>
  <c r="P102" i="31"/>
  <c r="P106" i="31" s="1"/>
  <c r="J366" i="31"/>
  <c r="S150" i="31"/>
  <c r="S154" i="31" s="1"/>
  <c r="F390" i="31"/>
  <c r="W198" i="31"/>
  <c r="W202" i="31" s="1"/>
  <c r="S366" i="31"/>
  <c r="O126" i="31"/>
  <c r="O130" i="31" s="1"/>
  <c r="N222" i="31"/>
  <c r="R30" i="31"/>
  <c r="L126" i="31"/>
  <c r="L130" i="31" s="1"/>
  <c r="I126" i="31"/>
  <c r="I130" i="31" s="1"/>
  <c r="X246" i="31"/>
  <c r="G150" i="31"/>
  <c r="G154" i="31" s="1"/>
  <c r="R126" i="31"/>
  <c r="R130" i="31" s="1"/>
  <c r="P390" i="31"/>
  <c r="J30" i="31"/>
  <c r="N318" i="31"/>
  <c r="Q198" i="31"/>
  <c r="Q202" i="31" s="1"/>
  <c r="V366" i="31"/>
  <c r="P78" i="31"/>
  <c r="F126" i="31"/>
  <c r="F130" i="31" s="1"/>
  <c r="P174" i="31"/>
  <c r="N342" i="31"/>
  <c r="R318" i="31"/>
  <c r="T174" i="31"/>
  <c r="W150" i="31"/>
  <c r="W154" i="31" s="1"/>
  <c r="K294" i="31"/>
  <c r="K298" i="31" s="1"/>
  <c r="M294" i="31"/>
  <c r="M298" i="31" s="1"/>
  <c r="W102" i="31"/>
  <c r="W106" i="31" s="1"/>
  <c r="V390" i="31"/>
  <c r="F294" i="31"/>
  <c r="F299" i="31" s="1"/>
  <c r="Q174" i="31"/>
  <c r="H246" i="31"/>
  <c r="H390" i="31"/>
  <c r="X366" i="31"/>
  <c r="Q102" i="31"/>
  <c r="Q106" i="31" s="1"/>
  <c r="T102" i="31"/>
  <c r="T106" i="31" s="1"/>
  <c r="V198" i="31"/>
  <c r="V202" i="31" s="1"/>
  <c r="E366" i="31"/>
  <c r="N246" i="31"/>
  <c r="N270" i="31"/>
  <c r="N275" i="31" s="1"/>
  <c r="H30" i="31"/>
  <c r="I294" i="31"/>
  <c r="I299" i="31" s="1"/>
  <c r="R366" i="31"/>
  <c r="K150" i="31"/>
  <c r="K154" i="31" s="1"/>
  <c r="W30" i="31"/>
  <c r="X174" i="31"/>
  <c r="E102" i="31"/>
  <c r="E106" i="31" s="1"/>
  <c r="J174" i="31"/>
  <c r="S222" i="31"/>
  <c r="M174" i="31"/>
  <c r="X126" i="31"/>
  <c r="X130" i="31" s="1"/>
  <c r="R78" i="31"/>
  <c r="T318" i="31"/>
  <c r="G390" i="31"/>
  <c r="F318" i="31"/>
  <c r="G318" i="31"/>
  <c r="N390" i="31"/>
  <c r="S174" i="31"/>
  <c r="U30" i="31"/>
  <c r="P30" i="31"/>
  <c r="G174" i="31"/>
  <c r="G198" i="31"/>
  <c r="G202" i="31" s="1"/>
  <c r="L342" i="31"/>
  <c r="U54" i="31"/>
  <c r="U58" i="31" s="1"/>
  <c r="F342" i="31"/>
  <c r="E30" i="31"/>
  <c r="K246" i="31"/>
  <c r="I174" i="31"/>
  <c r="F102" i="31"/>
  <c r="F106" i="31" s="1"/>
  <c r="L318" i="31"/>
  <c r="U150" i="31"/>
  <c r="U154" i="31" s="1"/>
  <c r="W126" i="31"/>
  <c r="W130" i="31" s="1"/>
  <c r="M366" i="31"/>
  <c r="I222" i="31"/>
  <c r="Q78" i="31"/>
  <c r="P270" i="31"/>
  <c r="P274" i="31" s="1"/>
  <c r="U342" i="31"/>
  <c r="O150" i="31"/>
  <c r="O154" i="31" s="1"/>
  <c r="R150" i="31"/>
  <c r="R154" i="31" s="1"/>
  <c r="M78" i="31"/>
  <c r="O390" i="31"/>
  <c r="M30" i="31"/>
  <c r="W390" i="31"/>
  <c r="Q246" i="31"/>
  <c r="E246" i="31"/>
  <c r="H270" i="31"/>
  <c r="H275" i="31" s="1"/>
  <c r="U78" i="31"/>
  <c r="F246" i="31"/>
  <c r="D10" i="31"/>
  <c r="D13" i="31" s="1"/>
  <c r="J222" i="31"/>
  <c r="W78" i="31"/>
  <c r="H150" i="31"/>
  <c r="H154" i="31" s="1"/>
  <c r="X78" i="31"/>
  <c r="R174" i="31"/>
  <c r="D18" i="31"/>
  <c r="H102" i="31"/>
  <c r="H106" i="31" s="1"/>
  <c r="N366" i="31"/>
  <c r="J78" i="31"/>
  <c r="N294" i="31"/>
  <c r="N299" i="31" s="1"/>
  <c r="R222" i="31"/>
  <c r="G246" i="31"/>
  <c r="V294" i="31"/>
  <c r="V298" i="31" s="1"/>
  <c r="H174" i="31"/>
  <c r="K318" i="31"/>
  <c r="E294" i="31"/>
  <c r="E299" i="31" s="1"/>
  <c r="M102" i="31"/>
  <c r="M106" i="31" s="1"/>
  <c r="G342" i="31"/>
  <c r="P246" i="31"/>
  <c r="U222" i="31"/>
  <c r="E198" i="31"/>
  <c r="E202" i="31" s="1"/>
  <c r="K102" i="31"/>
  <c r="K106" i="31" s="1"/>
  <c r="G102" i="31"/>
  <c r="G106" i="31" s="1"/>
  <c r="U390" i="31"/>
  <c r="S54" i="31"/>
  <c r="S58" i="31" s="1"/>
  <c r="O222" i="31"/>
  <c r="I102" i="31"/>
  <c r="I106" i="31" s="1"/>
  <c r="O246" i="31"/>
  <c r="W318" i="31"/>
  <c r="J198" i="31"/>
  <c r="J202" i="31" s="1"/>
  <c r="G54" i="31"/>
  <c r="G58" i="31" s="1"/>
  <c r="L30" i="31"/>
  <c r="U294" i="31"/>
  <c r="U298" i="31" s="1"/>
  <c r="G78" i="31"/>
  <c r="I366" i="31"/>
  <c r="X54" i="31"/>
  <c r="X58" i="31" s="1"/>
  <c r="W366" i="31"/>
  <c r="R102" i="31"/>
  <c r="R106" i="31" s="1"/>
  <c r="E174" i="31"/>
  <c r="E126" i="31"/>
  <c r="E130" i="31" s="1"/>
  <c r="L102" i="31"/>
  <c r="L106" i="31" s="1"/>
  <c r="G222" i="31"/>
  <c r="O318" i="31"/>
  <c r="I246" i="31"/>
  <c r="T246" i="31"/>
  <c r="P342" i="31"/>
  <c r="E150" i="31"/>
  <c r="E154" i="31" s="1"/>
  <c r="F222" i="31"/>
  <c r="S246" i="31"/>
  <c r="K390" i="31"/>
  <c r="V270" i="31"/>
  <c r="V275" i="31" s="1"/>
  <c r="L222" i="31"/>
  <c r="K222" i="31"/>
  <c r="M342" i="31"/>
  <c r="N150" i="31"/>
  <c r="N154" i="31" s="1"/>
  <c r="I342" i="31"/>
  <c r="X342" i="31"/>
  <c r="S102" i="31"/>
  <c r="S106" i="31" s="1"/>
  <c r="J246" i="31"/>
  <c r="R246" i="31"/>
  <c r="V54" i="31"/>
  <c r="V58" i="31" s="1"/>
  <c r="I150" i="31"/>
  <c r="I154" i="31" s="1"/>
  <c r="T78" i="31"/>
  <c r="T54" i="31"/>
  <c r="T58" i="31" s="1"/>
  <c r="G294" i="31"/>
  <c r="G299" i="31" s="1"/>
  <c r="D11" i="31"/>
  <c r="D14" i="31" s="1"/>
  <c r="R54" i="31"/>
  <c r="R58" i="31" s="1"/>
  <c r="J294" i="31"/>
  <c r="J298" i="31" s="1"/>
  <c r="N30" i="31"/>
  <c r="H222" i="31"/>
  <c r="S30" i="31"/>
  <c r="X30" i="31"/>
  <c r="U366" i="31"/>
  <c r="O54" i="31"/>
  <c r="O58" i="31" s="1"/>
  <c r="Q54" i="31"/>
  <c r="Q58" i="31" s="1"/>
  <c r="K54" i="31"/>
  <c r="K58" i="31" s="1"/>
  <c r="P198" i="31"/>
  <c r="P202" i="31" s="1"/>
  <c r="T342" i="31"/>
  <c r="S126" i="31"/>
  <c r="S130" i="31" s="1"/>
  <c r="X198" i="31"/>
  <c r="X202" i="31" s="1"/>
  <c r="O198" i="31"/>
  <c r="O202" i="31" s="1"/>
  <c r="U198" i="31"/>
  <c r="U202" i="31" s="1"/>
  <c r="T270" i="31"/>
  <c r="T275" i="31" s="1"/>
  <c r="W174" i="31"/>
  <c r="T150" i="31"/>
  <c r="T154" i="31" s="1"/>
  <c r="P150" i="31"/>
  <c r="P154" i="31" s="1"/>
  <c r="O270" i="31"/>
  <c r="O274" i="31" s="1"/>
  <c r="J342" i="31"/>
  <c r="Q150" i="31"/>
  <c r="Q154" i="31" s="1"/>
  <c r="T366" i="31"/>
  <c r="J270" i="31"/>
  <c r="J275" i="31" s="1"/>
  <c r="Q294" i="31"/>
  <c r="Q299" i="31" s="1"/>
  <c r="W270" i="31"/>
  <c r="W275" i="31" s="1"/>
  <c r="P126" i="31"/>
  <c r="P130" i="31" s="1"/>
  <c r="F270" i="31"/>
  <c r="F275" i="31" s="1"/>
  <c r="K30" i="31"/>
  <c r="U126" i="31"/>
  <c r="U130" i="31" s="1"/>
  <c r="M390" i="31"/>
  <c r="I78" i="31"/>
  <c r="H198" i="31"/>
  <c r="H202" i="31" s="1"/>
  <c r="M270" i="31"/>
  <c r="Q366" i="31"/>
  <c r="V102" i="31"/>
  <c r="V106" i="31" s="1"/>
  <c r="K270" i="31"/>
  <c r="K275" i="31" s="1"/>
  <c r="Q342" i="31"/>
  <c r="T390" i="31"/>
  <c r="Q222" i="31"/>
  <c r="T222" i="31"/>
  <c r="F174" i="31"/>
  <c r="I318" i="31"/>
  <c r="O174" i="31"/>
  <c r="K174" i="31"/>
  <c r="R294" i="31"/>
  <c r="R298" i="31" s="1"/>
  <c r="G366" i="31"/>
  <c r="Q318" i="31"/>
  <c r="H342" i="31"/>
  <c r="E78" i="31"/>
  <c r="S294" i="31"/>
  <c r="S299" i="31" s="1"/>
  <c r="G126" i="31"/>
  <c r="G130" i="31" s="1"/>
  <c r="W246" i="31"/>
  <c r="I198" i="31"/>
  <c r="I202" i="31" s="1"/>
  <c r="T30" i="31"/>
  <c r="J150" i="31"/>
  <c r="J154" i="31" s="1"/>
  <c r="K366" i="31"/>
  <c r="K342" i="31"/>
  <c r="V150" i="31"/>
  <c r="V154" i="31" s="1"/>
  <c r="D165" i="31" s="1"/>
  <c r="G30" i="31"/>
  <c r="I30" i="31"/>
  <c r="P294" i="31"/>
  <c r="P298" i="31" s="1"/>
  <c r="N78" i="31"/>
  <c r="H126" i="31"/>
  <c r="H130" i="31" s="1"/>
  <c r="E54" i="31"/>
  <c r="E58" i="31" s="1"/>
  <c r="T294" i="31"/>
  <c r="J126" i="31"/>
  <c r="J130" i="31" s="1"/>
  <c r="L78" i="31"/>
  <c r="X150" i="31"/>
  <c r="X154" i="31" s="1"/>
  <c r="L246" i="31"/>
  <c r="E270" i="31"/>
  <c r="E275" i="31" s="1"/>
  <c r="V246" i="31"/>
  <c r="V78" i="31"/>
  <c r="L366" i="31"/>
  <c r="X318" i="31"/>
  <c r="O342" i="31"/>
  <c r="O366" i="31"/>
  <c r="Q30" i="31"/>
  <c r="P318" i="31"/>
  <c r="X222" i="31"/>
  <c r="X390" i="31"/>
  <c r="M246" i="31"/>
  <c r="U270" i="31"/>
  <c r="U274" i="31" s="1"/>
  <c r="L390" i="31"/>
  <c r="V342" i="31"/>
  <c r="P366" i="31"/>
  <c r="H366" i="31"/>
  <c r="M318" i="31"/>
  <c r="V318" i="31"/>
  <c r="S270" i="31"/>
  <c r="S275" i="31" s="1"/>
  <c r="P54" i="31"/>
  <c r="P58" i="31" s="1"/>
  <c r="H54" i="31"/>
  <c r="H58" i="31" s="1"/>
  <c r="M198" i="31"/>
  <c r="M202" i="31" s="1"/>
  <c r="J54" i="31"/>
  <c r="J58" i="31" s="1"/>
  <c r="H318" i="31"/>
  <c r="N126" i="31"/>
  <c r="N130" i="31" s="1"/>
  <c r="X270" i="31"/>
  <c r="X275" i="31" s="1"/>
  <c r="F54" i="31"/>
  <c r="F58" i="31" s="1"/>
  <c r="V126" i="31"/>
  <c r="V130" i="31" s="1"/>
  <c r="U102" i="31"/>
  <c r="U106" i="31" s="1"/>
  <c r="R270" i="31"/>
  <c r="N102" i="31"/>
  <c r="N106" i="31" s="1"/>
  <c r="R198" i="31"/>
  <c r="R202" i="31" s="1"/>
  <c r="F30" i="31"/>
  <c r="N174" i="31"/>
  <c r="O102" i="31"/>
  <c r="O106" i="31" s="1"/>
  <c r="L270" i="31"/>
  <c r="D159" i="31"/>
  <c r="E298" i="31"/>
  <c r="L299" i="31"/>
  <c r="H8" i="8"/>
  <c r="I34" i="42"/>
  <c r="J34" i="42" s="1"/>
  <c r="K34" i="42" s="1"/>
  <c r="K41" i="42" s="1"/>
  <c r="H41" i="42"/>
  <c r="I41" i="42" s="1"/>
  <c r="K20" i="42"/>
  <c r="X20" i="42" s="1"/>
  <c r="X13" i="42"/>
  <c r="G32" i="22"/>
  <c r="D8" i="30" s="1"/>
  <c r="G13" i="34"/>
  <c r="E5" i="8" s="1"/>
  <c r="F5" i="8" s="1"/>
  <c r="H5" i="24"/>
  <c r="E80" i="31"/>
  <c r="G224" i="31"/>
  <c r="R224" i="31"/>
  <c r="W224" i="31"/>
  <c r="M224" i="31"/>
  <c r="T224" i="31"/>
  <c r="U224" i="31"/>
  <c r="P224" i="31"/>
  <c r="O224" i="31"/>
  <c r="L224" i="31"/>
  <c r="J224" i="31"/>
  <c r="K224" i="31"/>
  <c r="H224" i="31"/>
  <c r="S224" i="31"/>
  <c r="V224" i="31"/>
  <c r="N224" i="31"/>
  <c r="Q224" i="31"/>
  <c r="I224" i="31"/>
  <c r="E229" i="31"/>
  <c r="E233" i="31" s="1"/>
  <c r="X224" i="31"/>
  <c r="F224" i="31"/>
  <c r="E226" i="31"/>
  <c r="K13" i="30"/>
  <c r="O299" i="31" l="1"/>
  <c r="X299" i="31"/>
  <c r="G274" i="31"/>
  <c r="F298" i="31"/>
  <c r="X274" i="31"/>
  <c r="N298" i="31"/>
  <c r="T274" i="31"/>
  <c r="Q274" i="31"/>
  <c r="I275" i="31"/>
  <c r="J299" i="31"/>
  <c r="Q298" i="31"/>
  <c r="J274" i="31"/>
  <c r="I298" i="31"/>
  <c r="V274" i="31"/>
  <c r="F274" i="31"/>
  <c r="M299" i="31"/>
  <c r="H299" i="31"/>
  <c r="D213" i="31"/>
  <c r="O11" i="8" s="1"/>
  <c r="D207" i="31"/>
  <c r="N11" i="8" s="1"/>
  <c r="R299" i="31"/>
  <c r="S274" i="31"/>
  <c r="K299" i="31"/>
  <c r="V299" i="31"/>
  <c r="W298" i="31"/>
  <c r="P275" i="31"/>
  <c r="W274" i="31"/>
  <c r="M275" i="31"/>
  <c r="M274" i="31"/>
  <c r="O275" i="31"/>
  <c r="D111" i="31"/>
  <c r="N8" i="8" s="1"/>
  <c r="D69" i="31"/>
  <c r="O7" i="8" s="1"/>
  <c r="U299" i="31"/>
  <c r="H274" i="31"/>
  <c r="G298" i="31"/>
  <c r="K274" i="31"/>
  <c r="N274" i="31"/>
  <c r="D141" i="31"/>
  <c r="O9" i="8" s="1"/>
  <c r="E274" i="31"/>
  <c r="S298" i="31"/>
  <c r="T299" i="31"/>
  <c r="T298" i="31"/>
  <c r="R275" i="31"/>
  <c r="R274" i="31"/>
  <c r="D117" i="31"/>
  <c r="O8" i="8" s="1"/>
  <c r="D63" i="31"/>
  <c r="N7" i="8" s="1"/>
  <c r="D135" i="31"/>
  <c r="N9" i="8" s="1"/>
  <c r="P299" i="31"/>
  <c r="U275" i="31"/>
  <c r="L274" i="31"/>
  <c r="L275" i="31"/>
  <c r="D7" i="30"/>
  <c r="P5" i="8"/>
  <c r="E320" i="31"/>
  <c r="E321" i="31"/>
  <c r="G4" i="24"/>
  <c r="G28" i="34"/>
  <c r="J7" i="30" s="1"/>
  <c r="P6" i="8"/>
  <c r="F6" i="8"/>
  <c r="F80" i="31"/>
  <c r="S80" i="31"/>
  <c r="T80" i="31"/>
  <c r="E85" i="31"/>
  <c r="E89" i="31" s="1"/>
  <c r="G80" i="31"/>
  <c r="O80" i="31"/>
  <c r="Q80" i="31"/>
  <c r="M80" i="31"/>
  <c r="P80" i="31"/>
  <c r="U80" i="31"/>
  <c r="L80" i="31"/>
  <c r="R80" i="31"/>
  <c r="K80" i="31"/>
  <c r="N80" i="31"/>
  <c r="X80" i="31"/>
  <c r="I80" i="31"/>
  <c r="H80" i="31"/>
  <c r="E82" i="31"/>
  <c r="J80" i="31"/>
  <c r="W80" i="31"/>
  <c r="V80" i="31"/>
  <c r="R229" i="31"/>
  <c r="R226" i="31"/>
  <c r="I229" i="31"/>
  <c r="I226" i="31"/>
  <c r="G229" i="31"/>
  <c r="G226" i="31"/>
  <c r="Q229" i="31"/>
  <c r="Q226" i="31"/>
  <c r="O229" i="31"/>
  <c r="O226" i="31"/>
  <c r="N229" i="31"/>
  <c r="N226" i="31"/>
  <c r="P229" i="31"/>
  <c r="P226" i="31"/>
  <c r="V229" i="31"/>
  <c r="V226" i="31"/>
  <c r="U229" i="31"/>
  <c r="U226" i="31"/>
  <c r="J229" i="31"/>
  <c r="J226" i="31"/>
  <c r="L226" i="31"/>
  <c r="L229" i="31"/>
  <c r="S229" i="31"/>
  <c r="S226" i="31"/>
  <c r="T229" i="31"/>
  <c r="T226" i="31"/>
  <c r="F229" i="31"/>
  <c r="F233" i="31" s="1"/>
  <c r="F226" i="31"/>
  <c r="H226" i="31"/>
  <c r="H229" i="31"/>
  <c r="M229" i="31"/>
  <c r="M226" i="31"/>
  <c r="X226" i="31"/>
  <c r="X229" i="31"/>
  <c r="K229" i="31"/>
  <c r="K226" i="31"/>
  <c r="W229" i="31"/>
  <c r="W226" i="31"/>
  <c r="D303" i="31" l="1"/>
  <c r="N14" i="8" s="1"/>
  <c r="D279" i="31"/>
  <c r="N13" i="8" s="1"/>
  <c r="D304" i="31"/>
  <c r="D309" i="31"/>
  <c r="O14" i="8" s="1"/>
  <c r="D286" i="31"/>
  <c r="D285" i="31"/>
  <c r="O13" i="8" s="1"/>
  <c r="D310" i="31"/>
  <c r="D280" i="31"/>
  <c r="J8" i="30"/>
  <c r="D11" i="24"/>
  <c r="G5" i="8"/>
  <c r="H7" i="30"/>
  <c r="E8" i="31"/>
  <c r="W321" i="31"/>
  <c r="P321" i="31"/>
  <c r="H321" i="31"/>
  <c r="O321" i="31"/>
  <c r="N321" i="31"/>
  <c r="X321" i="31"/>
  <c r="U321" i="31"/>
  <c r="G321" i="31"/>
  <c r="J321" i="31"/>
  <c r="S321" i="31"/>
  <c r="V321" i="31"/>
  <c r="L321" i="31"/>
  <c r="T321" i="31"/>
  <c r="Q321" i="31"/>
  <c r="R321" i="31"/>
  <c r="I321" i="31"/>
  <c r="M321" i="31"/>
  <c r="K321" i="31"/>
  <c r="E326" i="31"/>
  <c r="E330" i="31" s="1"/>
  <c r="F321" i="31"/>
  <c r="E323" i="31"/>
  <c r="F320" i="31"/>
  <c r="T320" i="31"/>
  <c r="K320" i="31"/>
  <c r="U320" i="31"/>
  <c r="H320" i="31"/>
  <c r="O320" i="31"/>
  <c r="W320" i="31"/>
  <c r="N320" i="31"/>
  <c r="E325" i="31"/>
  <c r="E329" i="31" s="1"/>
  <c r="S320" i="31"/>
  <c r="X320" i="31"/>
  <c r="V320" i="31"/>
  <c r="I320" i="31"/>
  <c r="R320" i="31"/>
  <c r="Q320" i="31"/>
  <c r="G320" i="31"/>
  <c r="M320" i="31"/>
  <c r="L320" i="31"/>
  <c r="J320" i="31"/>
  <c r="P320" i="31"/>
  <c r="E322" i="31"/>
  <c r="C11" i="40"/>
  <c r="C18" i="40" s="1"/>
  <c r="E7" i="30"/>
  <c r="E6" i="30"/>
  <c r="E5" i="30"/>
  <c r="H5" i="30"/>
  <c r="H4" i="24"/>
  <c r="G6" i="8"/>
  <c r="E32" i="31"/>
  <c r="W85" i="31"/>
  <c r="W82" i="31"/>
  <c r="I85" i="31"/>
  <c r="I82" i="31"/>
  <c r="R85" i="31"/>
  <c r="R82" i="31"/>
  <c r="M82" i="31"/>
  <c r="M85" i="31"/>
  <c r="Q85" i="31"/>
  <c r="Q82" i="31"/>
  <c r="N85" i="31"/>
  <c r="N82" i="31"/>
  <c r="U82" i="31"/>
  <c r="U85" i="31"/>
  <c r="O85" i="31"/>
  <c r="O82" i="31"/>
  <c r="S82" i="31"/>
  <c r="S85" i="31"/>
  <c r="J85" i="31"/>
  <c r="J82" i="31"/>
  <c r="X85" i="31"/>
  <c r="X82" i="31"/>
  <c r="L82" i="31"/>
  <c r="L85" i="31"/>
  <c r="T85" i="31"/>
  <c r="T82" i="31"/>
  <c r="V85" i="31"/>
  <c r="V82" i="31"/>
  <c r="H85" i="31"/>
  <c r="H82" i="31"/>
  <c r="K82" i="31"/>
  <c r="K85" i="31"/>
  <c r="P82" i="31"/>
  <c r="P85" i="31"/>
  <c r="G82" i="31"/>
  <c r="G85" i="31"/>
  <c r="F82" i="31"/>
  <c r="F85" i="31"/>
  <c r="F89" i="31" s="1"/>
  <c r="D231" i="31"/>
  <c r="N12" i="8" s="1"/>
  <c r="D237" i="31"/>
  <c r="O12" i="8" s="1"/>
  <c r="G233" i="31"/>
  <c r="H233" i="31" s="1"/>
  <c r="I233" i="31" s="1"/>
  <c r="J233" i="31" s="1"/>
  <c r="K233" i="31" s="1"/>
  <c r="L233" i="31" s="1"/>
  <c r="M233" i="31" s="1"/>
  <c r="N233" i="31" s="1"/>
  <c r="O233" i="31" s="1"/>
  <c r="P233" i="31" s="1"/>
  <c r="Q233" i="31" s="1"/>
  <c r="R233" i="31" s="1"/>
  <c r="S233" i="31" s="1"/>
  <c r="T233" i="31" s="1"/>
  <c r="U233" i="31" s="1"/>
  <c r="V233" i="31" s="1"/>
  <c r="W233" i="31" s="1"/>
  <c r="X233" i="31" s="1"/>
  <c r="I8" i="31" l="1"/>
  <c r="I10" i="31" s="1"/>
  <c r="Q8" i="31"/>
  <c r="Q13" i="31" s="1"/>
  <c r="F8" i="31"/>
  <c r="N8" i="31"/>
  <c r="N13" i="31" s="1"/>
  <c r="O8" i="31"/>
  <c r="O13" i="31" s="1"/>
  <c r="H8" i="31"/>
  <c r="H13" i="31" s="1"/>
  <c r="J8" i="31"/>
  <c r="J10" i="31" s="1"/>
  <c r="R8" i="31"/>
  <c r="R10" i="31" s="1"/>
  <c r="U8" i="31"/>
  <c r="U10" i="31" s="1"/>
  <c r="G8" i="31"/>
  <c r="X8" i="31"/>
  <c r="K8" i="31"/>
  <c r="K10" i="31" s="1"/>
  <c r="S8" i="31"/>
  <c r="S13" i="31" s="1"/>
  <c r="L8" i="31"/>
  <c r="L10" i="31" s="1"/>
  <c r="T8" i="31"/>
  <c r="T10" i="31" s="1"/>
  <c r="M8" i="31"/>
  <c r="M10" i="31" s="1"/>
  <c r="V8" i="31"/>
  <c r="V10" i="31" s="1"/>
  <c r="W8" i="31"/>
  <c r="W13" i="31" s="1"/>
  <c r="P8" i="31"/>
  <c r="P13" i="31" s="1"/>
  <c r="E10" i="31"/>
  <c r="F13" i="31"/>
  <c r="G10" i="31"/>
  <c r="E13" i="31"/>
  <c r="E17" i="31" s="1"/>
  <c r="X13" i="31"/>
  <c r="H8" i="30"/>
  <c r="H21" i="30" s="1"/>
  <c r="J325" i="31"/>
  <c r="J322" i="31"/>
  <c r="Q325" i="31"/>
  <c r="Q322" i="31"/>
  <c r="X325" i="31"/>
  <c r="X322" i="31"/>
  <c r="W325" i="31"/>
  <c r="W322" i="31"/>
  <c r="K325" i="31"/>
  <c r="K322" i="31"/>
  <c r="F326" i="31"/>
  <c r="F330" i="31" s="1"/>
  <c r="F323" i="31"/>
  <c r="I326" i="31"/>
  <c r="I323" i="31"/>
  <c r="L326" i="31"/>
  <c r="L323" i="31"/>
  <c r="G326" i="31"/>
  <c r="G323" i="31"/>
  <c r="O326" i="31"/>
  <c r="O323" i="31"/>
  <c r="L325" i="31"/>
  <c r="L322" i="31"/>
  <c r="R325" i="31"/>
  <c r="R322" i="31"/>
  <c r="S325" i="31"/>
  <c r="S322" i="31"/>
  <c r="O325" i="31"/>
  <c r="O322" i="31"/>
  <c r="T325" i="31"/>
  <c r="T322" i="31"/>
  <c r="R326" i="31"/>
  <c r="R323" i="31"/>
  <c r="V326" i="31"/>
  <c r="V323" i="31"/>
  <c r="U326" i="31"/>
  <c r="U323" i="31"/>
  <c r="H326" i="31"/>
  <c r="H323" i="31"/>
  <c r="M325" i="31"/>
  <c r="M322" i="31"/>
  <c r="I325" i="31"/>
  <c r="I322" i="31"/>
  <c r="H325" i="31"/>
  <c r="H322" i="31"/>
  <c r="F325" i="31"/>
  <c r="F329" i="31" s="1"/>
  <c r="F322" i="31"/>
  <c r="K326" i="31"/>
  <c r="K323" i="31"/>
  <c r="Q326" i="31"/>
  <c r="Q323" i="31"/>
  <c r="S326" i="31"/>
  <c r="S323" i="31"/>
  <c r="X326" i="31"/>
  <c r="X323" i="31"/>
  <c r="P326" i="31"/>
  <c r="P323" i="31"/>
  <c r="P325" i="31"/>
  <c r="P322" i="31"/>
  <c r="G325" i="31"/>
  <c r="G322" i="31"/>
  <c r="V325" i="31"/>
  <c r="V322" i="31"/>
  <c r="N325" i="31"/>
  <c r="N322" i="31"/>
  <c r="U325" i="31"/>
  <c r="U322" i="31"/>
  <c r="M326" i="31"/>
  <c r="M323" i="31"/>
  <c r="T326" i="31"/>
  <c r="T323" i="31"/>
  <c r="J326" i="31"/>
  <c r="J323" i="31"/>
  <c r="N326" i="31"/>
  <c r="N323" i="31"/>
  <c r="W326" i="31"/>
  <c r="W323" i="31"/>
  <c r="C14" i="40"/>
  <c r="C20" i="40" s="1"/>
  <c r="K7" i="30"/>
  <c r="N7" i="30"/>
  <c r="E8" i="30"/>
  <c r="D15" i="24"/>
  <c r="E8" i="24" s="1"/>
  <c r="G89" i="31"/>
  <c r="H89" i="31" s="1"/>
  <c r="I89" i="31" s="1"/>
  <c r="J89" i="31" s="1"/>
  <c r="K89" i="31" s="1"/>
  <c r="L89" i="31" s="1"/>
  <c r="M89" i="31" s="1"/>
  <c r="N89" i="31" s="1"/>
  <c r="O89" i="31" s="1"/>
  <c r="P89" i="31" s="1"/>
  <c r="Q89" i="31" s="1"/>
  <c r="R89" i="31" s="1"/>
  <c r="S89" i="31" s="1"/>
  <c r="T89" i="31" s="1"/>
  <c r="U89" i="31" s="1"/>
  <c r="V89" i="31" s="1"/>
  <c r="W89" i="31" s="1"/>
  <c r="X89" i="31" s="1"/>
  <c r="M32" i="31"/>
  <c r="X32" i="31"/>
  <c r="I32" i="31"/>
  <c r="E37" i="31"/>
  <c r="E41" i="31" s="1"/>
  <c r="E34" i="31"/>
  <c r="O32" i="31"/>
  <c r="K32" i="31"/>
  <c r="T32" i="31"/>
  <c r="U32" i="31"/>
  <c r="Q32" i="31"/>
  <c r="S32" i="31"/>
  <c r="J32" i="31"/>
  <c r="H32" i="31"/>
  <c r="R32" i="31"/>
  <c r="P32" i="31"/>
  <c r="N32" i="31"/>
  <c r="V32" i="31"/>
  <c r="W32" i="31"/>
  <c r="G32" i="31"/>
  <c r="F32" i="31"/>
  <c r="L32" i="31"/>
  <c r="D93" i="31"/>
  <c r="D87" i="31"/>
  <c r="D235" i="31" a="1"/>
  <c r="D235" i="31" s="1"/>
  <c r="O10" i="31" l="1"/>
  <c r="W10" i="31"/>
  <c r="S38" i="24"/>
  <c r="F8" i="24"/>
  <c r="I8" i="24" s="1"/>
  <c r="L13" i="31"/>
  <c r="I13" i="31"/>
  <c r="X10" i="31"/>
  <c r="N10" i="31"/>
  <c r="H10" i="31"/>
  <c r="S10" i="31"/>
  <c r="U13" i="31"/>
  <c r="P10" i="31"/>
  <c r="R13" i="31"/>
  <c r="V13" i="31"/>
  <c r="T13" i="31"/>
  <c r="G13" i="31"/>
  <c r="M13" i="31"/>
  <c r="J13" i="31"/>
  <c r="Q10" i="31"/>
  <c r="F10" i="31"/>
  <c r="F17" i="31"/>
  <c r="K13" i="31"/>
  <c r="E4" i="24"/>
  <c r="H12" i="8"/>
  <c r="I8" i="30"/>
  <c r="E29" i="24" s="1"/>
  <c r="G330" i="31"/>
  <c r="H330" i="31" s="1"/>
  <c r="I330" i="31" s="1"/>
  <c r="J330" i="31" s="1"/>
  <c r="K330" i="31" s="1"/>
  <c r="L330" i="31" s="1"/>
  <c r="M330" i="31" s="1"/>
  <c r="N330" i="31" s="1"/>
  <c r="O330" i="31" s="1"/>
  <c r="P330" i="31" s="1"/>
  <c r="Q330" i="31" s="1"/>
  <c r="R330" i="31" s="1"/>
  <c r="S330" i="31" s="1"/>
  <c r="T330" i="31" s="1"/>
  <c r="U330" i="31" s="1"/>
  <c r="V330" i="31" s="1"/>
  <c r="W330" i="31" s="1"/>
  <c r="X330" i="31" s="1"/>
  <c r="D334" i="31"/>
  <c r="D333" i="31"/>
  <c r="G329" i="31"/>
  <c r="H329" i="31" s="1"/>
  <c r="I329" i="31" s="1"/>
  <c r="J329" i="31" s="1"/>
  <c r="K329" i="31" s="1"/>
  <c r="L329" i="31" s="1"/>
  <c r="M329" i="31" s="1"/>
  <c r="N329" i="31" s="1"/>
  <c r="O329" i="31" s="1"/>
  <c r="P329" i="31" s="1"/>
  <c r="Q329" i="31" s="1"/>
  <c r="R329" i="31" s="1"/>
  <c r="S329" i="31" s="1"/>
  <c r="T329" i="31" s="1"/>
  <c r="U329" i="31" s="1"/>
  <c r="V329" i="31" s="1"/>
  <c r="W329" i="31" s="1"/>
  <c r="X329" i="31" s="1"/>
  <c r="D327" i="31"/>
  <c r="D328" i="31"/>
  <c r="C5" i="39"/>
  <c r="D5" i="39" s="1"/>
  <c r="D9" i="39" s="1"/>
  <c r="K5" i="30"/>
  <c r="K6" i="30"/>
  <c r="E12" i="24"/>
  <c r="E5" i="24"/>
  <c r="F5" i="24" s="1"/>
  <c r="I5" i="24" s="1"/>
  <c r="I7" i="8" s="1"/>
  <c r="J7" i="8" s="1"/>
  <c r="K7" i="8" s="1"/>
  <c r="E11" i="24"/>
  <c r="F11" i="24" s="1"/>
  <c r="E9" i="24"/>
  <c r="F9" i="24" s="1"/>
  <c r="I9" i="24" s="1"/>
  <c r="E7" i="24"/>
  <c r="F7" i="24" s="1"/>
  <c r="I7" i="24" s="1"/>
  <c r="E10" i="24"/>
  <c r="F10" i="24" s="1"/>
  <c r="I10" i="24" s="1"/>
  <c r="E6" i="24"/>
  <c r="F6" i="24" s="1"/>
  <c r="I6" i="24" s="1"/>
  <c r="D173" i="31"/>
  <c r="D178" i="31" s="1"/>
  <c r="D181" i="31" s="1"/>
  <c r="D91" i="31" a="1"/>
  <c r="D91" i="31" s="1"/>
  <c r="W37" i="31"/>
  <c r="W34" i="31"/>
  <c r="R37" i="31"/>
  <c r="R34" i="31"/>
  <c r="Q34" i="31"/>
  <c r="Q37" i="31"/>
  <c r="O37" i="31"/>
  <c r="O34" i="31"/>
  <c r="X37" i="31"/>
  <c r="X34" i="31"/>
  <c r="L34" i="31"/>
  <c r="L37" i="31"/>
  <c r="V37" i="31"/>
  <c r="V34" i="31"/>
  <c r="H37" i="31"/>
  <c r="H34" i="31"/>
  <c r="U34" i="31"/>
  <c r="U37" i="31"/>
  <c r="M34" i="31"/>
  <c r="M37" i="31"/>
  <c r="F37" i="31"/>
  <c r="F41" i="31" s="1"/>
  <c r="F34" i="31"/>
  <c r="N34" i="31"/>
  <c r="N37" i="31"/>
  <c r="J34" i="31"/>
  <c r="J37" i="31"/>
  <c r="T37" i="31"/>
  <c r="T34" i="31"/>
  <c r="G34" i="31"/>
  <c r="G37" i="31"/>
  <c r="P37" i="31"/>
  <c r="P34" i="31"/>
  <c r="S37" i="31"/>
  <c r="S34" i="31"/>
  <c r="K34" i="31"/>
  <c r="K37" i="31"/>
  <c r="I34" i="31"/>
  <c r="I37" i="31"/>
  <c r="H14" i="24" l="1"/>
  <c r="G14" i="24" s="1"/>
  <c r="D21" i="31"/>
  <c r="O5" i="8" s="1"/>
  <c r="G17" i="31"/>
  <c r="H17" i="31" s="1"/>
  <c r="I17" i="31" s="1"/>
  <c r="J17" i="31" s="1"/>
  <c r="K17" i="31" s="1"/>
  <c r="L17" i="31" s="1"/>
  <c r="M17" i="31" s="1"/>
  <c r="N17" i="31" s="1"/>
  <c r="O17" i="31" s="1"/>
  <c r="P17" i="31" s="1"/>
  <c r="Q17" i="31" s="1"/>
  <c r="R17" i="31" s="1"/>
  <c r="S17" i="31" s="1"/>
  <c r="T17" i="31" s="1"/>
  <c r="U17" i="31" s="1"/>
  <c r="V17" i="31" s="1"/>
  <c r="W17" i="31" s="1"/>
  <c r="X17" i="31" s="1"/>
  <c r="D19" i="31" s="1" a="1"/>
  <c r="D19" i="31" s="1"/>
  <c r="H5" i="8" s="1"/>
  <c r="D15" i="31"/>
  <c r="N5" i="8" s="1"/>
  <c r="N8" i="30"/>
  <c r="I6" i="8"/>
  <c r="J6" i="8" s="1"/>
  <c r="K8" i="30"/>
  <c r="G11" i="24"/>
  <c r="F4" i="24"/>
  <c r="E15" i="24"/>
  <c r="D185" i="31"/>
  <c r="D186" i="31"/>
  <c r="D179" i="31"/>
  <c r="D182" i="31" s="1"/>
  <c r="D39" i="31"/>
  <c r="N6" i="8" s="1"/>
  <c r="D45" i="31"/>
  <c r="O6" i="8" s="1"/>
  <c r="G41" i="31"/>
  <c r="I4" i="24" l="1"/>
  <c r="I5" i="8" s="1"/>
  <c r="J5" i="8" s="1"/>
  <c r="I14" i="24"/>
  <c r="H11" i="24"/>
  <c r="H15" i="24" s="1"/>
  <c r="E10" i="8"/>
  <c r="E57" i="31"/>
  <c r="K57" i="31" s="1"/>
  <c r="E81" i="31"/>
  <c r="K81" i="31" s="1"/>
  <c r="K6" i="8"/>
  <c r="E33" i="31"/>
  <c r="I33" i="31" s="1"/>
  <c r="G15" i="24"/>
  <c r="N21" i="30"/>
  <c r="K21" i="30" s="1"/>
  <c r="O8" i="30"/>
  <c r="F29" i="24" s="1"/>
  <c r="I11" i="24"/>
  <c r="H41" i="31"/>
  <c r="I41" i="31" s="1"/>
  <c r="J41" i="31" s="1"/>
  <c r="K41" i="31" s="1"/>
  <c r="L41" i="31" s="1"/>
  <c r="M41" i="31" s="1"/>
  <c r="N41" i="31" s="1"/>
  <c r="O41" i="31" s="1"/>
  <c r="P41" i="31" s="1"/>
  <c r="Q41" i="31" s="1"/>
  <c r="R41" i="31" s="1"/>
  <c r="S41" i="31" s="1"/>
  <c r="T41" i="31" s="1"/>
  <c r="U41" i="31" s="1"/>
  <c r="V41" i="31" s="1"/>
  <c r="W41" i="31" s="1"/>
  <c r="X41" i="31" s="1"/>
  <c r="E9" i="31" l="1"/>
  <c r="K5" i="8"/>
  <c r="P10" i="8"/>
  <c r="F10" i="8"/>
  <c r="G10" i="8" s="1"/>
  <c r="S39" i="24"/>
  <c r="V38" i="24" s="1"/>
  <c r="E35" i="31"/>
  <c r="N57" i="31"/>
  <c r="N59" i="31" s="1"/>
  <c r="J57" i="31"/>
  <c r="J59" i="31" s="1"/>
  <c r="Q33" i="31"/>
  <c r="Q38" i="31" s="1"/>
  <c r="V57" i="31"/>
  <c r="V59" i="31" s="1"/>
  <c r="H57" i="31"/>
  <c r="H59" i="31" s="1"/>
  <c r="E59" i="31"/>
  <c r="W57" i="31"/>
  <c r="W62" i="31" s="1"/>
  <c r="L57" i="31"/>
  <c r="L62" i="31" s="1"/>
  <c r="I57" i="31"/>
  <c r="I62" i="31" s="1"/>
  <c r="T57" i="31"/>
  <c r="T59" i="31" s="1"/>
  <c r="G57" i="31"/>
  <c r="G62" i="31" s="1"/>
  <c r="Q57" i="31"/>
  <c r="Q62" i="31" s="1"/>
  <c r="P57" i="31"/>
  <c r="P59" i="31" s="1"/>
  <c r="R57" i="31"/>
  <c r="R62" i="31" s="1"/>
  <c r="O57" i="31"/>
  <c r="O59" i="31" s="1"/>
  <c r="F57" i="31"/>
  <c r="F62" i="31" s="1"/>
  <c r="S57" i="31"/>
  <c r="S59" i="31" s="1"/>
  <c r="M57" i="31"/>
  <c r="M62" i="31" s="1"/>
  <c r="E62" i="31"/>
  <c r="E66" i="31" s="1"/>
  <c r="X57" i="31"/>
  <c r="X62" i="31" s="1"/>
  <c r="U57" i="31"/>
  <c r="U59" i="31" s="1"/>
  <c r="K33" i="31"/>
  <c r="K38" i="31" s="1"/>
  <c r="V33" i="31"/>
  <c r="V38" i="31" s="1"/>
  <c r="F33" i="31"/>
  <c r="F38" i="31" s="1"/>
  <c r="N33" i="31"/>
  <c r="N38" i="31" s="1"/>
  <c r="X33" i="31"/>
  <c r="X38" i="31" s="1"/>
  <c r="P33" i="31"/>
  <c r="P38" i="31" s="1"/>
  <c r="M33" i="31"/>
  <c r="M35" i="31" s="1"/>
  <c r="S33" i="31"/>
  <c r="S35" i="31" s="1"/>
  <c r="R33" i="31"/>
  <c r="R38" i="31" s="1"/>
  <c r="L33" i="31"/>
  <c r="L35" i="31" s="1"/>
  <c r="W33" i="31"/>
  <c r="W35" i="31" s="1"/>
  <c r="O33" i="31"/>
  <c r="O38" i="31" s="1"/>
  <c r="U33" i="31"/>
  <c r="U35" i="31" s="1"/>
  <c r="Q81" i="31"/>
  <c r="Q83" i="31" s="1"/>
  <c r="U81" i="31"/>
  <c r="U86" i="31" s="1"/>
  <c r="X81" i="31"/>
  <c r="X86" i="31" s="1"/>
  <c r="H81" i="31"/>
  <c r="H86" i="31" s="1"/>
  <c r="L81" i="31"/>
  <c r="L83" i="31" s="1"/>
  <c r="E86" i="31"/>
  <c r="E90" i="31" s="1"/>
  <c r="R81" i="31"/>
  <c r="R86" i="31" s="1"/>
  <c r="G81" i="31"/>
  <c r="G83" i="31" s="1"/>
  <c r="N81" i="31"/>
  <c r="N86" i="31" s="1"/>
  <c r="J81" i="31"/>
  <c r="J86" i="31" s="1"/>
  <c r="F81" i="31"/>
  <c r="F83" i="31" s="1"/>
  <c r="T81" i="31"/>
  <c r="T83" i="31" s="1"/>
  <c r="E83" i="31"/>
  <c r="M81" i="31"/>
  <c r="M86" i="31" s="1"/>
  <c r="O81" i="31"/>
  <c r="O86" i="31" s="1"/>
  <c r="W81" i="31"/>
  <c r="W86" i="31" s="1"/>
  <c r="V81" i="31"/>
  <c r="V86" i="31" s="1"/>
  <c r="I81" i="31"/>
  <c r="I86" i="31" s="1"/>
  <c r="P81" i="31"/>
  <c r="P86" i="31" s="1"/>
  <c r="S81" i="31"/>
  <c r="S83" i="31" s="1"/>
  <c r="T33" i="31"/>
  <c r="T38" i="31" s="1"/>
  <c r="G33" i="31"/>
  <c r="G38" i="31" s="1"/>
  <c r="J33" i="31"/>
  <c r="J38" i="31" s="1"/>
  <c r="E38" i="31"/>
  <c r="E42" i="31" s="1"/>
  <c r="H33" i="31"/>
  <c r="H35" i="31" s="1"/>
  <c r="I15" i="24"/>
  <c r="E177" i="31"/>
  <c r="E176" i="31"/>
  <c r="K62" i="31"/>
  <c r="K59" i="31"/>
  <c r="I35" i="31"/>
  <c r="I38" i="31"/>
  <c r="D43" i="31" a="1"/>
  <c r="D43" i="31" s="1"/>
  <c r="K83" i="31"/>
  <c r="K86" i="31"/>
  <c r="L9" i="31" l="1"/>
  <c r="L14" i="31" s="1"/>
  <c r="T9" i="31"/>
  <c r="T11" i="31" s="1"/>
  <c r="Q9" i="31"/>
  <c r="Q11" i="31" s="1"/>
  <c r="J9" i="31"/>
  <c r="J14" i="31" s="1"/>
  <c r="S9" i="31"/>
  <c r="S14" i="31" s="1"/>
  <c r="M9" i="31"/>
  <c r="M14" i="31" s="1"/>
  <c r="U9" i="31"/>
  <c r="U11" i="31" s="1"/>
  <c r="G9" i="31"/>
  <c r="G14" i="31" s="1"/>
  <c r="P9" i="31"/>
  <c r="P11" i="31" s="1"/>
  <c r="F9" i="31"/>
  <c r="F14" i="31" s="1"/>
  <c r="N9" i="31"/>
  <c r="N11" i="31" s="1"/>
  <c r="V9" i="31"/>
  <c r="V14" i="31" s="1"/>
  <c r="O9" i="31"/>
  <c r="O11" i="31" s="1"/>
  <c r="W9" i="31"/>
  <c r="W11" i="31" s="1"/>
  <c r="H9" i="31"/>
  <c r="H14" i="31" s="1"/>
  <c r="X9" i="31"/>
  <c r="X14" i="31" s="1"/>
  <c r="I9" i="31"/>
  <c r="I11" i="31" s="1"/>
  <c r="R9" i="31"/>
  <c r="R11" i="31" s="1"/>
  <c r="K9" i="31"/>
  <c r="K11" i="31" s="1"/>
  <c r="E11" i="31"/>
  <c r="E14" i="31"/>
  <c r="E18" i="31" s="1"/>
  <c r="U38" i="24"/>
  <c r="P35" i="31"/>
  <c r="H6" i="8"/>
  <c r="J62" i="31"/>
  <c r="N62" i="31"/>
  <c r="Q35" i="31"/>
  <c r="Q59" i="31"/>
  <c r="F59" i="31"/>
  <c r="W59" i="31"/>
  <c r="V35" i="31"/>
  <c r="X59" i="31"/>
  <c r="U83" i="31"/>
  <c r="V62" i="31"/>
  <c r="O62" i="31"/>
  <c r="F66" i="31"/>
  <c r="G66" i="31" s="1"/>
  <c r="Q86" i="31"/>
  <c r="G59" i="31"/>
  <c r="L86" i="31"/>
  <c r="F35" i="31"/>
  <c r="T62" i="31"/>
  <c r="H62" i="31"/>
  <c r="U38" i="31"/>
  <c r="M38" i="31"/>
  <c r="L59" i="31"/>
  <c r="N35" i="31"/>
  <c r="R59" i="31"/>
  <c r="M59" i="31"/>
  <c r="X35" i="31"/>
  <c r="I59" i="31"/>
  <c r="W38" i="31"/>
  <c r="P62" i="31"/>
  <c r="U62" i="31"/>
  <c r="S38" i="31"/>
  <c r="S62" i="31"/>
  <c r="F86" i="31"/>
  <c r="F90" i="31" s="1"/>
  <c r="P83" i="31"/>
  <c r="O35" i="31"/>
  <c r="R35" i="31"/>
  <c r="K35" i="31"/>
  <c r="J35" i="31"/>
  <c r="V83" i="31"/>
  <c r="L38" i="31"/>
  <c r="X83" i="31"/>
  <c r="T86" i="31"/>
  <c r="G86" i="31"/>
  <c r="H83" i="31"/>
  <c r="S86" i="31"/>
  <c r="O83" i="31"/>
  <c r="R83" i="31"/>
  <c r="W83" i="31"/>
  <c r="J83" i="31"/>
  <c r="M83" i="31"/>
  <c r="I83" i="31"/>
  <c r="G35" i="31"/>
  <c r="N83" i="31"/>
  <c r="T35" i="31"/>
  <c r="F42" i="31"/>
  <c r="G42" i="31" s="1"/>
  <c r="H38" i="31"/>
  <c r="V176" i="31"/>
  <c r="F176" i="31"/>
  <c r="S176" i="31"/>
  <c r="R176" i="31"/>
  <c r="W176" i="31"/>
  <c r="E178" i="31"/>
  <c r="U176" i="31"/>
  <c r="X176" i="31"/>
  <c r="M176" i="31"/>
  <c r="G176" i="31"/>
  <c r="J176" i="31"/>
  <c r="H176" i="31"/>
  <c r="P176" i="31"/>
  <c r="L176" i="31"/>
  <c r="I176" i="31"/>
  <c r="E181" i="31"/>
  <c r="E185" i="31" s="1"/>
  <c r="O176" i="31"/>
  <c r="K176" i="31"/>
  <c r="N176" i="31"/>
  <c r="T176" i="31"/>
  <c r="Q176" i="31"/>
  <c r="P177" i="31"/>
  <c r="J177" i="31"/>
  <c r="R177" i="31"/>
  <c r="T177" i="31"/>
  <c r="E179" i="31"/>
  <c r="W177" i="31"/>
  <c r="I177" i="31"/>
  <c r="U177" i="31"/>
  <c r="H177" i="31"/>
  <c r="M177" i="31"/>
  <c r="L177" i="31"/>
  <c r="G177" i="31"/>
  <c r="V177" i="31"/>
  <c r="K177" i="31"/>
  <c r="S177" i="31"/>
  <c r="N177" i="31"/>
  <c r="X177" i="31"/>
  <c r="O177" i="31"/>
  <c r="F177" i="31"/>
  <c r="Q177" i="31"/>
  <c r="E182" i="31"/>
  <c r="E186" i="31" s="1"/>
  <c r="K14" i="31"/>
  <c r="T14" i="31" l="1"/>
  <c r="O14" i="31"/>
  <c r="W14" i="31"/>
  <c r="P14" i="31"/>
  <c r="S11" i="31"/>
  <c r="L11" i="31"/>
  <c r="R14" i="31"/>
  <c r="V11" i="31"/>
  <c r="H11" i="31"/>
  <c r="M11" i="31"/>
  <c r="G11" i="31"/>
  <c r="U14" i="31"/>
  <c r="N14" i="31"/>
  <c r="Q14" i="31"/>
  <c r="F11" i="31"/>
  <c r="J11" i="31"/>
  <c r="X11" i="31"/>
  <c r="F18" i="31"/>
  <c r="G18" i="31" s="1"/>
  <c r="H18" i="31" s="1"/>
  <c r="I14" i="31"/>
  <c r="H66" i="31"/>
  <c r="I66" i="31" s="1"/>
  <c r="J66" i="31" s="1"/>
  <c r="K66" i="31" s="1"/>
  <c r="L66" i="31" s="1"/>
  <c r="M66" i="31" s="1"/>
  <c r="N66" i="31" s="1"/>
  <c r="O66" i="31" s="1"/>
  <c r="P66" i="31" s="1"/>
  <c r="Q66" i="31" s="1"/>
  <c r="R66" i="31" s="1"/>
  <c r="S66" i="31" s="1"/>
  <c r="D70" i="31"/>
  <c r="D64" i="31"/>
  <c r="G90" i="31"/>
  <c r="H90" i="31" s="1"/>
  <c r="I90" i="31" s="1"/>
  <c r="J90" i="31" s="1"/>
  <c r="K90" i="31" s="1"/>
  <c r="L90" i="31" s="1"/>
  <c r="M90" i="31" s="1"/>
  <c r="N90" i="31" s="1"/>
  <c r="O90" i="31" s="1"/>
  <c r="P90" i="31" s="1"/>
  <c r="Q90" i="31" s="1"/>
  <c r="R90" i="31" s="1"/>
  <c r="S90" i="31" s="1"/>
  <c r="T90" i="31" s="1"/>
  <c r="D40" i="31"/>
  <c r="D88" i="31"/>
  <c r="D94" i="31"/>
  <c r="D46" i="31"/>
  <c r="O179" i="31"/>
  <c r="O182" i="31"/>
  <c r="K179" i="31"/>
  <c r="K182" i="31"/>
  <c r="M179" i="31"/>
  <c r="M182" i="31"/>
  <c r="W182" i="31"/>
  <c r="W179" i="31"/>
  <c r="J182" i="31"/>
  <c r="J179" i="31"/>
  <c r="N178" i="31"/>
  <c r="N181" i="31"/>
  <c r="I181" i="31"/>
  <c r="I178" i="31"/>
  <c r="J178" i="31"/>
  <c r="J181" i="31"/>
  <c r="U181" i="31"/>
  <c r="U178" i="31"/>
  <c r="S178" i="31"/>
  <c r="S181" i="31"/>
  <c r="F179" i="31"/>
  <c r="F182" i="31"/>
  <c r="F186" i="31" s="1"/>
  <c r="S182" i="31"/>
  <c r="S179" i="31"/>
  <c r="L182" i="31"/>
  <c r="L179" i="31"/>
  <c r="I182" i="31"/>
  <c r="I179" i="31"/>
  <c r="R182" i="31"/>
  <c r="R179" i="31"/>
  <c r="T178" i="31"/>
  <c r="T181" i="31"/>
  <c r="H181" i="31"/>
  <c r="H178" i="31"/>
  <c r="X181" i="31"/>
  <c r="X178" i="31"/>
  <c r="R181" i="31"/>
  <c r="R178" i="31"/>
  <c r="X179" i="31"/>
  <c r="X182" i="31"/>
  <c r="V182" i="31"/>
  <c r="V179" i="31"/>
  <c r="H179" i="31"/>
  <c r="H182" i="31"/>
  <c r="P179" i="31"/>
  <c r="P182" i="31"/>
  <c r="K181" i="31"/>
  <c r="K178" i="31"/>
  <c r="L178" i="31"/>
  <c r="L181" i="31"/>
  <c r="G181" i="31"/>
  <c r="G178" i="31"/>
  <c r="F178" i="31"/>
  <c r="F181" i="31"/>
  <c r="F185" i="31" s="1"/>
  <c r="Q182" i="31"/>
  <c r="Q179" i="31"/>
  <c r="N182" i="31"/>
  <c r="N179" i="31"/>
  <c r="G179" i="31"/>
  <c r="G182" i="31"/>
  <c r="U182" i="31"/>
  <c r="U179" i="31"/>
  <c r="T179" i="31"/>
  <c r="T182" i="31"/>
  <c r="Q181" i="31"/>
  <c r="Q178" i="31"/>
  <c r="O178" i="31"/>
  <c r="O181" i="31"/>
  <c r="P178" i="31"/>
  <c r="P181" i="31"/>
  <c r="M178" i="31"/>
  <c r="M181" i="31"/>
  <c r="W181" i="31"/>
  <c r="W178" i="31"/>
  <c r="V181" i="31"/>
  <c r="V178" i="31"/>
  <c r="H42" i="31"/>
  <c r="I42" i="31" s="1"/>
  <c r="J42" i="31" s="1"/>
  <c r="K42" i="31" s="1"/>
  <c r="L42" i="31" s="1"/>
  <c r="M42" i="31" s="1"/>
  <c r="N42" i="31" s="1"/>
  <c r="O42" i="31" s="1"/>
  <c r="P42" i="31" s="1"/>
  <c r="Q42" i="31" s="1"/>
  <c r="R42" i="31" s="1"/>
  <c r="S42" i="31" s="1"/>
  <c r="T42" i="31" s="1"/>
  <c r="U42" i="31" s="1"/>
  <c r="V42" i="31" s="1"/>
  <c r="W42" i="31" s="1"/>
  <c r="X42" i="31" s="1"/>
  <c r="D16" i="31" l="1"/>
  <c r="D22" i="31"/>
  <c r="I18" i="31"/>
  <c r="J18" i="31" s="1"/>
  <c r="K18" i="31" s="1"/>
  <c r="L18" i="31" s="1"/>
  <c r="M18" i="31" s="1"/>
  <c r="N18" i="31" s="1"/>
  <c r="O18" i="31" s="1"/>
  <c r="P18" i="31" s="1"/>
  <c r="Q18" i="31" s="1"/>
  <c r="R18" i="31" s="1"/>
  <c r="S18" i="31" s="1"/>
  <c r="T18" i="31" s="1"/>
  <c r="U18" i="31" s="1"/>
  <c r="V18" i="31" s="1"/>
  <c r="W18" i="31" s="1"/>
  <c r="X18" i="31" s="1"/>
  <c r="T66" i="31"/>
  <c r="U66" i="31" s="1"/>
  <c r="V66" i="31" s="1"/>
  <c r="W66" i="31" s="1"/>
  <c r="X66" i="31" s="1"/>
  <c r="U90" i="31"/>
  <c r="V90" i="31" s="1"/>
  <c r="W90" i="31" s="1"/>
  <c r="X90" i="31" s="1"/>
  <c r="D184" i="31"/>
  <c r="D190" i="31"/>
  <c r="D183" i="31"/>
  <c r="N10" i="8" s="1"/>
  <c r="G185" i="31"/>
  <c r="H185" i="31" s="1"/>
  <c r="I185" i="31" s="1"/>
  <c r="J185" i="31" s="1"/>
  <c r="K185" i="31" s="1"/>
  <c r="L185" i="31" s="1"/>
  <c r="M185" i="31" s="1"/>
  <c r="N185" i="31" s="1"/>
  <c r="O185" i="31" s="1"/>
  <c r="P185" i="31" s="1"/>
  <c r="Q185" i="31" s="1"/>
  <c r="R185" i="31" s="1"/>
  <c r="S185" i="31" s="1"/>
  <c r="T185" i="31" s="1"/>
  <c r="U185" i="31" s="1"/>
  <c r="V185" i="31" s="1"/>
  <c r="W185" i="31" s="1"/>
  <c r="X185" i="31" s="1"/>
  <c r="D189" i="31"/>
  <c r="O10" i="8" s="1"/>
  <c r="G186" i="31"/>
  <c r="H186" i="31" s="1"/>
  <c r="I186" i="31" s="1"/>
  <c r="J186" i="31" s="1"/>
  <c r="K186" i="31" s="1"/>
  <c r="L186" i="31" s="1"/>
  <c r="M186" i="31" s="1"/>
  <c r="N186" i="31" s="1"/>
  <c r="O186" i="31" s="1"/>
  <c r="P186" i="31" s="1"/>
  <c r="Q186" i="31" s="1"/>
  <c r="R186" i="31" s="1"/>
  <c r="S186" i="31" s="1"/>
  <c r="T186" i="31" s="1"/>
  <c r="U186" i="31" s="1"/>
  <c r="V186" i="31" s="1"/>
  <c r="W186" i="31" s="1"/>
  <c r="X186" i="31" s="1"/>
  <c r="D44" i="31" a="1"/>
  <c r="D44" i="31" s="1"/>
  <c r="D332" i="31" a="1"/>
  <c r="D332" i="31" s="1"/>
  <c r="D331" i="31" a="1"/>
  <c r="D331" i="31" s="1"/>
  <c r="L6" i="8" l="1"/>
  <c r="D92" i="31" a="1"/>
  <c r="D92" i="31" s="1"/>
  <c r="D68" i="31" a="1"/>
  <c r="D68" i="31" s="1"/>
  <c r="L7" i="8" s="1"/>
  <c r="D187" i="31" a="1"/>
  <c r="D187" i="31" s="1"/>
  <c r="H10" i="8" s="1"/>
  <c r="D188" i="31" a="1"/>
  <c r="D188" i="31" s="1"/>
  <c r="D20" i="31" a="1"/>
  <c r="D20" i="31" s="1"/>
  <c r="L5" i="8" l="1"/>
  <c r="T50" i="25"/>
  <c r="T51" i="25" s="1"/>
  <c r="D18" i="30"/>
  <c r="D245" i="31" l="1"/>
  <c r="D30" i="8"/>
  <c r="L15" i="30"/>
  <c r="N15" i="30" s="1"/>
  <c r="J18" i="30"/>
  <c r="O43" i="25"/>
  <c r="F15" i="30"/>
  <c r="H15" i="30" s="1"/>
  <c r="H18" i="30" s="1"/>
  <c r="I18" i="30" s="1"/>
  <c r="E15" i="30"/>
  <c r="E17" i="30"/>
  <c r="E16" i="30"/>
  <c r="G26" i="41"/>
  <c r="E18" i="30" l="1"/>
  <c r="C7" i="39"/>
  <c r="D7" i="39" s="1"/>
  <c r="D365" i="31"/>
  <c r="K17" i="30"/>
  <c r="K16" i="30"/>
  <c r="D25" i="24"/>
  <c r="K15" i="30"/>
  <c r="D250" i="31"/>
  <c r="D257" i="31"/>
  <c r="D251" i="31"/>
  <c r="D258" i="31"/>
  <c r="D389" i="31"/>
  <c r="S44" i="24" l="1"/>
  <c r="D395" i="31"/>
  <c r="D402" i="31"/>
  <c r="D394" i="31"/>
  <c r="D401" i="31"/>
  <c r="D254" i="31"/>
  <c r="D253" i="31"/>
  <c r="E31" i="24"/>
  <c r="E19" i="24"/>
  <c r="I19" i="24" s="1"/>
  <c r="E21" i="24"/>
  <c r="F21" i="24" s="1"/>
  <c r="I21" i="24" s="1"/>
  <c r="E20" i="24"/>
  <c r="F20" i="24" s="1"/>
  <c r="I20" i="24" s="1"/>
  <c r="I9" i="8" s="1"/>
  <c r="J9" i="8" s="1"/>
  <c r="E16" i="24"/>
  <c r="E17" i="24"/>
  <c r="F17" i="24" s="1"/>
  <c r="I17" i="24" s="1"/>
  <c r="I12" i="8" s="1"/>
  <c r="J12" i="8" s="1"/>
  <c r="D377" i="31"/>
  <c r="D371" i="31"/>
  <c r="D370" i="31"/>
  <c r="D378" i="31"/>
  <c r="E248" i="31"/>
  <c r="K18" i="30"/>
  <c r="D10" i="39"/>
  <c r="N18" i="30"/>
  <c r="O18" i="30" s="1"/>
  <c r="E15" i="8" l="1"/>
  <c r="E31" i="8" s="1"/>
  <c r="F15" i="8"/>
  <c r="F30" i="8" s="1"/>
  <c r="G30" i="8" s="1"/>
  <c r="J8" i="8"/>
  <c r="I8" i="8"/>
  <c r="E129" i="31"/>
  <c r="K9" i="8"/>
  <c r="D374" i="31"/>
  <c r="K12" i="8"/>
  <c r="E225" i="31"/>
  <c r="D397" i="31"/>
  <c r="E253" i="31"/>
  <c r="E257" i="31" s="1"/>
  <c r="K248" i="31"/>
  <c r="J248" i="31"/>
  <c r="M248" i="31"/>
  <c r="W248" i="31"/>
  <c r="X248" i="31"/>
  <c r="S248" i="31"/>
  <c r="U248" i="31"/>
  <c r="I248" i="31"/>
  <c r="P248" i="31"/>
  <c r="G248" i="31"/>
  <c r="N248" i="31"/>
  <c r="H248" i="31"/>
  <c r="Q248" i="31"/>
  <c r="R248" i="31"/>
  <c r="T248" i="31"/>
  <c r="F248" i="31"/>
  <c r="V248" i="31"/>
  <c r="E250" i="31"/>
  <c r="L248" i="31"/>
  <c r="O248" i="31"/>
  <c r="E25" i="24"/>
  <c r="F16" i="24"/>
  <c r="I16" i="24" s="1"/>
  <c r="D398" i="31"/>
  <c r="P15" i="8"/>
  <c r="P30" i="8" s="1"/>
  <c r="H24" i="24"/>
  <c r="G24" i="24" s="1"/>
  <c r="D373" i="31"/>
  <c r="E153" i="31" l="1"/>
  <c r="E105" i="31"/>
  <c r="K8" i="8"/>
  <c r="Q129" i="31"/>
  <c r="V129" i="31"/>
  <c r="K129" i="31"/>
  <c r="G129" i="31"/>
  <c r="O129" i="31"/>
  <c r="R129" i="31"/>
  <c r="S129" i="31"/>
  <c r="L129" i="31"/>
  <c r="E131" i="31"/>
  <c r="J129" i="31"/>
  <c r="W129" i="31"/>
  <c r="H129" i="31"/>
  <c r="T129" i="31"/>
  <c r="E134" i="31"/>
  <c r="E138" i="31" s="1"/>
  <c r="N129" i="31"/>
  <c r="P129" i="31"/>
  <c r="X129" i="31"/>
  <c r="F129" i="31"/>
  <c r="I129" i="31"/>
  <c r="U129" i="31"/>
  <c r="M129" i="31"/>
  <c r="H25" i="24"/>
  <c r="O250" i="31"/>
  <c r="O253" i="31"/>
  <c r="F253" i="31"/>
  <c r="F257" i="31" s="1"/>
  <c r="F250" i="31"/>
  <c r="H250" i="31"/>
  <c r="H253" i="31"/>
  <c r="I250" i="31"/>
  <c r="I253" i="31"/>
  <c r="W253" i="31"/>
  <c r="W250" i="31"/>
  <c r="Q225" i="31"/>
  <c r="T225" i="31"/>
  <c r="S225" i="31"/>
  <c r="N225" i="31"/>
  <c r="K225" i="31"/>
  <c r="X225" i="31"/>
  <c r="J225" i="31"/>
  <c r="L225" i="31"/>
  <c r="P225" i="31"/>
  <c r="I225" i="31"/>
  <c r="U225" i="31"/>
  <c r="V225" i="31"/>
  <c r="H225" i="31"/>
  <c r="W225" i="31"/>
  <c r="M225" i="31"/>
  <c r="R225" i="31"/>
  <c r="E230" i="31"/>
  <c r="E234" i="31" s="1"/>
  <c r="O225" i="31"/>
  <c r="F225" i="31"/>
  <c r="G225" i="31"/>
  <c r="E227" i="31"/>
  <c r="E249" i="31"/>
  <c r="E344" i="31"/>
  <c r="G15" i="8"/>
  <c r="F31" i="8"/>
  <c r="G31" i="8" s="1"/>
  <c r="I11" i="8"/>
  <c r="L253" i="31"/>
  <c r="L250" i="31"/>
  <c r="T253" i="31"/>
  <c r="T250" i="31"/>
  <c r="N250" i="31"/>
  <c r="N253" i="31"/>
  <c r="U250" i="31"/>
  <c r="U253" i="31"/>
  <c r="M250" i="31"/>
  <c r="M253" i="31"/>
  <c r="G25" i="24"/>
  <c r="S45" i="24" s="1"/>
  <c r="I24" i="24"/>
  <c r="I25" i="24" s="1"/>
  <c r="P31" i="8"/>
  <c r="R253" i="31"/>
  <c r="R250" i="31"/>
  <c r="G253" i="31"/>
  <c r="G250" i="31"/>
  <c r="S250" i="31"/>
  <c r="S253" i="31"/>
  <c r="J250" i="31"/>
  <c r="J253" i="31"/>
  <c r="E30" i="8"/>
  <c r="V253" i="31"/>
  <c r="V250" i="31"/>
  <c r="Q250" i="31"/>
  <c r="Q253" i="31"/>
  <c r="P253" i="31"/>
  <c r="P250" i="31"/>
  <c r="X250" i="31"/>
  <c r="X253" i="31"/>
  <c r="K253" i="31"/>
  <c r="K250" i="31"/>
  <c r="O153" i="31" l="1"/>
  <c r="H153" i="31"/>
  <c r="J153" i="31"/>
  <c r="P153" i="31"/>
  <c r="I153" i="31"/>
  <c r="G153" i="31"/>
  <c r="F153" i="31"/>
  <c r="E155" i="31"/>
  <c r="L153" i="31"/>
  <c r="S153" i="31"/>
  <c r="V153" i="31"/>
  <c r="U153" i="31"/>
  <c r="E158" i="31"/>
  <c r="E162" i="31" s="1"/>
  <c r="W153" i="31"/>
  <c r="M153" i="31"/>
  <c r="X153" i="31"/>
  <c r="T153" i="31"/>
  <c r="K153" i="31"/>
  <c r="R153" i="31"/>
  <c r="Q153" i="31"/>
  <c r="N153" i="31"/>
  <c r="W105" i="31"/>
  <c r="P105" i="31"/>
  <c r="E107" i="31"/>
  <c r="F105" i="31"/>
  <c r="N105" i="31"/>
  <c r="S105" i="31"/>
  <c r="J105" i="31"/>
  <c r="K105" i="31"/>
  <c r="U105" i="31"/>
  <c r="X105" i="31"/>
  <c r="V105" i="31"/>
  <c r="G105" i="31"/>
  <c r="H105" i="31"/>
  <c r="L105" i="31"/>
  <c r="E110" i="31"/>
  <c r="E114" i="31" s="1"/>
  <c r="I105" i="31"/>
  <c r="O105" i="31"/>
  <c r="R105" i="31"/>
  <c r="M105" i="31"/>
  <c r="Q105" i="31"/>
  <c r="T105" i="31"/>
  <c r="I134" i="31"/>
  <c r="I131" i="31"/>
  <c r="N134" i="31"/>
  <c r="N131" i="31"/>
  <c r="W134" i="31"/>
  <c r="W131" i="31"/>
  <c r="S131" i="31"/>
  <c r="S134" i="31"/>
  <c r="K134" i="31"/>
  <c r="K131" i="31"/>
  <c r="U134" i="31"/>
  <c r="U131" i="31"/>
  <c r="P134" i="31"/>
  <c r="P131" i="31"/>
  <c r="H134" i="31"/>
  <c r="H131" i="31"/>
  <c r="L134" i="31"/>
  <c r="L131" i="31"/>
  <c r="G131" i="31"/>
  <c r="G134" i="31"/>
  <c r="F134" i="31"/>
  <c r="F138" i="31" s="1"/>
  <c r="F131" i="31"/>
  <c r="J131" i="31"/>
  <c r="J134" i="31"/>
  <c r="R131" i="31"/>
  <c r="R134" i="31"/>
  <c r="V134" i="31"/>
  <c r="V131" i="31"/>
  <c r="M131" i="31"/>
  <c r="M134" i="31"/>
  <c r="X134" i="31"/>
  <c r="X131" i="31"/>
  <c r="T134" i="31"/>
  <c r="T131" i="31"/>
  <c r="O134" i="31"/>
  <c r="O131" i="31"/>
  <c r="Q134" i="31"/>
  <c r="Q131" i="31"/>
  <c r="F31" i="24"/>
  <c r="D261" i="31"/>
  <c r="D255" i="31"/>
  <c r="I344" i="31"/>
  <c r="P344" i="31"/>
  <c r="M344" i="31"/>
  <c r="X344" i="31"/>
  <c r="N344" i="31"/>
  <c r="S344" i="31"/>
  <c r="H344" i="31"/>
  <c r="V344" i="31"/>
  <c r="U344" i="31"/>
  <c r="E346" i="31"/>
  <c r="K344" i="31"/>
  <c r="T344" i="31"/>
  <c r="G344" i="31"/>
  <c r="O344" i="31"/>
  <c r="J344" i="31"/>
  <c r="F344" i="31"/>
  <c r="E349" i="31"/>
  <c r="E353" i="31" s="1"/>
  <c r="W344" i="31"/>
  <c r="L344" i="31"/>
  <c r="R344" i="31"/>
  <c r="Q344" i="31"/>
  <c r="G227" i="31"/>
  <c r="G230" i="31"/>
  <c r="R230" i="31"/>
  <c r="R227" i="31"/>
  <c r="V230" i="31"/>
  <c r="V227" i="31"/>
  <c r="L230" i="31"/>
  <c r="L227" i="31"/>
  <c r="N230" i="31"/>
  <c r="N227" i="31"/>
  <c r="E392" i="31"/>
  <c r="F230" i="31"/>
  <c r="F234" i="31" s="1"/>
  <c r="F227" i="31"/>
  <c r="M230" i="31"/>
  <c r="M227" i="31"/>
  <c r="U227" i="31"/>
  <c r="U230" i="31"/>
  <c r="J227" i="31"/>
  <c r="J230" i="31"/>
  <c r="S230" i="31"/>
  <c r="S227" i="31"/>
  <c r="G257" i="31"/>
  <c r="E368" i="31"/>
  <c r="T249" i="31"/>
  <c r="S249" i="31"/>
  <c r="N249" i="31"/>
  <c r="W249" i="31"/>
  <c r="E254" i="31"/>
  <c r="E258" i="31" s="1"/>
  <c r="R249" i="31"/>
  <c r="O249" i="31"/>
  <c r="V249" i="31"/>
  <c r="H249" i="31"/>
  <c r="E251" i="31"/>
  <c r="G249" i="31"/>
  <c r="F249" i="31"/>
  <c r="K249" i="31"/>
  <c r="M249" i="31"/>
  <c r="Q249" i="31"/>
  <c r="L249" i="31"/>
  <c r="P249" i="31"/>
  <c r="J249" i="31"/>
  <c r="I249" i="31"/>
  <c r="X249" i="31"/>
  <c r="U249" i="31"/>
  <c r="O230" i="31"/>
  <c r="O227" i="31"/>
  <c r="W227" i="31"/>
  <c r="W230" i="31"/>
  <c r="I230" i="31"/>
  <c r="I227" i="31"/>
  <c r="X230" i="31"/>
  <c r="X227" i="31"/>
  <c r="T230" i="31"/>
  <c r="T227" i="31"/>
  <c r="I15" i="8"/>
  <c r="I30" i="8" s="1"/>
  <c r="J15" i="8"/>
  <c r="J11" i="8"/>
  <c r="H230" i="31"/>
  <c r="H227" i="31"/>
  <c r="P227" i="31"/>
  <c r="P230" i="31"/>
  <c r="K227" i="31"/>
  <c r="K230" i="31"/>
  <c r="Q227" i="31"/>
  <c r="Q230" i="31"/>
  <c r="X155" i="31" l="1"/>
  <c r="X158" i="31"/>
  <c r="M158" i="31"/>
  <c r="M155" i="31"/>
  <c r="F155" i="31"/>
  <c r="F158" i="31"/>
  <c r="F162" i="31" s="1"/>
  <c r="W158" i="31"/>
  <c r="W155" i="31"/>
  <c r="G155" i="31"/>
  <c r="G158" i="31"/>
  <c r="N155" i="31"/>
  <c r="N158" i="31"/>
  <c r="I155" i="31"/>
  <c r="I158" i="31"/>
  <c r="Q155" i="31"/>
  <c r="Q158" i="31"/>
  <c r="U158" i="31"/>
  <c r="U155" i="31"/>
  <c r="P155" i="31"/>
  <c r="P158" i="31"/>
  <c r="R158" i="31"/>
  <c r="R155" i="31"/>
  <c r="V158" i="31"/>
  <c r="V155" i="31"/>
  <c r="J158" i="31"/>
  <c r="J155" i="31"/>
  <c r="K155" i="31"/>
  <c r="K158" i="31"/>
  <c r="S155" i="31"/>
  <c r="S158" i="31"/>
  <c r="H155" i="31"/>
  <c r="H158" i="31"/>
  <c r="T155" i="31"/>
  <c r="T158" i="31"/>
  <c r="L158" i="31"/>
  <c r="L155" i="31"/>
  <c r="O158" i="31"/>
  <c r="O155" i="31"/>
  <c r="K110" i="31"/>
  <c r="K107" i="31"/>
  <c r="V110" i="31"/>
  <c r="V107" i="31"/>
  <c r="R110" i="31"/>
  <c r="R107" i="31"/>
  <c r="L107" i="31"/>
  <c r="L110" i="31"/>
  <c r="X110" i="31"/>
  <c r="X107" i="31"/>
  <c r="S110" i="31"/>
  <c r="S107" i="31"/>
  <c r="P107" i="31"/>
  <c r="P110" i="31"/>
  <c r="Q107" i="31"/>
  <c r="Q110" i="31"/>
  <c r="I110" i="31"/>
  <c r="I107" i="31"/>
  <c r="G107" i="31"/>
  <c r="G110" i="31"/>
  <c r="F110" i="31"/>
  <c r="F114" i="31" s="1"/>
  <c r="F107" i="31"/>
  <c r="M110" i="31"/>
  <c r="M107" i="31"/>
  <c r="J110" i="31"/>
  <c r="J107" i="31"/>
  <c r="T110" i="31"/>
  <c r="T107" i="31"/>
  <c r="O110" i="31"/>
  <c r="O107" i="31"/>
  <c r="H107" i="31"/>
  <c r="H110" i="31"/>
  <c r="U107" i="31"/>
  <c r="U110" i="31"/>
  <c r="N110" i="31"/>
  <c r="N107" i="31"/>
  <c r="W107" i="31"/>
  <c r="W110" i="31"/>
  <c r="D136" i="31"/>
  <c r="D142" i="31"/>
  <c r="G138" i="31"/>
  <c r="V44" i="24"/>
  <c r="U44" i="24"/>
  <c r="I31" i="8"/>
  <c r="G234" i="31"/>
  <c r="H234" i="31" s="1"/>
  <c r="I234" i="31" s="1"/>
  <c r="J234" i="31" s="1"/>
  <c r="K234" i="31" s="1"/>
  <c r="L234" i="31" s="1"/>
  <c r="M234" i="31" s="1"/>
  <c r="N234" i="31" s="1"/>
  <c r="O234" i="31" s="1"/>
  <c r="P234" i="31" s="1"/>
  <c r="Q234" i="31" s="1"/>
  <c r="R234" i="31" s="1"/>
  <c r="S234" i="31" s="1"/>
  <c r="T234" i="31" s="1"/>
  <c r="U234" i="31" s="1"/>
  <c r="V234" i="31" s="1"/>
  <c r="W234" i="31" s="1"/>
  <c r="X234" i="31" s="1"/>
  <c r="D238" i="31"/>
  <c r="D232" i="31"/>
  <c r="J254" i="31"/>
  <c r="J251" i="31"/>
  <c r="M251" i="31"/>
  <c r="M254" i="31"/>
  <c r="R254" i="31"/>
  <c r="R251" i="31"/>
  <c r="S254" i="31"/>
  <c r="S251" i="31"/>
  <c r="H257" i="31"/>
  <c r="I257" i="31" s="1"/>
  <c r="J257" i="31" s="1"/>
  <c r="K257" i="31" s="1"/>
  <c r="L257" i="31" s="1"/>
  <c r="M257" i="31" s="1"/>
  <c r="N257" i="31" s="1"/>
  <c r="O257" i="31" s="1"/>
  <c r="P257" i="31" s="1"/>
  <c r="Q257" i="31" s="1"/>
  <c r="R257" i="31" s="1"/>
  <c r="S257" i="31" s="1"/>
  <c r="T257" i="31" s="1"/>
  <c r="U257" i="31" s="1"/>
  <c r="V257" i="31" s="1"/>
  <c r="W257" i="31" s="1"/>
  <c r="X257" i="31" s="1"/>
  <c r="E397" i="31"/>
  <c r="E401" i="31" s="1"/>
  <c r="U392" i="31"/>
  <c r="V392" i="31"/>
  <c r="N392" i="31"/>
  <c r="L392" i="31"/>
  <c r="P392" i="31"/>
  <c r="W392" i="31"/>
  <c r="S392" i="31"/>
  <c r="H392" i="31"/>
  <c r="T392" i="31"/>
  <c r="J392" i="31"/>
  <c r="F392" i="31"/>
  <c r="Q392" i="31"/>
  <c r="R392" i="31"/>
  <c r="G392" i="31"/>
  <c r="I392" i="31"/>
  <c r="X392" i="31"/>
  <c r="O392" i="31"/>
  <c r="M392" i="31"/>
  <c r="K392" i="31"/>
  <c r="E394" i="31"/>
  <c r="R346" i="31"/>
  <c r="R349" i="31"/>
  <c r="F346" i="31"/>
  <c r="F349" i="31"/>
  <c r="F353" i="31" s="1"/>
  <c r="T349" i="31"/>
  <c r="T346" i="31"/>
  <c r="V349" i="31"/>
  <c r="V346" i="31"/>
  <c r="X349" i="31"/>
  <c r="X346" i="31"/>
  <c r="K15" i="8"/>
  <c r="E345" i="31"/>
  <c r="U251" i="31"/>
  <c r="U254" i="31"/>
  <c r="P254" i="31"/>
  <c r="P251" i="31"/>
  <c r="K254" i="31"/>
  <c r="K251" i="31"/>
  <c r="H254" i="31"/>
  <c r="H251" i="31"/>
  <c r="T251" i="31"/>
  <c r="T254" i="31"/>
  <c r="L346" i="31"/>
  <c r="L349" i="31"/>
  <c r="J349" i="31"/>
  <c r="J346" i="31"/>
  <c r="K346" i="31"/>
  <c r="K349" i="31"/>
  <c r="H349" i="31"/>
  <c r="H346" i="31"/>
  <c r="M349" i="31"/>
  <c r="M346" i="31"/>
  <c r="X251" i="31"/>
  <c r="X254" i="31"/>
  <c r="L251" i="31"/>
  <c r="L254" i="31"/>
  <c r="F251" i="31"/>
  <c r="F254" i="31"/>
  <c r="F258" i="31" s="1"/>
  <c r="V254" i="31"/>
  <c r="V251" i="31"/>
  <c r="W251" i="31"/>
  <c r="W254" i="31"/>
  <c r="W346" i="31"/>
  <c r="W349" i="31"/>
  <c r="O346" i="31"/>
  <c r="O349" i="31"/>
  <c r="S346" i="31"/>
  <c r="S349" i="31"/>
  <c r="P349" i="31"/>
  <c r="P346" i="31"/>
  <c r="K11" i="8"/>
  <c r="E201" i="31"/>
  <c r="J31" i="8"/>
  <c r="J30" i="8"/>
  <c r="I254" i="31"/>
  <c r="I251" i="31"/>
  <c r="Q251" i="31"/>
  <c r="Q254" i="31"/>
  <c r="G254" i="31"/>
  <c r="G251" i="31"/>
  <c r="O254" i="31"/>
  <c r="O251" i="31"/>
  <c r="N251" i="31"/>
  <c r="N254" i="31"/>
  <c r="F368" i="31"/>
  <c r="R368" i="31"/>
  <c r="J368" i="31"/>
  <c r="N368" i="31"/>
  <c r="U368" i="31"/>
  <c r="V368" i="31"/>
  <c r="Q368" i="31"/>
  <c r="O368" i="31"/>
  <c r="H368" i="31"/>
  <c r="M368" i="31"/>
  <c r="E370" i="31"/>
  <c r="E373" i="31"/>
  <c r="E377" i="31" s="1"/>
  <c r="X368" i="31"/>
  <c r="K368" i="31"/>
  <c r="S368" i="31"/>
  <c r="W368" i="31"/>
  <c r="P368" i="31"/>
  <c r="L368" i="31"/>
  <c r="I368" i="31"/>
  <c r="T368" i="31"/>
  <c r="G368" i="31"/>
  <c r="Q349" i="31"/>
  <c r="Q346" i="31"/>
  <c r="G349" i="31"/>
  <c r="G346" i="31"/>
  <c r="U346" i="31"/>
  <c r="U349" i="31"/>
  <c r="N349" i="31"/>
  <c r="N346" i="31"/>
  <c r="I349" i="31"/>
  <c r="I346" i="31"/>
  <c r="G114" i="31" l="1"/>
  <c r="H114" i="31" s="1"/>
  <c r="I114" i="31" s="1"/>
  <c r="J114" i="31" s="1"/>
  <c r="K114" i="31" s="1"/>
  <c r="L114" i="31" s="1"/>
  <c r="M114" i="31" s="1"/>
  <c r="N114" i="31" s="1"/>
  <c r="O114" i="31" s="1"/>
  <c r="P114" i="31" s="1"/>
  <c r="Q114" i="31" s="1"/>
  <c r="R114" i="31" s="1"/>
  <c r="S114" i="31" s="1"/>
  <c r="T114" i="31" s="1"/>
  <c r="U114" i="31" s="1"/>
  <c r="V114" i="31" s="1"/>
  <c r="W114" i="31" s="1"/>
  <c r="X114" i="31" s="1"/>
  <c r="D160" i="31"/>
  <c r="G162" i="31"/>
  <c r="D112" i="31"/>
  <c r="D166" i="31"/>
  <c r="D118" i="31"/>
  <c r="H138" i="31"/>
  <c r="I138" i="31" s="1"/>
  <c r="J138" i="31" s="1"/>
  <c r="K138" i="31" s="1"/>
  <c r="L138" i="31" s="1"/>
  <c r="M138" i="31" s="1"/>
  <c r="N138" i="31" s="1"/>
  <c r="O138" i="31" s="1"/>
  <c r="P138" i="31" s="1"/>
  <c r="Q138" i="31" s="1"/>
  <c r="R138" i="31" s="1"/>
  <c r="S138" i="31" s="1"/>
  <c r="T138" i="31" s="1"/>
  <c r="U138" i="31" s="1"/>
  <c r="V138" i="31" s="1"/>
  <c r="W138" i="31" s="1"/>
  <c r="X138" i="31" s="1"/>
  <c r="D236" i="31" a="1"/>
  <c r="D236" i="31" s="1"/>
  <c r="D357" i="31"/>
  <c r="O15" i="8" s="1"/>
  <c r="D351" i="31"/>
  <c r="N15" i="8" s="1"/>
  <c r="D256" i="31"/>
  <c r="K394" i="31"/>
  <c r="K397" i="31"/>
  <c r="I394" i="31"/>
  <c r="I397" i="31"/>
  <c r="F397" i="31"/>
  <c r="F401" i="31" s="1"/>
  <c r="F394" i="31"/>
  <c r="S394" i="31"/>
  <c r="S397" i="31"/>
  <c r="N394" i="31"/>
  <c r="N397" i="31"/>
  <c r="D259" i="31" a="1"/>
  <c r="D259" i="31" s="1"/>
  <c r="L370" i="31"/>
  <c r="L373" i="31"/>
  <c r="M373" i="31"/>
  <c r="M370" i="31"/>
  <c r="R370" i="31"/>
  <c r="R373" i="31"/>
  <c r="G353" i="31"/>
  <c r="H353" i="31" s="1"/>
  <c r="I353" i="31" s="1"/>
  <c r="J353" i="31" s="1"/>
  <c r="K353" i="31" s="1"/>
  <c r="L353" i="31" s="1"/>
  <c r="M353" i="31" s="1"/>
  <c r="N353" i="31" s="1"/>
  <c r="O353" i="31" s="1"/>
  <c r="P353" i="31" s="1"/>
  <c r="Q353" i="31" s="1"/>
  <c r="R353" i="31" s="1"/>
  <c r="S353" i="31" s="1"/>
  <c r="T353" i="31" s="1"/>
  <c r="U353" i="31" s="1"/>
  <c r="V353" i="31" s="1"/>
  <c r="W353" i="31" s="1"/>
  <c r="X353" i="31" s="1"/>
  <c r="G370" i="31"/>
  <c r="G373" i="31"/>
  <c r="X373" i="31"/>
  <c r="X370" i="31"/>
  <c r="U370" i="31"/>
  <c r="U373" i="31"/>
  <c r="F370" i="31"/>
  <c r="F373" i="31"/>
  <c r="F377" i="31" s="1"/>
  <c r="M394" i="31"/>
  <c r="M397" i="31"/>
  <c r="G397" i="31"/>
  <c r="G394" i="31"/>
  <c r="J394" i="31"/>
  <c r="J397" i="31"/>
  <c r="W397" i="31"/>
  <c r="W394" i="31"/>
  <c r="V394" i="31"/>
  <c r="V397" i="31"/>
  <c r="K373" i="31"/>
  <c r="K370" i="31"/>
  <c r="V370" i="31"/>
  <c r="V373" i="31"/>
  <c r="E369" i="31"/>
  <c r="K30" i="8"/>
  <c r="P370" i="31"/>
  <c r="P373" i="31"/>
  <c r="H373" i="31"/>
  <c r="H370" i="31"/>
  <c r="W373" i="31"/>
  <c r="W370" i="31"/>
  <c r="N370" i="31"/>
  <c r="N373" i="31"/>
  <c r="P201" i="31"/>
  <c r="J201" i="31"/>
  <c r="N201" i="31"/>
  <c r="V201" i="31"/>
  <c r="M201" i="31"/>
  <c r="W201" i="31"/>
  <c r="U201" i="31"/>
  <c r="I201" i="31"/>
  <c r="G201" i="31"/>
  <c r="Q201" i="31"/>
  <c r="E203" i="31"/>
  <c r="L201" i="31"/>
  <c r="O201" i="31"/>
  <c r="R201" i="31"/>
  <c r="T201" i="31"/>
  <c r="E206" i="31"/>
  <c r="E210" i="31" s="1"/>
  <c r="X201" i="31"/>
  <c r="S201" i="31"/>
  <c r="H201" i="31"/>
  <c r="F201" i="31"/>
  <c r="K201" i="31"/>
  <c r="G258" i="31"/>
  <c r="O397" i="31"/>
  <c r="O394" i="31"/>
  <c r="R397" i="31"/>
  <c r="R394" i="31"/>
  <c r="T394" i="31"/>
  <c r="T397" i="31"/>
  <c r="P397" i="31"/>
  <c r="P394" i="31"/>
  <c r="U394" i="31"/>
  <c r="U397" i="31"/>
  <c r="D262" i="31"/>
  <c r="E393" i="31"/>
  <c r="K31" i="8"/>
  <c r="T373" i="31"/>
  <c r="T370" i="31"/>
  <c r="O370" i="31"/>
  <c r="O373" i="31"/>
  <c r="I373" i="31"/>
  <c r="I370" i="31"/>
  <c r="S370" i="31"/>
  <c r="S373" i="31"/>
  <c r="Q370" i="31"/>
  <c r="Q373" i="31"/>
  <c r="J370" i="31"/>
  <c r="J373" i="31"/>
  <c r="H345" i="31"/>
  <c r="N345" i="31"/>
  <c r="P345" i="31"/>
  <c r="R345" i="31"/>
  <c r="W345" i="31"/>
  <c r="U345" i="31"/>
  <c r="L345" i="31"/>
  <c r="M345" i="31"/>
  <c r="G345" i="31"/>
  <c r="K345" i="31"/>
  <c r="Q345" i="31"/>
  <c r="S345" i="31"/>
  <c r="O345" i="31"/>
  <c r="T345" i="31"/>
  <c r="F345" i="31"/>
  <c r="V345" i="31"/>
  <c r="J345" i="31"/>
  <c r="I345" i="31"/>
  <c r="X345" i="31"/>
  <c r="E347" i="31"/>
  <c r="E350" i="31"/>
  <c r="E354" i="31" s="1"/>
  <c r="X397" i="31"/>
  <c r="X394" i="31"/>
  <c r="Q394" i="31"/>
  <c r="Q397" i="31"/>
  <c r="H397" i="31"/>
  <c r="H394" i="31"/>
  <c r="L394" i="31"/>
  <c r="L397" i="31"/>
  <c r="L12" i="8" l="1"/>
  <c r="D116" i="31" a="1"/>
  <c r="D116" i="31" s="1"/>
  <c r="H162" i="31"/>
  <c r="I162" i="31" s="1"/>
  <c r="J162" i="31" s="1"/>
  <c r="K162" i="31" s="1"/>
  <c r="L162" i="31" s="1"/>
  <c r="M162" i="31" s="1"/>
  <c r="N162" i="31" s="1"/>
  <c r="O162" i="31" s="1"/>
  <c r="P162" i="31" s="1"/>
  <c r="Q162" i="31" s="1"/>
  <c r="R162" i="31" s="1"/>
  <c r="S162" i="31" s="1"/>
  <c r="T162" i="31" s="1"/>
  <c r="U162" i="31" s="1"/>
  <c r="V162" i="31" s="1"/>
  <c r="W162" i="31" s="1"/>
  <c r="X162" i="31" s="1"/>
  <c r="D140" i="31" a="1"/>
  <c r="D140" i="31" s="1"/>
  <c r="D355" i="31" a="1"/>
  <c r="D355" i="31" s="1"/>
  <c r="G401" i="31"/>
  <c r="H401" i="31" s="1"/>
  <c r="I401" i="31" s="1"/>
  <c r="J401" i="31" s="1"/>
  <c r="K401" i="31" s="1"/>
  <c r="L401" i="31" s="1"/>
  <c r="G377" i="31"/>
  <c r="H377" i="31" s="1"/>
  <c r="I377" i="31" s="1"/>
  <c r="J377" i="31" s="1"/>
  <c r="K377" i="31" s="1"/>
  <c r="L377" i="31" s="1"/>
  <c r="M377" i="31" s="1"/>
  <c r="N377" i="31" s="1"/>
  <c r="O377" i="31" s="1"/>
  <c r="P377" i="31" s="1"/>
  <c r="Q377" i="31" s="1"/>
  <c r="R377" i="31" s="1"/>
  <c r="S377" i="31" s="1"/>
  <c r="T377" i="31" s="1"/>
  <c r="U377" i="31" s="1"/>
  <c r="V377" i="31" s="1"/>
  <c r="W377" i="31" s="1"/>
  <c r="X377" i="31" s="1"/>
  <c r="D375" i="31"/>
  <c r="N30" i="8" s="1"/>
  <c r="D405" i="31"/>
  <c r="D399" i="31"/>
  <c r="K206" i="31"/>
  <c r="K203" i="31"/>
  <c r="X203" i="31"/>
  <c r="X206" i="31"/>
  <c r="O203" i="31"/>
  <c r="O206" i="31"/>
  <c r="G203" i="31"/>
  <c r="G206" i="31"/>
  <c r="M206" i="31"/>
  <c r="M203" i="31"/>
  <c r="P206" i="31"/>
  <c r="P203" i="31"/>
  <c r="I347" i="31"/>
  <c r="I350" i="31"/>
  <c r="T350" i="31"/>
  <c r="T347" i="31"/>
  <c r="K350" i="31"/>
  <c r="K347" i="31"/>
  <c r="U350" i="31"/>
  <c r="U347" i="31"/>
  <c r="N347" i="31"/>
  <c r="N350" i="31"/>
  <c r="G350" i="31"/>
  <c r="G347" i="31"/>
  <c r="F206" i="31"/>
  <c r="F210" i="31" s="1"/>
  <c r="F203" i="31"/>
  <c r="L203" i="31"/>
  <c r="L206" i="31"/>
  <c r="V347" i="31"/>
  <c r="V350" i="31"/>
  <c r="S347" i="31"/>
  <c r="S350" i="31"/>
  <c r="M350" i="31"/>
  <c r="M347" i="31"/>
  <c r="R350" i="31"/>
  <c r="R347" i="31"/>
  <c r="D381" i="31"/>
  <c r="O30" i="8" s="1"/>
  <c r="H203" i="31"/>
  <c r="H206" i="31"/>
  <c r="T203" i="31"/>
  <c r="T206" i="31"/>
  <c r="U203" i="31"/>
  <c r="U206" i="31"/>
  <c r="N206" i="31"/>
  <c r="N203" i="31"/>
  <c r="J350" i="31"/>
  <c r="J347" i="31"/>
  <c r="O350" i="31"/>
  <c r="O347" i="31"/>
  <c r="W350" i="31"/>
  <c r="W347" i="31"/>
  <c r="H350" i="31"/>
  <c r="H347" i="31"/>
  <c r="I206" i="31"/>
  <c r="I203" i="31"/>
  <c r="V203" i="31"/>
  <c r="V206" i="31"/>
  <c r="X347" i="31"/>
  <c r="X350" i="31"/>
  <c r="F350" i="31"/>
  <c r="F354" i="31" s="1"/>
  <c r="F347" i="31"/>
  <c r="Q347" i="31"/>
  <c r="Q350" i="31"/>
  <c r="L347" i="31"/>
  <c r="L350" i="31"/>
  <c r="P350" i="31"/>
  <c r="P347" i="31"/>
  <c r="Q393" i="31"/>
  <c r="G393" i="31"/>
  <c r="N393" i="31"/>
  <c r="M393" i="31"/>
  <c r="E398" i="31"/>
  <c r="E402" i="31" s="1"/>
  <c r="W393" i="31"/>
  <c r="H393" i="31"/>
  <c r="V393" i="31"/>
  <c r="P393" i="31"/>
  <c r="R393" i="31"/>
  <c r="U393" i="31"/>
  <c r="F393" i="31"/>
  <c r="K393" i="31"/>
  <c r="I393" i="31"/>
  <c r="O393" i="31"/>
  <c r="J393" i="31"/>
  <c r="S393" i="31"/>
  <c r="X393" i="31"/>
  <c r="L393" i="31"/>
  <c r="T393" i="31"/>
  <c r="E395" i="31"/>
  <c r="H258" i="31"/>
  <c r="I258" i="31" s="1"/>
  <c r="J258" i="31" s="1"/>
  <c r="K258" i="31" s="1"/>
  <c r="L258" i="31" s="1"/>
  <c r="M258" i="31" s="1"/>
  <c r="N258" i="31" s="1"/>
  <c r="O258" i="31" s="1"/>
  <c r="P258" i="31" s="1"/>
  <c r="Q258" i="31" s="1"/>
  <c r="R258" i="31" s="1"/>
  <c r="S258" i="31" s="1"/>
  <c r="T258" i="31" s="1"/>
  <c r="U258" i="31" s="1"/>
  <c r="V258" i="31" s="1"/>
  <c r="W258" i="31" s="1"/>
  <c r="X258" i="31" s="1"/>
  <c r="S206" i="31"/>
  <c r="S203" i="31"/>
  <c r="R206" i="31"/>
  <c r="R203" i="31"/>
  <c r="Q206" i="31"/>
  <c r="Q203" i="31"/>
  <c r="W206" i="31"/>
  <c r="W203" i="31"/>
  <c r="J203" i="31"/>
  <c r="J206" i="31"/>
  <c r="E374" i="31"/>
  <c r="E378" i="31" s="1"/>
  <c r="X369" i="31"/>
  <c r="T369" i="31"/>
  <c r="V369" i="31"/>
  <c r="W369" i="31"/>
  <c r="I369" i="31"/>
  <c r="R369" i="31"/>
  <c r="G369" i="31"/>
  <c r="L369" i="31"/>
  <c r="H369" i="31"/>
  <c r="K369" i="31"/>
  <c r="S369" i="31"/>
  <c r="O369" i="31"/>
  <c r="P369" i="31"/>
  <c r="N369" i="31"/>
  <c r="F369" i="31"/>
  <c r="U369" i="31"/>
  <c r="M369" i="31"/>
  <c r="J369" i="31"/>
  <c r="Q369" i="31"/>
  <c r="E371" i="31"/>
  <c r="L9" i="8" l="1"/>
  <c r="O31" i="8"/>
  <c r="H15" i="8"/>
  <c r="N31" i="8"/>
  <c r="L8" i="8"/>
  <c r="D164" i="31" a="1"/>
  <c r="D164" i="31" s="1"/>
  <c r="D379" i="31" a="1"/>
  <c r="D379" i="31" s="1"/>
  <c r="G210" i="31"/>
  <c r="H210" i="31" s="1"/>
  <c r="I210" i="31" s="1"/>
  <c r="J210" i="31" s="1"/>
  <c r="K210" i="31" s="1"/>
  <c r="L210" i="31" s="1"/>
  <c r="M210" i="31" s="1"/>
  <c r="N210" i="31" s="1"/>
  <c r="O210" i="31" s="1"/>
  <c r="P210" i="31" s="1"/>
  <c r="Q210" i="31" s="1"/>
  <c r="R210" i="31" s="1"/>
  <c r="S210" i="31" s="1"/>
  <c r="T210" i="31" s="1"/>
  <c r="U210" i="31" s="1"/>
  <c r="V210" i="31" s="1"/>
  <c r="W210" i="31" s="1"/>
  <c r="X210" i="31" s="1"/>
  <c r="D260" i="31" a="1"/>
  <c r="D260" i="31" s="1"/>
  <c r="D352" i="31"/>
  <c r="D208" i="31"/>
  <c r="G354" i="31"/>
  <c r="H354" i="31" s="1"/>
  <c r="I354" i="31" s="1"/>
  <c r="J354" i="31" s="1"/>
  <c r="K354" i="31" s="1"/>
  <c r="L354" i="31" s="1"/>
  <c r="M354" i="31" s="1"/>
  <c r="N354" i="31" s="1"/>
  <c r="O354" i="31" s="1"/>
  <c r="P354" i="31" s="1"/>
  <c r="Q354" i="31" s="1"/>
  <c r="R354" i="31" s="1"/>
  <c r="S354" i="31" s="1"/>
  <c r="T354" i="31" s="1"/>
  <c r="U354" i="31" s="1"/>
  <c r="V354" i="31" s="1"/>
  <c r="W354" i="31" s="1"/>
  <c r="X354" i="31" s="1"/>
  <c r="F371" i="31"/>
  <c r="F374" i="31"/>
  <c r="F378" i="31" s="1"/>
  <c r="S371" i="31"/>
  <c r="S374" i="31"/>
  <c r="V371" i="31"/>
  <c r="V374" i="31"/>
  <c r="J374" i="31"/>
  <c r="J371" i="31"/>
  <c r="N371" i="31"/>
  <c r="N374" i="31"/>
  <c r="K374" i="31"/>
  <c r="K371" i="31"/>
  <c r="R371" i="31"/>
  <c r="R374" i="31"/>
  <c r="T374" i="31"/>
  <c r="T371" i="31"/>
  <c r="T398" i="31"/>
  <c r="T395" i="31"/>
  <c r="J398" i="31"/>
  <c r="J395" i="31"/>
  <c r="F398" i="31"/>
  <c r="F402" i="31" s="1"/>
  <c r="F395" i="31"/>
  <c r="V395" i="31"/>
  <c r="V398" i="31"/>
  <c r="M395" i="31"/>
  <c r="M398" i="31"/>
  <c r="M371" i="31"/>
  <c r="M374" i="31"/>
  <c r="P374" i="31"/>
  <c r="P371" i="31"/>
  <c r="H371" i="31"/>
  <c r="H374" i="31"/>
  <c r="I371" i="31"/>
  <c r="I374" i="31"/>
  <c r="X374" i="31"/>
  <c r="X371" i="31"/>
  <c r="U371" i="31"/>
  <c r="U374" i="31"/>
  <c r="O371" i="31"/>
  <c r="O374" i="31"/>
  <c r="L371" i="31"/>
  <c r="L374" i="31"/>
  <c r="W374" i="31"/>
  <c r="W371" i="31"/>
  <c r="X398" i="31"/>
  <c r="X395" i="31"/>
  <c r="I398" i="31"/>
  <c r="I395" i="31"/>
  <c r="R398" i="31"/>
  <c r="R395" i="31"/>
  <c r="W398" i="31"/>
  <c r="W395" i="31"/>
  <c r="G395" i="31"/>
  <c r="G398" i="31"/>
  <c r="D214" i="31"/>
  <c r="D358" i="31"/>
  <c r="Q371" i="31"/>
  <c r="Q374" i="31"/>
  <c r="G374" i="31"/>
  <c r="G371" i="31"/>
  <c r="S395" i="31"/>
  <c r="S398" i="31"/>
  <c r="K398" i="31"/>
  <c r="K395" i="31"/>
  <c r="P398" i="31"/>
  <c r="P395" i="31"/>
  <c r="Q395" i="31"/>
  <c r="Q398" i="31"/>
  <c r="M401" i="31"/>
  <c r="N401" i="31" s="1"/>
  <c r="O401" i="31" s="1"/>
  <c r="P401" i="31" s="1"/>
  <c r="Q401" i="31" s="1"/>
  <c r="R401" i="31" s="1"/>
  <c r="S401" i="31" s="1"/>
  <c r="T401" i="31" s="1"/>
  <c r="U401" i="31" s="1"/>
  <c r="V401" i="31" s="1"/>
  <c r="W401" i="31" s="1"/>
  <c r="X401" i="31" s="1"/>
  <c r="L395" i="31"/>
  <c r="L398" i="31"/>
  <c r="O395" i="31"/>
  <c r="O398" i="31"/>
  <c r="U398" i="31"/>
  <c r="U395" i="31"/>
  <c r="H398" i="31"/>
  <c r="H395" i="31"/>
  <c r="N398" i="31"/>
  <c r="N395" i="31"/>
  <c r="H30" i="8" l="1"/>
  <c r="D356" i="31" a="1"/>
  <c r="D356" i="31" s="1"/>
  <c r="G402" i="31"/>
  <c r="H402" i="31" s="1"/>
  <c r="D212" i="31" a="1"/>
  <c r="D212" i="31" s="1"/>
  <c r="D400" i="31"/>
  <c r="D376" i="31"/>
  <c r="D403" i="31" a="1"/>
  <c r="D403" i="31" s="1"/>
  <c r="D406" i="31"/>
  <c r="D382" i="31"/>
  <c r="G378" i="31"/>
  <c r="L15" i="8" l="1"/>
  <c r="H31" i="8"/>
  <c r="L11" i="8"/>
  <c r="H378" i="31"/>
  <c r="I378" i="31" s="1"/>
  <c r="J378" i="31" s="1"/>
  <c r="K378" i="31" s="1"/>
  <c r="L378" i="31" s="1"/>
  <c r="M378" i="31" s="1"/>
  <c r="N378" i="31" s="1"/>
  <c r="O378" i="31" s="1"/>
  <c r="P378" i="31" s="1"/>
  <c r="Q378" i="31" s="1"/>
  <c r="R378" i="31" s="1"/>
  <c r="S378" i="31" s="1"/>
  <c r="T378" i="31" s="1"/>
  <c r="U378" i="31" s="1"/>
  <c r="V378" i="31" s="1"/>
  <c r="W378" i="31" s="1"/>
  <c r="X378" i="31" s="1"/>
  <c r="I402" i="31"/>
  <c r="J402" i="31" s="1"/>
  <c r="K402" i="31" s="1"/>
  <c r="L402" i="31" s="1"/>
  <c r="M402" i="31" s="1"/>
  <c r="N402" i="31" s="1"/>
  <c r="O402" i="31" s="1"/>
  <c r="P402" i="31" s="1"/>
  <c r="Q402" i="31" s="1"/>
  <c r="R402" i="31" s="1"/>
  <c r="S402" i="31" s="1"/>
  <c r="T402" i="31" s="1"/>
  <c r="U402" i="31" s="1"/>
  <c r="V402" i="31" s="1"/>
  <c r="W402" i="31" s="1"/>
  <c r="X402" i="31" s="1"/>
  <c r="D380" i="31" l="1" a="1"/>
  <c r="D380" i="31" s="1"/>
  <c r="D404" i="31" a="1"/>
  <c r="D404" i="31" s="1"/>
  <c r="L31" i="8" l="1"/>
  <c r="L3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Saidmurodjon Khamdamov</author>
  </authors>
  <commentList>
    <comment ref="N19" authorId="0" shapeId="0" xr:uid="{00000000-0006-0000-0200-000001000000}">
      <text>
        <r>
          <rPr>
            <b/>
            <sz val="9"/>
            <color indexed="81"/>
            <rFont val="Tahoma"/>
            <family val="2"/>
          </rPr>
          <t>Saidmurodjon Khamdamov:</t>
        </r>
        <r>
          <rPr>
            <sz val="9"/>
            <color indexed="81"/>
            <rFont val="Tahoma"/>
            <family val="2"/>
          </rPr>
          <t xml:space="preserve">
ikki qanotli</t>
        </r>
      </text>
    </comment>
    <comment ref="P19" authorId="0" shapeId="0" xr:uid="{00000000-0006-0000-0200-000002000000}">
      <text>
        <r>
          <rPr>
            <b/>
            <sz val="9"/>
            <color indexed="81"/>
            <rFont val="Tahoma"/>
            <family val="2"/>
          </rPr>
          <t>Saidmurodjon Khamdamov:</t>
        </r>
        <r>
          <rPr>
            <sz val="9"/>
            <color indexed="81"/>
            <rFont val="Tahoma"/>
            <family val="2"/>
          </rPr>
          <t xml:space="preserve">
ikki qanotli</t>
        </r>
      </text>
    </comment>
    <comment ref="N24" authorId="0" shapeId="0" xr:uid="{00000000-0006-0000-0200-000003000000}">
      <text>
        <r>
          <rPr>
            <b/>
            <sz val="9"/>
            <color indexed="81"/>
            <rFont val="Tahoma"/>
            <family val="2"/>
          </rPr>
          <t>Saidmurodjon Khamdamov:</t>
        </r>
        <r>
          <rPr>
            <sz val="9"/>
            <color indexed="81"/>
            <rFont val="Tahoma"/>
            <family val="2"/>
          </rPr>
          <t xml:space="preserve">
ikki qanotli</t>
        </r>
      </text>
    </comment>
    <comment ref="P24" authorId="0" shapeId="0" xr:uid="{00000000-0006-0000-0200-000004000000}">
      <text>
        <r>
          <rPr>
            <b/>
            <sz val="9"/>
            <color indexed="81"/>
            <rFont val="Tahoma"/>
            <family val="2"/>
          </rPr>
          <t>Saidmurodjon Khamdamov:</t>
        </r>
        <r>
          <rPr>
            <sz val="9"/>
            <color indexed="81"/>
            <rFont val="Tahoma"/>
            <family val="2"/>
          </rPr>
          <t xml:space="preserve">
ikki qanotli</t>
        </r>
      </text>
    </comment>
    <comment ref="N27" authorId="0" shapeId="0" xr:uid="{00000000-0006-0000-0200-000005000000}">
      <text>
        <r>
          <rPr>
            <b/>
            <sz val="9"/>
            <color indexed="81"/>
            <rFont val="Tahoma"/>
            <family val="2"/>
          </rPr>
          <t>Saidmurodjon Khamdamov:</t>
        </r>
        <r>
          <rPr>
            <sz val="9"/>
            <color indexed="81"/>
            <rFont val="Tahoma"/>
            <family val="2"/>
          </rPr>
          <t xml:space="preserve">
ikki qanotli</t>
        </r>
      </text>
    </comment>
    <comment ref="P27" authorId="0" shapeId="0" xr:uid="{00000000-0006-0000-0200-000006000000}">
      <text>
        <r>
          <rPr>
            <b/>
            <sz val="9"/>
            <color indexed="81"/>
            <rFont val="Tahoma"/>
            <family val="2"/>
          </rPr>
          <t>Saidmurodjon Khamdamov:</t>
        </r>
        <r>
          <rPr>
            <sz val="9"/>
            <color indexed="81"/>
            <rFont val="Tahoma"/>
            <family val="2"/>
          </rPr>
          <t xml:space="preserve">
ikki qanotli</t>
        </r>
      </text>
    </comment>
    <comment ref="N32" authorId="0" shapeId="0" xr:uid="{00000000-0006-0000-0200-000007000000}">
      <text>
        <r>
          <rPr>
            <b/>
            <sz val="9"/>
            <color indexed="81"/>
            <rFont val="Tahoma"/>
            <family val="2"/>
          </rPr>
          <t>Saidmurodjon Khamdamov:</t>
        </r>
        <r>
          <rPr>
            <sz val="9"/>
            <color indexed="81"/>
            <rFont val="Tahoma"/>
            <family val="2"/>
          </rPr>
          <t xml:space="preserve">
ikki qanotli</t>
        </r>
      </text>
    </comment>
    <comment ref="P32" authorId="0" shapeId="0" xr:uid="{00000000-0006-0000-0200-000008000000}">
      <text>
        <r>
          <rPr>
            <b/>
            <sz val="9"/>
            <color indexed="81"/>
            <rFont val="Tahoma"/>
            <family val="2"/>
          </rPr>
          <t>Saidmurodjon Khamdamov:</t>
        </r>
        <r>
          <rPr>
            <sz val="9"/>
            <color indexed="81"/>
            <rFont val="Tahoma"/>
            <family val="2"/>
          </rPr>
          <t xml:space="preserve">
ikki qanotli</t>
        </r>
      </text>
    </comment>
    <comment ref="N35" authorId="0" shapeId="0" xr:uid="{00000000-0006-0000-0200-000009000000}">
      <text>
        <r>
          <rPr>
            <b/>
            <sz val="9"/>
            <color indexed="81"/>
            <rFont val="Tahoma"/>
            <family val="2"/>
          </rPr>
          <t>Saidmurodjon Khamdamov:</t>
        </r>
        <r>
          <rPr>
            <sz val="9"/>
            <color indexed="81"/>
            <rFont val="Tahoma"/>
            <family val="2"/>
          </rPr>
          <t xml:space="preserve">
ikki qanotli</t>
        </r>
      </text>
    </comment>
    <comment ref="P35" authorId="0" shapeId="0" xr:uid="{00000000-0006-0000-0200-00000A000000}">
      <text>
        <r>
          <rPr>
            <b/>
            <sz val="9"/>
            <color indexed="81"/>
            <rFont val="Tahoma"/>
            <family val="2"/>
          </rPr>
          <t>Saidmurodjon Khamdamov:</t>
        </r>
        <r>
          <rPr>
            <sz val="9"/>
            <color indexed="81"/>
            <rFont val="Tahoma"/>
            <family val="2"/>
          </rPr>
          <t xml:space="preserve">
ikki qanotli</t>
        </r>
      </text>
    </comment>
    <comment ref="N44" authorId="0" shapeId="0" xr:uid="{00000000-0006-0000-0200-00000B000000}">
      <text>
        <r>
          <rPr>
            <b/>
            <sz val="9"/>
            <color indexed="81"/>
            <rFont val="Tahoma"/>
            <family val="2"/>
          </rPr>
          <t>Saidmurodjon Khamdamov:</t>
        </r>
        <r>
          <rPr>
            <sz val="9"/>
            <color indexed="81"/>
            <rFont val="Tahoma"/>
            <family val="2"/>
          </rPr>
          <t xml:space="preserve">
ikki qanotli</t>
        </r>
      </text>
    </comment>
    <comment ref="P44" authorId="0" shapeId="0" xr:uid="{00000000-0006-0000-0200-00000C000000}">
      <text>
        <r>
          <rPr>
            <b/>
            <sz val="9"/>
            <color indexed="81"/>
            <rFont val="Tahoma"/>
            <family val="2"/>
          </rPr>
          <t>Saidmurodjon Khamdamov:</t>
        </r>
        <r>
          <rPr>
            <sz val="9"/>
            <color indexed="81"/>
            <rFont val="Tahoma"/>
            <family val="2"/>
          </rPr>
          <t xml:space="preserve">
ikki qanotli</t>
        </r>
      </text>
    </comment>
    <comment ref="N52" authorId="0" shapeId="0" xr:uid="{00000000-0006-0000-0200-00000D000000}">
      <text>
        <r>
          <rPr>
            <b/>
            <sz val="9"/>
            <color indexed="81"/>
            <rFont val="Tahoma"/>
            <family val="2"/>
          </rPr>
          <t>Saidmurodjon Khamdamov:</t>
        </r>
        <r>
          <rPr>
            <sz val="9"/>
            <color indexed="81"/>
            <rFont val="Tahoma"/>
            <family val="2"/>
          </rPr>
          <t xml:space="preserve">
ikki qanotli</t>
        </r>
      </text>
    </comment>
    <comment ref="P52" authorId="0" shapeId="0" xr:uid="{00000000-0006-0000-0200-00000E000000}">
      <text>
        <r>
          <rPr>
            <b/>
            <sz val="9"/>
            <color indexed="81"/>
            <rFont val="Tahoma"/>
            <family val="2"/>
          </rPr>
          <t>Saidmurodjon Khamdamov:</t>
        </r>
        <r>
          <rPr>
            <sz val="9"/>
            <color indexed="81"/>
            <rFont val="Tahoma"/>
            <family val="2"/>
          </rPr>
          <t xml:space="preserve">
ikki qanotli</t>
        </r>
      </text>
    </comment>
    <comment ref="N56" authorId="0" shapeId="0" xr:uid="{00000000-0006-0000-0200-00000F000000}">
      <text>
        <r>
          <rPr>
            <b/>
            <sz val="9"/>
            <color indexed="81"/>
            <rFont val="Tahoma"/>
            <family val="2"/>
          </rPr>
          <t>Saidmurodjon Khamdamov:</t>
        </r>
        <r>
          <rPr>
            <sz val="9"/>
            <color indexed="81"/>
            <rFont val="Tahoma"/>
            <family val="2"/>
          </rPr>
          <t xml:space="preserve">
ikki qanotli</t>
        </r>
      </text>
    </comment>
    <comment ref="P56" authorId="0" shapeId="0" xr:uid="{00000000-0006-0000-0200-000010000000}">
      <text>
        <r>
          <rPr>
            <b/>
            <sz val="9"/>
            <color indexed="81"/>
            <rFont val="Tahoma"/>
            <family val="2"/>
          </rPr>
          <t>Saidmurodjon Khamdamov:</t>
        </r>
        <r>
          <rPr>
            <sz val="9"/>
            <color indexed="81"/>
            <rFont val="Tahoma"/>
            <family val="2"/>
          </rPr>
          <t xml:space="preserve">
ikki qanotli</t>
        </r>
      </text>
    </comment>
    <comment ref="N59" authorId="0" shapeId="0" xr:uid="{00000000-0006-0000-0200-000011000000}">
      <text>
        <r>
          <rPr>
            <b/>
            <sz val="9"/>
            <color indexed="81"/>
            <rFont val="Tahoma"/>
            <family val="2"/>
          </rPr>
          <t>Saidmurodjon Khamdamov:</t>
        </r>
        <r>
          <rPr>
            <sz val="9"/>
            <color indexed="81"/>
            <rFont val="Tahoma"/>
            <family val="2"/>
          </rPr>
          <t xml:space="preserve">
ikki qanotli</t>
        </r>
      </text>
    </comment>
    <comment ref="P59" authorId="0" shapeId="0" xr:uid="{00000000-0006-0000-0200-000012000000}">
      <text>
        <r>
          <rPr>
            <b/>
            <sz val="9"/>
            <color indexed="81"/>
            <rFont val="Tahoma"/>
            <family val="2"/>
          </rPr>
          <t>Saidmurodjon Khamdamov:</t>
        </r>
        <r>
          <rPr>
            <sz val="9"/>
            <color indexed="81"/>
            <rFont val="Tahoma"/>
            <family val="2"/>
          </rPr>
          <t xml:space="preserve">
ikki qanotli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Saidmurodjon Khamdamov</author>
  </authors>
  <commentList>
    <comment ref="E10" authorId="0" shapeId="0" xr:uid="{00000000-0006-0000-0800-000001000000}">
      <text>
        <r>
          <rPr>
            <b/>
            <sz val="9"/>
            <color indexed="81"/>
            <rFont val="Tahoma"/>
            <family val="2"/>
          </rPr>
          <t>Saidmurodjon Khamdamov:</t>
        </r>
        <r>
          <rPr>
            <sz val="9"/>
            <color indexed="81"/>
            <rFont val="Tahoma"/>
            <family val="2"/>
          </rPr>
          <t xml:space="preserve">
E10=0,35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Gatis Žogla</author>
  </authors>
  <commentList>
    <comment ref="C4" authorId="0" shapeId="0" xr:uid="{00000000-0006-0000-0A00-000001000000}">
      <text>
        <r>
          <rPr>
            <b/>
            <sz val="9"/>
            <color indexed="81"/>
            <rFont val="Tahoma"/>
            <family val="2"/>
          </rPr>
          <t>table 11, page 102</t>
        </r>
      </text>
    </comment>
    <comment ref="D4" authorId="0" shapeId="0" xr:uid="{00000000-0006-0000-0A00-000002000000}">
      <text>
        <r>
          <rPr>
            <b/>
            <sz val="9"/>
            <color indexed="81"/>
            <rFont val="Tahoma"/>
            <family val="2"/>
          </rPr>
          <t>0.9 = Fw (formula 36, page 102)</t>
        </r>
      </text>
    </comment>
    <comment ref="E4" authorId="0" shapeId="0" xr:uid="{00000000-0006-0000-0A00-000003000000}">
      <text>
        <r>
          <rPr>
            <b/>
            <sz val="9"/>
            <color indexed="81"/>
            <rFont val="Tahoma"/>
            <family val="2"/>
          </rPr>
          <t>Table 12, page 103</t>
        </r>
      </text>
    </comment>
    <comment ref="F4" authorId="0" shapeId="0" xr:uid="{00000000-0006-0000-0A00-000004000000}">
      <text>
        <r>
          <rPr>
            <b/>
            <sz val="9"/>
            <color indexed="81"/>
            <rFont val="Tahoma"/>
            <family val="2"/>
          </rPr>
          <t>Tabke 13, page 104</t>
        </r>
      </text>
    </comment>
    <comment ref="G4" authorId="0" shapeId="0" xr:uid="{00000000-0006-0000-0A00-000005000000}">
      <text>
        <r>
          <rPr>
            <b/>
            <sz val="9"/>
            <color indexed="81"/>
            <rFont val="Tahoma"/>
            <family val="2"/>
          </rPr>
          <t>Table 14, page 104</t>
        </r>
      </text>
    </comment>
    <comment ref="I12" authorId="0" shapeId="0" xr:uid="{00000000-0006-0000-0A00-000006000000}">
      <text>
        <r>
          <rPr>
            <b/>
            <sz val="9"/>
            <color indexed="81"/>
            <rFont val="Tahoma"/>
            <family val="2"/>
          </rPr>
          <t>Formula 41, page 105</t>
        </r>
      </text>
    </comment>
    <comment ref="J12" authorId="0" shapeId="0" xr:uid="{00000000-0006-0000-0A00-000007000000}">
      <text>
        <r>
          <rPr>
            <b/>
            <sz val="9"/>
            <color indexed="81"/>
            <rFont val="Tahoma"/>
            <family val="2"/>
          </rPr>
          <t>Formula 38, page 105</t>
        </r>
      </text>
    </comment>
    <comment ref="C25" authorId="0" shapeId="0" xr:uid="{00000000-0006-0000-0A00-000008000000}">
      <text>
        <r>
          <rPr>
            <b/>
            <sz val="9"/>
            <color indexed="81"/>
            <rFont val="Tahoma"/>
            <family val="2"/>
          </rPr>
          <t>table 11, page 102</t>
        </r>
      </text>
    </comment>
    <comment ref="D25" authorId="0" shapeId="0" xr:uid="{00000000-0006-0000-0A00-000009000000}">
      <text>
        <r>
          <rPr>
            <b/>
            <sz val="9"/>
            <color indexed="81"/>
            <rFont val="Tahoma"/>
            <family val="2"/>
          </rPr>
          <t>0.9 = Fw (formula 36, page 102)</t>
        </r>
      </text>
    </comment>
    <comment ref="E25" authorId="0" shapeId="0" xr:uid="{00000000-0006-0000-0A00-00000A000000}">
      <text>
        <r>
          <rPr>
            <b/>
            <sz val="9"/>
            <color indexed="81"/>
            <rFont val="Tahoma"/>
            <family val="2"/>
          </rPr>
          <t>Table 12, page 103</t>
        </r>
      </text>
    </comment>
    <comment ref="F25" authorId="0" shapeId="0" xr:uid="{00000000-0006-0000-0A00-00000B000000}">
      <text>
        <r>
          <rPr>
            <b/>
            <sz val="9"/>
            <color indexed="81"/>
            <rFont val="Tahoma"/>
            <family val="2"/>
          </rPr>
          <t>Tabke 13, page 104</t>
        </r>
      </text>
    </comment>
    <comment ref="G25" authorId="0" shapeId="0" xr:uid="{00000000-0006-0000-0A00-00000C000000}">
      <text>
        <r>
          <rPr>
            <b/>
            <sz val="9"/>
            <color indexed="81"/>
            <rFont val="Tahoma"/>
            <family val="2"/>
          </rPr>
          <t>Table 14, page 104</t>
        </r>
      </text>
    </comment>
    <comment ref="I33" authorId="0" shapeId="0" xr:uid="{00000000-0006-0000-0A00-00000D000000}">
      <text>
        <r>
          <rPr>
            <b/>
            <sz val="9"/>
            <color indexed="81"/>
            <rFont val="Tahoma"/>
            <family val="2"/>
          </rPr>
          <t>Formula 41, page 105</t>
        </r>
      </text>
    </comment>
    <comment ref="J33" authorId="0" shapeId="0" xr:uid="{00000000-0006-0000-0A00-00000E000000}">
      <text>
        <r>
          <rPr>
            <b/>
            <sz val="9"/>
            <color indexed="81"/>
            <rFont val="Tahoma"/>
            <family val="2"/>
          </rPr>
          <t>Formula 38, page 105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Saidmurodjon Khamdamov</author>
  </authors>
  <commentList>
    <comment ref="E6" authorId="0" shapeId="0" xr:uid="{00000000-0006-0000-1A00-000001000000}">
      <text>
        <r>
          <rPr>
            <b/>
            <sz val="9"/>
            <color indexed="81"/>
            <rFont val="Tahoma"/>
            <charset val="1"/>
          </rPr>
          <t>Saidmurodjon Khamdamov:</t>
        </r>
        <r>
          <rPr>
            <sz val="9"/>
            <color indexed="81"/>
            <rFont val="Tahoma"/>
            <charset val="1"/>
          </rPr>
          <t xml:space="preserve">
4%-2%
</t>
        </r>
      </text>
    </comment>
    <comment ref="E8" authorId="0" shapeId="0" xr:uid="{00000000-0006-0000-1A00-000002000000}">
      <text>
        <r>
          <rPr>
            <b/>
            <sz val="9"/>
            <color indexed="81"/>
            <rFont val="Tahoma"/>
            <charset val="1"/>
          </rPr>
          <t>Saidmurodjon Khamdamov:</t>
        </r>
        <r>
          <rPr>
            <sz val="9"/>
            <color indexed="81"/>
            <rFont val="Tahoma"/>
            <charset val="1"/>
          </rPr>
          <t xml:space="preserve">
2,8%-8%
=$E8*(1.08+0.08*(F3-$F$3))</t>
        </r>
      </text>
    </comment>
    <comment ref="E9" authorId="0" shapeId="0" xr:uid="{00000000-0006-0000-1A00-000003000000}">
      <text>
        <r>
          <rPr>
            <b/>
            <sz val="9"/>
            <color indexed="81"/>
            <rFont val="Tahoma"/>
            <charset val="1"/>
          </rPr>
          <t>Saidmurodjon Khamdamov:</t>
        </r>
        <r>
          <rPr>
            <sz val="9"/>
            <color indexed="81"/>
            <rFont val="Tahoma"/>
            <charset val="1"/>
          </rPr>
          <t xml:space="preserve">
2,8%-8%
=$E8*(1.08+0.08*(F3-$F$3))</t>
        </r>
      </text>
    </comment>
    <comment ref="E13" authorId="0" shapeId="0" xr:uid="{00000000-0006-0000-1A00-000004000000}">
      <text>
        <r>
          <rPr>
            <b/>
            <sz val="9"/>
            <color indexed="81"/>
            <rFont val="Tahoma"/>
            <charset val="1"/>
          </rPr>
          <t>Saidmurodjon Khamdamov:</t>
        </r>
        <r>
          <rPr>
            <sz val="9"/>
            <color indexed="81"/>
            <rFont val="Tahoma"/>
            <charset val="1"/>
          </rPr>
          <t xml:space="preserve">
=E8/POWER(1+0.10,E$3-$D$3)</t>
        </r>
      </text>
    </comment>
    <comment ref="E14" authorId="0" shapeId="0" xr:uid="{00000000-0006-0000-1A00-000005000000}">
      <text>
        <r>
          <rPr>
            <b/>
            <sz val="9"/>
            <color indexed="81"/>
            <rFont val="Tahoma"/>
            <charset val="1"/>
          </rPr>
          <t>Saidmurodjon Khamdamov:</t>
        </r>
        <r>
          <rPr>
            <sz val="9"/>
            <color indexed="81"/>
            <rFont val="Tahoma"/>
            <charset val="1"/>
          </rPr>
          <t xml:space="preserve">
4%-10%</t>
        </r>
      </text>
    </comment>
    <comment ref="D15" authorId="0" shapeId="0" xr:uid="{00000000-0006-0000-1A00-000006000000}">
      <text>
        <r>
          <rPr>
            <b/>
            <sz val="9"/>
            <color indexed="81"/>
            <rFont val="Tahoma"/>
            <charset val="1"/>
          </rPr>
          <t>Saidmurodjon Khamdamov:</t>
        </r>
        <r>
          <rPr>
            <sz val="9"/>
            <color indexed="81"/>
            <rFont val="Tahoma"/>
            <charset val="1"/>
          </rPr>
          <t xml:space="preserve">
=NPV(0.10,E13:X13)+D13</t>
        </r>
      </text>
    </comment>
    <comment ref="D16" authorId="0" shapeId="0" xr:uid="{00000000-0006-0000-1A00-000007000000}">
      <text>
        <r>
          <rPr>
            <b/>
            <sz val="9"/>
            <color indexed="81"/>
            <rFont val="Tahoma"/>
            <charset val="1"/>
          </rPr>
          <t>Saidmurodjon Khamdamov:</t>
        </r>
        <r>
          <rPr>
            <sz val="9"/>
            <color indexed="81"/>
            <rFont val="Tahoma"/>
            <charset val="1"/>
          </rPr>
          <t xml:space="preserve">
4%-10
</t>
        </r>
      </text>
    </comment>
  </commentList>
</comments>
</file>

<file path=xl/sharedStrings.xml><?xml version="1.0" encoding="utf-8"?>
<sst xmlns="http://schemas.openxmlformats.org/spreadsheetml/2006/main" count="3018" uniqueCount="1174">
  <si>
    <t>Total</t>
  </si>
  <si>
    <t>Description</t>
  </si>
  <si>
    <t>No.</t>
  </si>
  <si>
    <t>Unit</t>
  </si>
  <si>
    <t>Nr.</t>
  </si>
  <si>
    <t>Description of the measure</t>
  </si>
  <si>
    <t>Theoretical savings based on standardized conditions</t>
  </si>
  <si>
    <t>Theoretical payback period</t>
  </si>
  <si>
    <t>Actual savings based on standardized conditions</t>
  </si>
  <si>
    <t>Lifetime of the measure [years]</t>
  </si>
  <si>
    <t>Internal Rate of Return (IRR¹)</t>
  </si>
  <si>
    <t>CO2 emission reduction [tCO2 / y]</t>
  </si>
  <si>
    <t>Proposed for implementation</t>
  </si>
  <si>
    <t>Yes</t>
  </si>
  <si>
    <t>Protective measures, other investments</t>
  </si>
  <si>
    <t>Total proposed for implementation</t>
  </si>
  <si>
    <t>TOTAL</t>
  </si>
  <si>
    <t>North</t>
  </si>
  <si>
    <t>East</t>
  </si>
  <si>
    <t>South</t>
  </si>
  <si>
    <t>West</t>
  </si>
  <si>
    <t>Month</t>
  </si>
  <si>
    <t>Ambient temp</t>
  </si>
  <si>
    <t>Global</t>
  </si>
  <si>
    <t>Dew point</t>
  </si>
  <si>
    <t>Sky temp</t>
  </si>
  <si>
    <t>Ground temp</t>
  </si>
  <si>
    <t>Normative Weather</t>
  </si>
  <si>
    <t xml:space="preserve">Actual weather data of </t>
  </si>
  <si>
    <t>year</t>
  </si>
  <si>
    <t>Value</t>
  </si>
  <si>
    <t>[m²]</t>
  </si>
  <si>
    <t>[m³]</t>
  </si>
  <si>
    <t>[days]</t>
  </si>
  <si>
    <t>[°C]</t>
  </si>
  <si>
    <t>Operation hours during heating season</t>
  </si>
  <si>
    <t>[h/y]</t>
  </si>
  <si>
    <t>Non-operation hours during heating season</t>
  </si>
  <si>
    <t>Operation hours per day</t>
  </si>
  <si>
    <t>[h/d]</t>
  </si>
  <si>
    <t>Average number of people inside the building</t>
  </si>
  <si>
    <t>[No of people]</t>
  </si>
  <si>
    <t>№</t>
  </si>
  <si>
    <t>Consum</t>
  </si>
  <si>
    <t>[kWh]</t>
  </si>
  <si>
    <t>August</t>
  </si>
  <si>
    <t xml:space="preserve">TOTAL </t>
  </si>
  <si>
    <t>Utilization coeficient</t>
  </si>
  <si>
    <t>Electric device (or devices group)</t>
  </si>
  <si>
    <t>During heating season</t>
  </si>
  <si>
    <t>Area</t>
  </si>
  <si>
    <t>[kWh / y]</t>
  </si>
  <si>
    <t>Simple</t>
  </si>
  <si>
    <t>I propose to delete this page in general, because:</t>
  </si>
  <si>
    <t>1. We have normative values in one single standard, for different climatic zones and different heating durations (3 zones x 2 types of heating duration = 6 tables)</t>
  </si>
  <si>
    <t>2. We never use actual weather in calculations, only the normative because we don't have an open acces to weather data, it costs a lot of money and unfortunately even the Ministry cannot afford to by it yet to update the 40yo database from standards</t>
  </si>
  <si>
    <t>3. These tables shouldn't be here because this data is fixed by the standard and is not an input data.</t>
  </si>
  <si>
    <t>[m]</t>
  </si>
  <si>
    <t>[W/mK]</t>
  </si>
  <si>
    <t>[m²K/W]</t>
  </si>
  <si>
    <t>Rint</t>
  </si>
  <si>
    <t>Rext</t>
  </si>
  <si>
    <t>[W/m²K]</t>
  </si>
  <si>
    <t>Dimension</t>
  </si>
  <si>
    <t>Lenght [m]</t>
  </si>
  <si>
    <t>Operation hours per year [h/y]</t>
  </si>
  <si>
    <t>Area [m²]</t>
  </si>
  <si>
    <t>Walls</t>
  </si>
  <si>
    <t>Windows</t>
  </si>
  <si>
    <t>Doors</t>
  </si>
  <si>
    <t>Type</t>
  </si>
  <si>
    <t>P1</t>
  </si>
  <si>
    <t>Height of the wall in contact with environment [m]</t>
  </si>
  <si>
    <t>P2</t>
  </si>
  <si>
    <t>P3</t>
  </si>
  <si>
    <t>P4</t>
  </si>
  <si>
    <t>P5</t>
  </si>
  <si>
    <t>Height of the wall in contact with the ground [m]</t>
  </si>
  <si>
    <t>Side of the building</t>
  </si>
  <si>
    <t>Brut area of the wall in contact with environment [m2]</t>
  </si>
  <si>
    <t>Area of the wall in contact with the ground [m2]</t>
  </si>
  <si>
    <t>Net area of the wall in contact with environment [m2]</t>
  </si>
  <si>
    <t>Height [m]</t>
  </si>
  <si>
    <t>Perimeter of window sills [m]</t>
  </si>
  <si>
    <t>Win 1
[units]</t>
  </si>
  <si>
    <t>Win 2
[units]</t>
  </si>
  <si>
    <t>Win 3
[units]</t>
  </si>
  <si>
    <t>Win 1 [m2]</t>
  </si>
  <si>
    <t>Win 2 [m2]</t>
  </si>
  <si>
    <t>Win 3 [m2]</t>
  </si>
  <si>
    <t>D 1
[units]</t>
  </si>
  <si>
    <t>D 2
[units]</t>
  </si>
  <si>
    <t>D 3
[units]</t>
  </si>
  <si>
    <t>D 1 
[m2]</t>
  </si>
  <si>
    <t>Perimeter of door sills [m]</t>
  </si>
  <si>
    <t>D 2 
[m2]</t>
  </si>
  <si>
    <t>D 3 
[m2]</t>
  </si>
  <si>
    <t>Element</t>
  </si>
  <si>
    <t>Total sills perimeter [m]</t>
  </si>
  <si>
    <t>Total area by type [m2]</t>
  </si>
  <si>
    <t>Total area [m2]</t>
  </si>
  <si>
    <t>Number of floors</t>
  </si>
  <si>
    <t>Brut area of one floor [m²]</t>
  </si>
  <si>
    <t>Total brut heated area [m²]</t>
  </si>
  <si>
    <t>Thickness of exterior walls [m]</t>
  </si>
  <si>
    <t>Net height of one floor</t>
  </si>
  <si>
    <t>Net heated volume
[m³]</t>
  </si>
  <si>
    <t>Net heated area
[m²]</t>
  </si>
  <si>
    <t>Total area of the walls in section [m²]</t>
  </si>
  <si>
    <t>Perimeter of the building [m]</t>
  </si>
  <si>
    <t>Material de construcție</t>
  </si>
  <si>
    <r>
      <t>λ,W/(m</t>
    </r>
    <r>
      <rPr>
        <sz val="8"/>
        <color theme="1"/>
        <rFont val="Arial Narrow"/>
        <family val="2"/>
      </rPr>
      <t>∙</t>
    </r>
    <r>
      <rPr>
        <sz val="8"/>
        <color theme="1"/>
        <rFont val="Times New Roman"/>
        <family val="1"/>
      </rPr>
      <t xml:space="preserve">K) </t>
    </r>
  </si>
  <si>
    <t>Ruberoid</t>
  </si>
  <si>
    <t>Granit</t>
  </si>
  <si>
    <t>Linoleum</t>
  </si>
  <si>
    <t>Current calculation tool can serve a basis for elaboration of energy audit report in buildings.</t>
  </si>
  <si>
    <t>Tables with input data and calculations have to be attached as an annex to the energy audit report.</t>
  </si>
  <si>
    <t>Cells which are advised to remain unchanged, but not mandatory.</t>
  </si>
  <si>
    <t>The energy auditor is free to add graphs, or improve the tool in any way he considers relevant</t>
  </si>
  <si>
    <t>Tables can be multiplied or modified depending on various situations, rows and columns can be deleted, added or combined.</t>
  </si>
  <si>
    <t>Total net heated floor area</t>
  </si>
  <si>
    <t>Total net cooled floor area (if any)</t>
  </si>
  <si>
    <t>Total net heated volume</t>
  </si>
  <si>
    <t>Cells with automatic calculations or text</t>
  </si>
  <si>
    <t>Energie Termică</t>
  </si>
  <si>
    <t>Energy consumption can be expressed in various units of measure, further all calculations to be done in kWh.</t>
  </si>
  <si>
    <t>Indications for use:</t>
  </si>
  <si>
    <t>Space name</t>
  </si>
  <si>
    <t>In contact with</t>
  </si>
  <si>
    <t>Wall type</t>
  </si>
  <si>
    <t>U value</t>
  </si>
  <si>
    <t>Q</t>
  </si>
  <si>
    <t>[kWh/y]</t>
  </si>
  <si>
    <t>Environment</t>
  </si>
  <si>
    <t>Ground</t>
  </si>
  <si>
    <t>Closed un-heated space</t>
  </si>
  <si>
    <t>Roof</t>
  </si>
  <si>
    <t>R1</t>
  </si>
  <si>
    <t>Semi-closed un-heated space</t>
  </si>
  <si>
    <t>Floor</t>
  </si>
  <si>
    <t>F1</t>
  </si>
  <si>
    <t>Closed un-heated basement</t>
  </si>
  <si>
    <t>Window</t>
  </si>
  <si>
    <t>Door</t>
  </si>
  <si>
    <t>D1</t>
  </si>
  <si>
    <t>D2</t>
  </si>
  <si>
    <t>Windows and Doors</t>
  </si>
  <si>
    <t>Average inside temperature during heating season in operation hours (standardized)</t>
  </si>
  <si>
    <t>Average inside temperature during heating season in non-operation hours (standardized)</t>
  </si>
  <si>
    <t>Wooden – 50mm</t>
  </si>
  <si>
    <t>Wooden double framed [3-50-3mm]</t>
  </si>
  <si>
    <t>L</t>
  </si>
  <si>
    <t>cxƔ</t>
  </si>
  <si>
    <t xml:space="preserve">[m³] </t>
  </si>
  <si>
    <t>[m³/h]</t>
  </si>
  <si>
    <t>Net heated volume</t>
  </si>
  <si>
    <t>No of people</t>
  </si>
  <si>
    <t>Fresh air per person</t>
  </si>
  <si>
    <t>Conversion coeff.</t>
  </si>
  <si>
    <t>Unit description</t>
  </si>
  <si>
    <t>Cells which require input data or text</t>
  </si>
  <si>
    <t>[m³/h/person]</t>
  </si>
  <si>
    <t>[%]</t>
  </si>
  <si>
    <t>Hours of operation [hours]</t>
  </si>
  <si>
    <t>During cooling season</t>
  </si>
  <si>
    <t>Power
[kW]</t>
  </si>
  <si>
    <t>Annual consumption
[kWh/y]</t>
  </si>
  <si>
    <r>
      <t>Rezistența termică a suprafeței din Interior / Exterior  [m</t>
    </r>
    <r>
      <rPr>
        <b/>
        <sz val="8"/>
        <rFont val="Calibri"/>
        <family val="2"/>
        <charset val="238"/>
        <scheme val="minor"/>
      </rPr>
      <t>²</t>
    </r>
    <r>
      <rPr>
        <b/>
        <i/>
        <sz val="8"/>
        <rFont val="Calibri"/>
        <family val="2"/>
        <charset val="238"/>
        <scheme val="minor"/>
      </rPr>
      <t>K/W] - SM SR EN ISO 6946</t>
    </r>
  </si>
  <si>
    <r>
      <t>Rezistența termică a suprafeței în m</t>
    </r>
    <r>
      <rPr>
        <b/>
        <vertAlign val="superscript"/>
        <sz val="9"/>
        <color theme="0"/>
        <rFont val="Calibri"/>
        <family val="2"/>
        <charset val="238"/>
        <scheme val="minor"/>
      </rPr>
      <t>2</t>
    </r>
    <r>
      <rPr>
        <b/>
        <sz val="9"/>
        <color theme="0"/>
        <rFont val="Calibri"/>
        <family val="2"/>
        <charset val="238"/>
        <scheme val="minor"/>
      </rPr>
      <t>K/W</t>
    </r>
  </si>
  <si>
    <t>Average for the past 3 years (Baseline)</t>
  </si>
  <si>
    <t>Orientation</t>
  </si>
  <si>
    <t>Shading reduction factor</t>
  </si>
  <si>
    <t>Solar radiation</t>
  </si>
  <si>
    <t>[kWh/m²]</t>
  </si>
  <si>
    <t>Q [kWh/y]</t>
  </si>
  <si>
    <t>VI</t>
  </si>
  <si>
    <t>VII</t>
  </si>
  <si>
    <t>VIII</t>
  </si>
  <si>
    <t>Calculations related to water savings are not considered by the current tool, it can be developed further by the auditor in case if it will be required.</t>
  </si>
  <si>
    <t>For DHW preparation the average (baseline energy consumption) should be also calculated in kWh</t>
  </si>
  <si>
    <t>For other types of fuels like biomass, natural gas, coal etc. the same principle to be applied.</t>
  </si>
  <si>
    <t xml:space="preserve">Glazed Area [m²] </t>
  </si>
  <si>
    <t>Diametrul nominal interior al conductei (DN), [mm]</t>
  </si>
  <si>
    <t>Pierderea maximă a densităţii fluxului de căldură prin țevi izolate  în spații neîncălzite, [W/m]</t>
  </si>
  <si>
    <t>Temperatura medie a agentului termic, [°C]</t>
  </si>
  <si>
    <t>15 – 25</t>
  </si>
  <si>
    <t>32 – 50</t>
  </si>
  <si>
    <t>65 – 100</t>
  </si>
  <si>
    <t>Pierderea maximă a densității fluxului de căldură prin țevi neizolate în spații neîncălzite, [W/m]</t>
  </si>
  <si>
    <t>Temperatura medie a agentului termic – 60[°C]</t>
  </si>
  <si>
    <t>≤50</t>
  </si>
  <si>
    <t>≥90</t>
  </si>
  <si>
    <t>Total heat losses through heat distribution system before renovation</t>
  </si>
  <si>
    <t>Building name</t>
  </si>
  <si>
    <t>Interior nominal diameter of pipe (DN), [mm]</t>
  </si>
  <si>
    <t>Percentage of insulated pipes</t>
  </si>
  <si>
    <t>Length of insulated pipes [m]</t>
  </si>
  <si>
    <t>Length of non-insulated pipes [m]</t>
  </si>
  <si>
    <t>Losses through non-insulated pipes [W/m]</t>
  </si>
  <si>
    <t>Losses through insulated pipes [W/m]</t>
  </si>
  <si>
    <t>Hours per year 
[h/y]</t>
  </si>
  <si>
    <t>Length [m]</t>
  </si>
  <si>
    <t>Before renovation</t>
  </si>
  <si>
    <t>After renovation</t>
  </si>
  <si>
    <t>Total heat losses through heat distribution system after renovation</t>
  </si>
  <si>
    <t>Heat savings from heat distribution system</t>
  </si>
  <si>
    <t>Heat savings from natural ventilation</t>
  </si>
  <si>
    <t>Air exchange rate</t>
  </si>
  <si>
    <t>VI.</t>
  </si>
  <si>
    <t>VII.</t>
  </si>
  <si>
    <t>VIII.</t>
  </si>
  <si>
    <t>S</t>
  </si>
  <si>
    <t>N</t>
  </si>
  <si>
    <t>Horizontal</t>
  </si>
  <si>
    <t>E</t>
  </si>
  <si>
    <t>W</t>
  </si>
  <si>
    <t>SE</t>
  </si>
  <si>
    <t>SW</t>
  </si>
  <si>
    <t>NE</t>
  </si>
  <si>
    <t>NW</t>
  </si>
  <si>
    <t>V*</t>
  </si>
  <si>
    <t>IX*</t>
  </si>
  <si>
    <t>* Only 15 days out of 30 are applied in calculations</t>
  </si>
  <si>
    <t>glazing type</t>
  </si>
  <si>
    <t>Factor transmission of total solar energy when falling on the perpendicular surface,</t>
  </si>
  <si>
    <t>Average glazing</t>
  </si>
  <si>
    <t>0,85</t>
  </si>
  <si>
    <t>double glazing</t>
  </si>
  <si>
    <t>0,75</t>
  </si>
  <si>
    <t>Double glazing coated with selective low-e</t>
  </si>
  <si>
    <t>0,67</t>
  </si>
  <si>
    <t>triple glazing</t>
  </si>
  <si>
    <t>0,70</t>
  </si>
  <si>
    <t>Triple glazing with double selective low-e coating</t>
  </si>
  <si>
    <t>0,50</t>
  </si>
  <si>
    <t>double window</t>
  </si>
  <si>
    <r>
      <t>g</t>
    </r>
    <r>
      <rPr>
        <b/>
        <vertAlign val="subscript"/>
        <sz val="9"/>
        <color theme="1"/>
        <rFont val="Calibri"/>
        <family val="2"/>
        <charset val="238"/>
        <scheme val="minor"/>
      </rPr>
      <t>n</t>
    </r>
  </si>
  <si>
    <t>Reduction factor 
g value</t>
  </si>
  <si>
    <t>Thermal energy</t>
  </si>
  <si>
    <t>Type of energy</t>
  </si>
  <si>
    <t>Ventilation</t>
  </si>
  <si>
    <t>Needs</t>
  </si>
  <si>
    <t>Electrical energy</t>
  </si>
  <si>
    <t>Lighting</t>
  </si>
  <si>
    <t>Equipment</t>
  </si>
  <si>
    <t>Cooling</t>
  </si>
  <si>
    <t>DHW</t>
  </si>
  <si>
    <t>Heating</t>
  </si>
  <si>
    <t>1.1</t>
  </si>
  <si>
    <t>1.2</t>
  </si>
  <si>
    <t>2.1</t>
  </si>
  <si>
    <t>2.2</t>
  </si>
  <si>
    <t>2.3</t>
  </si>
  <si>
    <t>2.4</t>
  </si>
  <si>
    <t>3</t>
  </si>
  <si>
    <t>3.1</t>
  </si>
  <si>
    <t>3.2</t>
  </si>
  <si>
    <t>3.3</t>
  </si>
  <si>
    <t>3.4</t>
  </si>
  <si>
    <t>3.5</t>
  </si>
  <si>
    <t>3.6</t>
  </si>
  <si>
    <t>3.7</t>
  </si>
  <si>
    <t>3.8</t>
  </si>
  <si>
    <t>3.9</t>
  </si>
  <si>
    <t>3.10</t>
  </si>
  <si>
    <t>Indicators</t>
  </si>
  <si>
    <t>NOTES:
1. The calculation period of 20 years shall be adopted on the basis of the minimum service life (term of operation) of the technical systems included in the energy efficiency measure concerned, so that the calculation period is less than or equal to the service life of the technical systems. .
2. The annual discount rate of 4% has been adopted for the calculation, in accordance with international practices.
3. Maintenance costs are determined in% of the initial investment costs, in accordance with the provisions of the European standard SM SR EN 15459: 2011 “Energy performance of buildings. Procedure for economic evaluation of energy systems in buildings ”. Maintenance costs with a value of “0” mean that the technical systems (especially the elements of the building envelope) do not require substantial investments during the life period to maintain them in their initial functional state (their initial performance).
4. The annual rate of increase in prices for energy resources of 2.8% - for natural gas and 2% - for electricity has been adopted for the calculation, in accordance with Annex II to Delegated Regulation (EU) NO. Commission Regulation (EC) No 244/2012 of 16 January 2012 supplementing Directive 2010/31 / EU of the European Parliament and of the Council on the energy performance of buildings by establishing a comparative methodological framework for calculating the optimal levels of cost the minimum energy performance requirements of buildings and their elements ”and Chapter 9 at“ Guidelines no. 2012 / C115 / 01 on Delegated Regulation (EU) no. Commission Regulation (EC) No 244/2012 of 16 January 2012 supplementing Directive 2010/31 / EU of the European Parliament and of the Council on the energy performance of buildings by establishing a comparative methodological framework for calculating cost-optimal levels of requirements minimum energy performance of buildings and their elements ”, approved by the European Commission.
5. The savings are calculated based on the estimates regarding the reduction of energy consumption as a result of the implementation of the analyzed measure (package of measures) of energy efficiency.</t>
  </si>
  <si>
    <t>ratio</t>
  </si>
  <si>
    <t>Heat exchanger efficiency</t>
  </si>
  <si>
    <t>[kJ/kg]</t>
  </si>
  <si>
    <t>Average outside enthalpy during cooling period</t>
  </si>
  <si>
    <r>
      <t>Average inside enthalpy during cooling period for +24</t>
    </r>
    <r>
      <rPr>
        <sz val="9"/>
        <color theme="1"/>
        <rFont val="Calibri"/>
        <family val="2"/>
        <charset val="238"/>
      </rPr>
      <t xml:space="preserve">°C and relative humidity of 50% </t>
    </r>
  </si>
  <si>
    <t>Operation hours during cooling season [h/y]</t>
  </si>
  <si>
    <t>Total heat gains through mechanical ventilation before renovation</t>
  </si>
  <si>
    <t>Total heat gains through mechanical ventilation after renovation</t>
  </si>
  <si>
    <t>Cooling energy savings from mechanical ventilation</t>
  </si>
  <si>
    <t>* - If some figure is dominating for supply or exhaust in the same space, please apply the maximum value. Please avoid double counting in case if 2 units serve same space (for ex. kitchen 1 supply fan of 800m3/h and 1 exhaust fan of 1000m3/h, only exhaust fan for 1000m3/h should be considered during cooling energy loss calculation.
Cooling energy losses are calculated only for air conditioned spaces.</t>
  </si>
  <si>
    <t>Total annual solar heat gains before renovation</t>
  </si>
  <si>
    <t>Total annual solar heat gains after renovation</t>
  </si>
  <si>
    <t>Descriotion of source</t>
  </si>
  <si>
    <t>Energy used for DHW preparation</t>
  </si>
  <si>
    <t>Other energy</t>
  </si>
  <si>
    <t>No of persons</t>
  </si>
  <si>
    <t>ΔT
[°C]</t>
  </si>
  <si>
    <t>Outside heating season</t>
  </si>
  <si>
    <t>Q
[kWh/y]</t>
  </si>
  <si>
    <t>Consumption
[litres/person * day]</t>
  </si>
  <si>
    <t>Theoretical energy needs based on standardized conditions
[kWh/y]</t>
  </si>
  <si>
    <t>Actual energy consumption
(Baseline)
[kWh/y]</t>
  </si>
  <si>
    <t>Description of source</t>
  </si>
  <si>
    <t>Useful energy needs 
[kWh/y]</t>
  </si>
  <si>
    <t>Distribution energy losses
[kWh/y]</t>
  </si>
  <si>
    <t>Final energy consumption
[kWh/y]</t>
  </si>
  <si>
    <t>Needs covered
[%]</t>
  </si>
  <si>
    <t>Before renovation (standardized)</t>
  </si>
  <si>
    <t>After renovation (standardized)</t>
  </si>
  <si>
    <r>
      <t>Specific final energy consumption
[kWh/m</t>
    </r>
    <r>
      <rPr>
        <b/>
        <sz val="9"/>
        <color theme="0"/>
        <rFont val="Calibri"/>
        <family val="2"/>
        <charset val="238"/>
      </rPr>
      <t>²</t>
    </r>
    <r>
      <rPr>
        <b/>
        <sz val="9"/>
        <color theme="0"/>
        <rFont val="Times New Roman"/>
        <family val="1"/>
        <charset val="238"/>
      </rPr>
      <t>·</t>
    </r>
    <r>
      <rPr>
        <b/>
        <sz val="9"/>
        <color theme="0"/>
        <rFont val="Calibri"/>
        <family val="2"/>
      </rPr>
      <t>y]</t>
    </r>
  </si>
  <si>
    <t>Working days
[days/y]</t>
  </si>
  <si>
    <t>Total electrical energy needs for DHW preparation</t>
  </si>
  <si>
    <t>Total other energy needs for DHW preparation</t>
  </si>
  <si>
    <t>Total energy needs for DHW preparation</t>
  </si>
  <si>
    <t>Generation efficiency**</t>
  </si>
  <si>
    <t>Investments</t>
  </si>
  <si>
    <t>Economies</t>
  </si>
  <si>
    <t>Financial Indicators</t>
  </si>
  <si>
    <t>Theoretical energy savings based on standardized conditions
[kWh/y]</t>
  </si>
  <si>
    <t>Energy needs based on standardized conditions
[kWh/y]</t>
  </si>
  <si>
    <t>Actual energy savings based on standardized conditions
[kWh/y]</t>
  </si>
  <si>
    <t>Total annual energy used by equipment before renovation</t>
  </si>
  <si>
    <t>Total annual energy used by equipment after renovation</t>
  </si>
  <si>
    <t>Hours of operation during cooling season [hours]</t>
  </si>
  <si>
    <t>Uvalue
[W/m²K]</t>
  </si>
  <si>
    <t>Description of windows and doors before renovation</t>
  </si>
  <si>
    <t>Description of windows and doors after renovation</t>
  </si>
  <si>
    <t>D3</t>
  </si>
  <si>
    <t>The values and contents (formulas, links etc.) of the spreadsheet provided as a input data for energy audit report is in full responsability of the energy auditor.</t>
  </si>
  <si>
    <t>Discounted payback period based on standardized conditions [years]</t>
  </si>
  <si>
    <t>Discounted actual payback period [years]</t>
  </si>
  <si>
    <t>Discounted</t>
  </si>
  <si>
    <r>
      <t>Internal Rate of Return based on standardized conditions (IRR</t>
    </r>
    <r>
      <rPr>
        <sz val="9"/>
        <color theme="1"/>
        <rFont val="Calibri"/>
        <family val="2"/>
        <charset val="238"/>
      </rPr>
      <t>¹</t>
    </r>
    <r>
      <rPr>
        <sz val="9"/>
        <color theme="1"/>
        <rFont val="Calibri"/>
        <family val="2"/>
        <charset val="238"/>
        <scheme val="minor"/>
      </rPr>
      <t>)</t>
    </r>
  </si>
  <si>
    <r>
      <t>Internal Rate of Return based on actual conditions (IRR</t>
    </r>
    <r>
      <rPr>
        <sz val="9"/>
        <color theme="1"/>
        <rFont val="Calibri"/>
        <family val="2"/>
        <charset val="238"/>
      </rPr>
      <t>²</t>
    </r>
    <r>
      <rPr>
        <sz val="9"/>
        <color theme="1"/>
        <rFont val="Calibri"/>
        <family val="2"/>
        <charset val="238"/>
        <scheme val="minor"/>
      </rPr>
      <t>)</t>
    </r>
  </si>
  <si>
    <r>
      <t xml:space="preserve">Duration of the heating season </t>
    </r>
    <r>
      <rPr>
        <i/>
        <sz val="9"/>
        <color theme="1"/>
        <rFont val="Calibri"/>
        <family val="2"/>
        <charset val="238"/>
        <scheme val="minor"/>
      </rPr>
      <t>(as per  NCM M.01.02:2016, Annex A)</t>
    </r>
  </si>
  <si>
    <r>
      <t xml:space="preserve">Medium outside temperature during heating season </t>
    </r>
    <r>
      <rPr>
        <i/>
        <sz val="9"/>
        <color theme="1"/>
        <rFont val="Calibri"/>
        <family val="2"/>
        <charset val="238"/>
        <scheme val="minor"/>
      </rPr>
      <t>(as per  NCM M.01.02:2016, Annex A)</t>
    </r>
  </si>
  <si>
    <r>
      <t xml:space="preserve">Coldest 5 days outside temperature </t>
    </r>
    <r>
      <rPr>
        <i/>
        <sz val="9"/>
        <color theme="1"/>
        <rFont val="Calibri"/>
        <family val="2"/>
        <charset val="238"/>
        <scheme val="minor"/>
      </rPr>
      <t>(design temperature, as per СНиП 2.01.01-82)</t>
    </r>
  </si>
  <si>
    <t>Qtot</t>
  </si>
  <si>
    <t>Heating season monthly data for Hospitals placed in II Climatic zone</t>
  </si>
  <si>
    <t>Duration [days]</t>
  </si>
  <si>
    <t>Oct</t>
  </si>
  <si>
    <t>Nov</t>
  </si>
  <si>
    <t>Dec</t>
  </si>
  <si>
    <t>Jan</t>
  </si>
  <si>
    <t>Feb</t>
  </si>
  <si>
    <t>Mar</t>
  </si>
  <si>
    <t>Apr</t>
  </si>
  <si>
    <t>Δt [°C]</t>
  </si>
  <si>
    <t>Duration [h]</t>
  </si>
  <si>
    <t>Average temp [°C]</t>
  </si>
  <si>
    <t>Q Oct</t>
  </si>
  <si>
    <t>[kWh/month]</t>
  </si>
  <si>
    <t>Q Nov</t>
  </si>
  <si>
    <t>Q Dec</t>
  </si>
  <si>
    <t>Q Jan</t>
  </si>
  <si>
    <t>Q Feb</t>
  </si>
  <si>
    <t>Q Mar</t>
  </si>
  <si>
    <t>Q Apr</t>
  </si>
  <si>
    <t>Win4</t>
  </si>
  <si>
    <t>Metal</t>
  </si>
  <si>
    <t>D4</t>
  </si>
  <si>
    <t>PVC framed, 3 camera, double glazed [3-12-3mm]</t>
  </si>
  <si>
    <t>Aluminum frame 4-40-4</t>
  </si>
  <si>
    <t>Total monthly heat losses through walls</t>
  </si>
  <si>
    <t>Total monthly heat losses through roof</t>
  </si>
  <si>
    <t>Cumulative annual heat losses before renovation through building envelope</t>
  </si>
  <si>
    <t>Monthly heat losses before renovation through building envelope</t>
  </si>
  <si>
    <t>Total monthly heat losses through floor</t>
  </si>
  <si>
    <t>Total monthly heat losses through openings</t>
  </si>
  <si>
    <t>Total annual heat losses through windows and doors</t>
  </si>
  <si>
    <t>Total annual heat losses through floor</t>
  </si>
  <si>
    <t>Total annual heat losses through roof</t>
  </si>
  <si>
    <t>Total annual heat losses through walls</t>
  </si>
  <si>
    <t>Total annual heat losses through building envelope</t>
  </si>
  <si>
    <t>Cumulative annual heat losses after renovation through building envelope</t>
  </si>
  <si>
    <t>Total monthly heat losses through building envelope</t>
  </si>
  <si>
    <t xml:space="preserve">Total annual heat losses through natural ventilation and infiltration </t>
  </si>
  <si>
    <t xml:space="preserve">Total monthly heat losses through natural ventilation and infiltration </t>
  </si>
  <si>
    <t>Monthly heat savings from natural ventilation</t>
  </si>
  <si>
    <t>Monthly heat losses through natural ventilation before and after renovation</t>
  </si>
  <si>
    <t>Annual heat losses through natural ventilation before and after renovation</t>
  </si>
  <si>
    <t>Annual heat losses through mechanical ventilation before and after renovation</t>
  </si>
  <si>
    <t>Block/floor name</t>
  </si>
  <si>
    <t>Monthly heat losses through mechanical ventilation before and after renovation</t>
  </si>
  <si>
    <t>Name of the Building</t>
  </si>
  <si>
    <r>
      <t>V</t>
    </r>
    <r>
      <rPr>
        <b/>
        <sz val="8"/>
        <color theme="0"/>
        <rFont val="Calibri"/>
        <family val="2"/>
        <charset val="238"/>
        <scheme val="minor"/>
      </rPr>
      <t xml:space="preserve">SUPPLY &amp;/OR EXAHUST </t>
    </r>
    <r>
      <rPr>
        <b/>
        <sz val="9"/>
        <color theme="0"/>
        <rFont val="Calibri"/>
        <family val="2"/>
        <charset val="238"/>
        <scheme val="minor"/>
      </rPr>
      <t xml:space="preserve">
[m³/h]</t>
    </r>
  </si>
  <si>
    <t>Heat recovery efficiency
[%]</t>
  </si>
  <si>
    <t>Monthly heat savings from mechanical ventilation</t>
  </si>
  <si>
    <t>Monthly heat losses through mechanical ventilation after renovation</t>
  </si>
  <si>
    <t>Monthly heat losses through mechanical ventilation before renovation</t>
  </si>
  <si>
    <t>Annual heat losses through mechanical ventilation after renovation</t>
  </si>
  <si>
    <t>Annual heat losses through mechanical ventilation before renovation</t>
  </si>
  <si>
    <t>Annual heat savings from mechanical ventilation</t>
  </si>
  <si>
    <t>Note: Fresh air per person of 80m3/h is assumed as an average value per hospital considered during the EA calculation. During the design phase, spaces as: surgery rooms, clean rooms, intensive care, x-ray etc. will be calculated separately according to the specific technological requirements.</t>
  </si>
  <si>
    <t>Fresh air per person
[m³/h/person]</t>
  </si>
  <si>
    <r>
      <t>V</t>
    </r>
    <r>
      <rPr>
        <b/>
        <vertAlign val="subscript"/>
        <sz val="9"/>
        <color theme="0"/>
        <rFont val="Calibri"/>
        <family val="2"/>
        <charset val="238"/>
        <scheme val="minor"/>
      </rPr>
      <t>SUPPLY &amp;/OR EXAHUST *
[</t>
    </r>
    <r>
      <rPr>
        <b/>
        <vertAlign val="subscript"/>
        <sz val="11"/>
        <color theme="0"/>
        <rFont val="Calibri"/>
        <family val="2"/>
        <charset val="238"/>
        <scheme val="minor"/>
      </rPr>
      <t>m³/h]</t>
    </r>
  </si>
  <si>
    <t>ρ
[kg/m³]</t>
  </si>
  <si>
    <t>ΔI
[kJ/kg]</t>
  </si>
  <si>
    <t>Electrical boilers</t>
  </si>
  <si>
    <t>Annual heat gains from mechanical ventilation before and after renovation</t>
  </si>
  <si>
    <t>Annual electricity consumption for artificial lighting before and after renovation</t>
  </si>
  <si>
    <t>Floor ratio covered by various lighting sources</t>
  </si>
  <si>
    <t>Incandescent</t>
  </si>
  <si>
    <t>Fluorescent</t>
  </si>
  <si>
    <t>LED</t>
  </si>
  <si>
    <t>Average installed power per sq m including losses  [W/m²]</t>
  </si>
  <si>
    <t>Annual energy consumption [kWh/y]</t>
  </si>
  <si>
    <t>Electricity savings</t>
  </si>
  <si>
    <t>Total annual energy consumption for artificial lighting before renovation</t>
  </si>
  <si>
    <t>Total annual energy consumption for artificial lighting after renovation</t>
  </si>
  <si>
    <t>Normative values for hospitals - average</t>
  </si>
  <si>
    <t>Source</t>
  </si>
  <si>
    <t>W/m2</t>
  </si>
  <si>
    <t>savings</t>
  </si>
  <si>
    <t>Total heat losses through DHW distribution system before renovation</t>
  </si>
  <si>
    <t>Total heat losses through DHW distribution system after renovation</t>
  </si>
  <si>
    <t>Heat savings from DHW distribution system</t>
  </si>
  <si>
    <t>Unit of measure</t>
  </si>
  <si>
    <t>units</t>
  </si>
  <si>
    <t>m</t>
  </si>
  <si>
    <t>No of units</t>
  </si>
  <si>
    <t>Monthly electricity production 
[kWh]</t>
  </si>
  <si>
    <t>January</t>
  </si>
  <si>
    <t>February</t>
  </si>
  <si>
    <t>March</t>
  </si>
  <si>
    <t>April</t>
  </si>
  <si>
    <t>May</t>
  </si>
  <si>
    <t>June</t>
  </si>
  <si>
    <t>July</t>
  </si>
  <si>
    <t>September</t>
  </si>
  <si>
    <t>October</t>
  </si>
  <si>
    <t>November</t>
  </si>
  <si>
    <t>December</t>
  </si>
  <si>
    <t>Total annual production [kWh/y]</t>
  </si>
  <si>
    <t>Emission factor to CO2 (kgCO2/kWh)</t>
  </si>
  <si>
    <t>Electricity</t>
  </si>
  <si>
    <t>Factor to primary</t>
  </si>
  <si>
    <t>https://re.jrc.ec.europa.eu/pvg_tools/en/</t>
  </si>
  <si>
    <t>Heat Distribution</t>
  </si>
  <si>
    <t>Generation Heating +DHW</t>
  </si>
  <si>
    <t>Units</t>
  </si>
  <si>
    <t>CAPEX</t>
  </si>
  <si>
    <t>Labour</t>
  </si>
  <si>
    <t>Diameter</t>
  </si>
  <si>
    <t>Costs to be applied in CAPEX</t>
  </si>
  <si>
    <t>Pipe diameter</t>
  </si>
  <si>
    <t>Length
[m]</t>
  </si>
  <si>
    <t>15-25</t>
  </si>
  <si>
    <t>32-50</t>
  </si>
  <si>
    <t>65-100</t>
  </si>
  <si>
    <t>PP-RCT/PP-RCT+BF/PP-RCT pipe insulated with expended polyethene with a thickness of at least 20mm including fitings and labour</t>
  </si>
  <si>
    <t>PP-RCT/PP-RCT+BF/PP-RCT pipe insulated with expended polyethene with a thickness of at least 25mm including fitings and labour</t>
  </si>
  <si>
    <t>Steel electric welved pipe, treated with anticorrosion, insulated with high density MW of at least 40mm covered with aluminum foil including fitings and labour</t>
  </si>
  <si>
    <t>Bimetal radiators with an average dimension of 500x800mm equiped with antivandal type mechanical thermostatic valve, fitings and labour.</t>
  </si>
  <si>
    <t>Measure</t>
  </si>
  <si>
    <t>Foreseen capacity
[kW]</t>
  </si>
  <si>
    <t>Monocrystaline PV panels including on-grid inverter, materials and labour</t>
  </si>
  <si>
    <t>Boiler of 1000l, with 2 integrated heat exchangers (1 for solar collectors and 1 for district heating)</t>
  </si>
  <si>
    <r>
      <t>Tube type solar collector with area of 2,5m</t>
    </r>
    <r>
      <rPr>
        <sz val="11"/>
        <color theme="1"/>
        <rFont val="Calibri"/>
        <family val="2"/>
        <charset val="204"/>
      </rPr>
      <t>²</t>
    </r>
  </si>
  <si>
    <t>Automatization</t>
  </si>
  <si>
    <t>Water treatment</t>
  </si>
  <si>
    <t>Pumps</t>
  </si>
  <si>
    <t xml:space="preserve">Total cost for a complete and functional system </t>
  </si>
  <si>
    <r>
      <t>Tube type solar collector of 2.5m</t>
    </r>
    <r>
      <rPr>
        <sz val="11"/>
        <color theme="1"/>
        <rFont val="Calibri Light"/>
        <family val="2"/>
        <charset val="238"/>
      </rPr>
      <t>²</t>
    </r>
  </si>
  <si>
    <t>DHW generation
Q
[kWh/y]</t>
  </si>
  <si>
    <r>
      <t>Area
[m</t>
    </r>
    <r>
      <rPr>
        <b/>
        <sz val="9"/>
        <color theme="0"/>
        <rFont val="Calibri Light"/>
        <family val="2"/>
        <charset val="238"/>
      </rPr>
      <t>²</t>
    </r>
    <r>
      <rPr>
        <b/>
        <sz val="9"/>
        <color theme="0"/>
        <rFont val="Calibri"/>
        <family val="2"/>
      </rPr>
      <t>]</t>
    </r>
  </si>
  <si>
    <t>Availability of roof space for PV installation</t>
  </si>
  <si>
    <t>Availability of roof space after PV system installation</t>
  </si>
  <si>
    <t xml:space="preserve">Capacity of PV system planned to be installed </t>
  </si>
  <si>
    <t>Necessary area for 1kW PV installation under 45° angle</t>
  </si>
  <si>
    <t>Availability of roof space for solar DHW installation</t>
  </si>
  <si>
    <t xml:space="preserve">Number of solar DHW collectors planned to be installed </t>
  </si>
  <si>
    <t>Necessary area for one solar DHW panel of 2.5m² under 45° angle</t>
  </si>
  <si>
    <t>Availability of roof space after solar DHW system installation</t>
  </si>
  <si>
    <t>should not exceed the installed electrical capacity</t>
  </si>
  <si>
    <t>Electricity production from the proposed system</t>
  </si>
  <si>
    <t>PV system potential</t>
  </si>
  <si>
    <t>DHW solar system potential</t>
  </si>
  <si>
    <t>Proposed solar DHW capacity</t>
  </si>
  <si>
    <t>Thermal energy produced from solar DHW</t>
  </si>
  <si>
    <t>Total investment per DHW equipment</t>
  </si>
  <si>
    <t>Solar DHW</t>
  </si>
  <si>
    <r>
      <t xml:space="preserve">in case of external networks, using pipes 65-100mm:
1. to replace the description with: Steel electric welved pipe, placed in concrete channels at 1m depth in the ground, treated with anticorrosion, insulated with high density MW of at least 40mm covered with aluminum foil including fitings and labour. Asphalt or tile rehabilitaiton included.
2. to replace unit price of </t>
    </r>
    <r>
      <rPr>
        <sz val="11"/>
        <color rgb="FFFF0000"/>
        <rFont val="Calibri"/>
        <family val="2"/>
        <charset val="238"/>
        <scheme val="minor"/>
      </rPr>
      <t>61</t>
    </r>
    <r>
      <rPr>
        <sz val="11"/>
        <color theme="1"/>
        <rFont val="Calibri"/>
        <family val="2"/>
        <scheme val="minor"/>
      </rPr>
      <t xml:space="preserve"> EUR/m2 with </t>
    </r>
    <r>
      <rPr>
        <sz val="11"/>
        <color rgb="FFFF0000"/>
        <rFont val="Calibri"/>
        <family val="2"/>
        <charset val="238"/>
        <scheme val="minor"/>
      </rPr>
      <t>340</t>
    </r>
    <r>
      <rPr>
        <sz val="11"/>
        <color theme="1"/>
        <rFont val="Calibri"/>
        <family val="2"/>
        <scheme val="minor"/>
      </rPr>
      <t xml:space="preserve"> EUR/m2  </t>
    </r>
  </si>
  <si>
    <t>Non-EE Measures</t>
  </si>
  <si>
    <t>Measure:</t>
  </si>
  <si>
    <t>Actual payback period</t>
  </si>
  <si>
    <t>Upon implementation of all the measures</t>
  </si>
  <si>
    <t>No</t>
  </si>
  <si>
    <t>Nivel de iluminat, lx</t>
  </si>
  <si>
    <t>Cota %</t>
  </si>
  <si>
    <t>0,1</t>
  </si>
  <si>
    <t>0,5</t>
  </si>
  <si>
    <t>1,5</t>
  </si>
  <si>
    <t>1,75</t>
  </si>
  <si>
    <t>2,25</t>
  </si>
  <si>
    <t>3,5</t>
  </si>
  <si>
    <t>6,4</t>
  </si>
  <si>
    <t>Percentage share by room types in hospital institutions</t>
  </si>
  <si>
    <t>LED 600x600 mm, 37W, 3684 lm</t>
  </si>
  <si>
    <t>Average 300 lx considered</t>
  </si>
  <si>
    <t>Fluorescent, electromagnetic ballast, 4x18W</t>
  </si>
  <si>
    <t>Fluorescent, electronic ballast, 4x18</t>
  </si>
  <si>
    <t xml:space="preserve"> do not ensure 300 lx</t>
  </si>
  <si>
    <t>Mechanical ventilation with heat recovery</t>
  </si>
  <si>
    <r>
      <t>Note:The cost is assumed in average per 1m</t>
    </r>
    <r>
      <rPr>
        <sz val="9"/>
        <color theme="1"/>
        <rFont val="Calibri"/>
        <family val="2"/>
        <charset val="238"/>
      </rPr>
      <t>³</t>
    </r>
    <r>
      <rPr>
        <i/>
        <sz val="9"/>
        <color theme="1"/>
        <rFont val="Calibri"/>
        <family val="2"/>
        <charset val="238"/>
      </rPr>
      <t xml:space="preserve"> of heated volume of already rehabilitated hospitals, with updated market prices from Q3 of 2022.</t>
    </r>
  </si>
  <si>
    <t xml:space="preserve">Heating system replacement </t>
  </si>
  <si>
    <t>R2</t>
  </si>
  <si>
    <t>F2</t>
  </si>
  <si>
    <t>Individual Heat Substation with weather compensation control</t>
  </si>
  <si>
    <t>Savings [kWh/y]</t>
  </si>
  <si>
    <t>Block</t>
  </si>
  <si>
    <t>Heat exchanger for heating [kW]</t>
  </si>
  <si>
    <t>Heat exchanger for DHW [kW]</t>
  </si>
  <si>
    <t>Heat exchanger for ventilation [kW]</t>
  </si>
  <si>
    <t>EUR</t>
  </si>
  <si>
    <t>Water treatment station</t>
  </si>
  <si>
    <t>CAPEX for IHS with weather compensation control</t>
  </si>
  <si>
    <t>Accessories (valves, anemometers, thermometers, insulation etc.)</t>
  </si>
  <si>
    <t>Heat exchanger for heating system in prefabricated insulation</t>
  </si>
  <si>
    <t>Heat exchanger for DHW in prefabricated insulation</t>
  </si>
  <si>
    <t>Heat exchanger for ventilation in prefabricated insulation</t>
  </si>
  <si>
    <t>Circulation pumps, working &amp; reserve for heating system equipped with frequency drive in prefabricated insulation</t>
  </si>
  <si>
    <t>Circulation pumps, working &amp; reserve for DHW equipped with frequency drive in prefabricated insulation</t>
  </si>
  <si>
    <t>Circulation pumps, working &amp; reserve for ventilation system equipped with frequency drive in prefabricated insulation</t>
  </si>
  <si>
    <t>m2</t>
  </si>
  <si>
    <t>FLUO-T8</t>
  </si>
  <si>
    <t>-BALAST ELECTRONIC,</t>
  </si>
  <si>
    <t>-BALAST ELECTROM. W/m2</t>
  </si>
  <si>
    <t>INCANDES,</t>
  </si>
  <si>
    <t>xx</t>
  </si>
  <si>
    <t>11,42</t>
  </si>
  <si>
    <t>24,69</t>
  </si>
  <si>
    <t>35,5</t>
  </si>
  <si>
    <t>-</t>
  </si>
  <si>
    <t>9,55</t>
  </si>
  <si>
    <t>22,0</t>
  </si>
  <si>
    <t>26,66</t>
  </si>
  <si>
    <t>Încăperi pentru preluarea de probe; Încăpere de preluare  biotest, Încăperi pentru depozitarea mediilor nutritive, pre-box;</t>
  </si>
  <si>
    <t>7,4</t>
  </si>
  <si>
    <t>Spălătorie vase; Sector sterilizare în autoclav; Încăpere pentru recepția și depozitarea materialelor sterile, depozit pentru depozitarea materialelor sterile; Încăpere pentru pregătirea instrumentelor chirurgicale pentru sterilizare; Camera de pre-secționare-autopsie, de fixare; Încăperi pentru îmbrăcarea cadavrelor, sala de înmormântare; Secții de expediere, ambalare, Încăperi pentru depozitare și distribuție de momeli gata preparate, distribuție de dezinfectanți și preparate bacteriene; Încăperi de dezinfectare, secții de spălare; Izolatoare pentru animale infecțioase, carantine; Sala preparare a bucătăriilor; Sala de posturi radio; Sala echipelor de teren;</t>
  </si>
  <si>
    <t>Încăperi pentru recepția și păstrarea veselei; Camera de distribuție; Sala de control (panouri de control) in secțiile radiologice etc.;</t>
  </si>
  <si>
    <t>Camere de zi, pentru conversații cu medicul, hrănirea copiilor sub 1 an, extragerea laptelui matern și sterilizarea acestuia; Registratura;</t>
  </si>
  <si>
    <t>4,7</t>
  </si>
  <si>
    <t>10,9</t>
  </si>
  <si>
    <t>13,0</t>
  </si>
  <si>
    <t>3,65</t>
  </si>
  <si>
    <t>7,41</t>
  </si>
  <si>
    <t>8,89</t>
  </si>
  <si>
    <t>28,5</t>
  </si>
  <si>
    <t>2,5</t>
  </si>
  <si>
    <t>5,9</t>
  </si>
  <si>
    <t>4,9</t>
  </si>
  <si>
    <t>20,5</t>
  </si>
  <si>
    <t>1,85</t>
  </si>
  <si>
    <t>3,7</t>
  </si>
  <si>
    <t>3,9</t>
  </si>
  <si>
    <t>16,5</t>
  </si>
  <si>
    <t>1,23</t>
  </si>
  <si>
    <t>1,44</t>
  </si>
  <si>
    <t>9,26</t>
  </si>
  <si>
    <t>0,64</t>
  </si>
  <si>
    <t>0,72</t>
  </si>
  <si>
    <t>0,864</t>
  </si>
  <si>
    <t>4,85</t>
  </si>
  <si>
    <t>0,58</t>
  </si>
  <si>
    <t>0,576</t>
  </si>
  <si>
    <t>3,09</t>
  </si>
  <si>
    <t>Specific powers of general lighting according to lighting levels for rooms in hospital institutions</t>
  </si>
  <si>
    <t>14,8</t>
  </si>
  <si>
    <t>17,8</t>
  </si>
  <si>
    <t>Instalaltion of LED lighting and replacing of interior electrical distribution system. LED lumminaires to be selected in-line with results of simulation from DIALUX for each specific space according to the destination and normative requirements. LED lighting sources placed in commonly used spaces to be equipped with presence sensors. All wiring to be replaced, including electrical cabinets, switches and plugs</t>
  </si>
  <si>
    <t>Total for equipment replacement</t>
  </si>
  <si>
    <r>
      <t>Net Present Value (NPV</t>
    </r>
    <r>
      <rPr>
        <b/>
        <sz val="8"/>
        <color theme="0"/>
        <rFont val="Calibri"/>
        <family val="2"/>
        <charset val="238"/>
      </rPr>
      <t>¹</t>
    </r>
    <r>
      <rPr>
        <b/>
        <sz val="8"/>
        <color theme="0"/>
        <rFont val="Calibri"/>
        <family val="2"/>
        <charset val="238"/>
        <scheme val="minor"/>
      </rPr>
      <t>)</t>
    </r>
  </si>
  <si>
    <t>Installation of solar DHW system</t>
  </si>
  <si>
    <t>PV</t>
  </si>
  <si>
    <t>Input data table with shading factors:</t>
  </si>
  <si>
    <t>Type of shading element</t>
  </si>
  <si>
    <t>Factor</t>
  </si>
  <si>
    <t>Fixed horizontal shading (S, SW and SE)</t>
  </si>
  <si>
    <t>Pictures from GIZ MLPS Project (Leova, Moldova)</t>
  </si>
  <si>
    <t>Outside enthalpy during the hottest summer day</t>
  </si>
  <si>
    <t>Compressor-Condensing Unit capacity [kW]</t>
  </si>
  <si>
    <t>Total annual solar heat gains after renovation with installed shading elements</t>
  </si>
  <si>
    <t>Total solar heat gains savings from  replacement of openings</t>
  </si>
  <si>
    <t>Total solar heat gains savings from shading elements installation</t>
  </si>
  <si>
    <t>Annual electrical energy savings from installed shading elements [kWh/y]</t>
  </si>
  <si>
    <t>Electrical energy used for cooling purposes before renovation [kWh/y]</t>
  </si>
  <si>
    <t>Annual solar heat gains savings from installed shading elements [kWh/y]</t>
  </si>
  <si>
    <t>Electrical energy used for cooling purposes after renovation [kWh/y]</t>
  </si>
  <si>
    <t>Number of shading elements to be installed</t>
  </si>
  <si>
    <t>Total including labour</t>
  </si>
  <si>
    <r>
      <t>A se întroduce numărul total (</t>
    </r>
    <r>
      <rPr>
        <b/>
        <u/>
        <sz val="11"/>
        <color rgb="FFFF0000"/>
        <rFont val="Calibri"/>
        <family val="2"/>
        <charset val="238"/>
        <scheme val="minor"/>
      </rPr>
      <t>nu suprafața</t>
    </r>
    <r>
      <rPr>
        <b/>
        <sz val="11"/>
        <color rgb="FFFF0000"/>
        <rFont val="Calibri"/>
        <family val="2"/>
        <charset val="238"/>
        <scheme val="minor"/>
      </rPr>
      <t>) de ferestre orientate spre Sud, Sud-Est, Sud-Vest, Vest si Est la care a fost aplicat factorul de umbrire</t>
    </r>
  </si>
  <si>
    <t>Electric devices before renovation</t>
  </si>
  <si>
    <t>Electric devices after renovation</t>
  </si>
  <si>
    <t xml:space="preserve">Energy needs </t>
  </si>
  <si>
    <t>Based on standardized conditions
[kWh/y]</t>
  </si>
  <si>
    <t>Annual energy savings after implementation of EMS system [kWh/y]</t>
  </si>
  <si>
    <t>Total annual thermal energy savings [kWh/y]</t>
  </si>
  <si>
    <t>Total annual electrical energy savings [kWh/y]</t>
  </si>
  <si>
    <t>Implementation of EMS system</t>
  </si>
  <si>
    <t>EMS</t>
  </si>
  <si>
    <t xml:space="preserve">Installation of Energy Management System. Foresees installation of smart meters at dilimitation points for thermal and electrical energy. Additional meters, controllers &amp; valves for remote control and reading installed for heating, DHW, Cooling &amp; Lighting.  </t>
  </si>
  <si>
    <t>Internal heat gains</t>
  </si>
  <si>
    <t>Heating days</t>
  </si>
  <si>
    <t>Outdoor air temperature, oC</t>
  </si>
  <si>
    <t>Table 10, page 100</t>
  </si>
  <si>
    <t>East, West</t>
  </si>
  <si>
    <t>South-east, south-west</t>
  </si>
  <si>
    <t>North-east, north-west</t>
  </si>
  <si>
    <t>Specific internal heat gains, kWh/m2</t>
  </si>
  <si>
    <t>Internal heat gains, kWh</t>
  </si>
  <si>
    <r>
      <t>F</t>
    </r>
    <r>
      <rPr>
        <vertAlign val="subscript"/>
        <sz val="11"/>
        <color theme="1"/>
        <rFont val="Calibri"/>
        <family val="2"/>
        <scheme val="minor"/>
      </rPr>
      <t>hor</t>
    </r>
  </si>
  <si>
    <r>
      <t>F</t>
    </r>
    <r>
      <rPr>
        <vertAlign val="subscript"/>
        <sz val="11"/>
        <color theme="1"/>
        <rFont val="Calibri"/>
        <family val="2"/>
        <scheme val="minor"/>
      </rPr>
      <t>ov</t>
    </r>
  </si>
  <si>
    <r>
      <t>F</t>
    </r>
    <r>
      <rPr>
        <vertAlign val="subscript"/>
        <sz val="11"/>
        <color theme="1"/>
        <rFont val="Calibri"/>
        <family val="2"/>
        <scheme val="minor"/>
      </rPr>
      <t>fin</t>
    </r>
  </si>
  <si>
    <r>
      <t>F</t>
    </r>
    <r>
      <rPr>
        <vertAlign val="subscript"/>
        <sz val="11"/>
        <color theme="1"/>
        <rFont val="Calibri"/>
        <family val="2"/>
        <scheme val="minor"/>
      </rPr>
      <t>sh</t>
    </r>
  </si>
  <si>
    <r>
      <t>g</t>
    </r>
    <r>
      <rPr>
        <vertAlign val="subscript"/>
        <sz val="11"/>
        <color theme="1"/>
        <rFont val="Calibri"/>
        <family val="2"/>
        <scheme val="minor"/>
      </rPr>
      <t>n</t>
    </r>
  </si>
  <si>
    <r>
      <t>F</t>
    </r>
    <r>
      <rPr>
        <vertAlign val="subscript"/>
        <sz val="11"/>
        <color theme="1"/>
        <rFont val="Calibri"/>
        <family val="2"/>
        <scheme val="minor"/>
      </rPr>
      <t>w</t>
    </r>
  </si>
  <si>
    <t>Solar heat gains, kWh</t>
  </si>
  <si>
    <t>Total heat gains, kWh</t>
  </si>
  <si>
    <r>
      <t>A</t>
    </r>
    <r>
      <rPr>
        <vertAlign val="subscript"/>
        <sz val="11"/>
        <color theme="1"/>
        <rFont val="Calibri"/>
        <family val="2"/>
        <scheme val="minor"/>
      </rPr>
      <t>sol</t>
    </r>
    <r>
      <rPr>
        <sz val="11"/>
        <color theme="1"/>
        <rFont val="Calibri"/>
        <family val="2"/>
        <scheme val="minor"/>
      </rPr>
      <t>, m</t>
    </r>
    <r>
      <rPr>
        <vertAlign val="superscript"/>
        <sz val="11"/>
        <color theme="1"/>
        <rFont val="Calibri"/>
        <family val="2"/>
        <scheme val="minor"/>
      </rPr>
      <t>2</t>
    </r>
  </si>
  <si>
    <r>
      <t>F</t>
    </r>
    <r>
      <rPr>
        <vertAlign val="subscript"/>
        <sz val="11"/>
        <color theme="1"/>
        <rFont val="Calibri"/>
        <family val="2"/>
        <scheme val="minor"/>
      </rPr>
      <t>sh</t>
    </r>
    <r>
      <rPr>
        <sz val="11"/>
        <color theme="1"/>
        <rFont val="Calibri"/>
        <family val="2"/>
        <scheme val="minor"/>
      </rPr>
      <t>*A</t>
    </r>
    <r>
      <rPr>
        <vertAlign val="subscript"/>
        <sz val="11"/>
        <color theme="1"/>
        <rFont val="Calibri"/>
        <family val="2"/>
        <scheme val="minor"/>
      </rPr>
      <t>sol</t>
    </r>
    <r>
      <rPr>
        <sz val="11"/>
        <color theme="1"/>
        <rFont val="Calibri"/>
        <family val="2"/>
        <scheme val="minor"/>
      </rPr>
      <t>, m</t>
    </r>
    <r>
      <rPr>
        <vertAlign val="superscript"/>
        <sz val="11"/>
        <color theme="1"/>
        <rFont val="Calibri"/>
        <family val="2"/>
        <scheme val="minor"/>
      </rPr>
      <t>2</t>
    </r>
  </si>
  <si>
    <r>
      <t>Table A.4, page 126, Solar radiation, kWh/m</t>
    </r>
    <r>
      <rPr>
        <vertAlign val="superscript"/>
        <sz val="11"/>
        <color theme="1"/>
        <rFont val="Calibri"/>
        <family val="2"/>
        <scheme val="minor"/>
      </rPr>
      <t>2</t>
    </r>
  </si>
  <si>
    <t>Total heat losses, kWh</t>
  </si>
  <si>
    <t>gains/losses</t>
  </si>
  <si>
    <t>Heat gain utilization factor</t>
  </si>
  <si>
    <t>Energy need for space heating, kWh</t>
  </si>
  <si>
    <r>
      <t>Area, m</t>
    </r>
    <r>
      <rPr>
        <vertAlign val="superscript"/>
        <sz val="11"/>
        <color theme="1"/>
        <rFont val="Calibri"/>
        <family val="2"/>
        <scheme val="minor"/>
      </rPr>
      <t>2</t>
    </r>
  </si>
  <si>
    <t>Table 11, page 102</t>
  </si>
  <si>
    <t>One glass pane</t>
  </si>
  <si>
    <t>Double glass panes, double window</t>
  </si>
  <si>
    <t>Tripple glass window</t>
  </si>
  <si>
    <t>Double window with selective coating low-e</t>
  </si>
  <si>
    <t>Tripple glass window wilh selective coating low-e</t>
  </si>
  <si>
    <t>Type of window</t>
  </si>
  <si>
    <t xml:space="preserve"> </t>
  </si>
  <si>
    <t>Area
[m²]</t>
  </si>
  <si>
    <t>Socle 2</t>
  </si>
  <si>
    <t>Socle area in contact with environment. Concrete 600mm, Concrete/sand mix 20mm, Decorative stone 30mm.</t>
  </si>
  <si>
    <t>Socle area in contact with the ground. Concrete 600mm</t>
  </si>
  <si>
    <t>Description of existing walls</t>
  </si>
  <si>
    <t>Types of floors</t>
  </si>
  <si>
    <t>Types of walls</t>
  </si>
  <si>
    <t>Types of roof</t>
  </si>
  <si>
    <t>R3</t>
  </si>
  <si>
    <t>R4</t>
  </si>
  <si>
    <t>Description of existing floors</t>
  </si>
  <si>
    <t>Description of existing roof</t>
  </si>
  <si>
    <t>Thermal</t>
  </si>
  <si>
    <t>Electrical</t>
  </si>
  <si>
    <t>roof</t>
  </si>
  <si>
    <t>floor</t>
  </si>
  <si>
    <t>O</t>
  </si>
  <si>
    <t>P</t>
  </si>
  <si>
    <t>R</t>
  </si>
  <si>
    <t>T</t>
  </si>
  <si>
    <t xml:space="preserve"> In contact with environment</t>
  </si>
  <si>
    <t>Heat distribution losses inside basement</t>
  </si>
  <si>
    <t>Surface</t>
  </si>
  <si>
    <t>Technological equipment (kitchen)</t>
  </si>
  <si>
    <t>Other electrical devices (computers, coffee machines etc)</t>
  </si>
  <si>
    <t>Power unit
[kW]</t>
  </si>
  <si>
    <t>Total Power kW</t>
  </si>
  <si>
    <t>Dark rooms for ophthalmologists, soundproof cabin</t>
  </si>
  <si>
    <t>Room for temporary storage of roentgen film; Disinfectant storage room; Rooms and places for keeping portable equipment, stands; Lockers and sheds for storing patient belongings, for clean linen, Sorting rooms and linen storage.</t>
  </si>
  <si>
    <t>Sleep treatment room; the control room of the x-ray departments, the x-ray operations unit, the x-ray computed tomography room; Rooms for keeping dead bodies; Rooms for funeral accessories;</t>
  </si>
  <si>
    <t>Room for keeping and preparing plaster; Rooms for the preparation of paraffin, ozokerite, treatment of pads, washing and drying of sheets, cloths, tarpaulins, regeneration of mud; photo lab; The room of the disinfection rooms; Small animal and waste incineration rooms; Crematories for small animals; Feed room; Rooms for washing and sterilizing dishes, washing and drying films, sanitary room, rooms for enemas, sanitary filters; Passage corridors, vestibules;</t>
  </si>
  <si>
    <t>Changing room area; waiting room; barium preparation booth; Condenser room; Storage of radioactive substances;</t>
  </si>
  <si>
    <t>Lounges of psychiatric wards; Other lounges and bedrooms for mothers; Room for keeping: reagents; Storage rooms for biological, medical and diagnostic products, reagents, disinfectants, acids; Storage rooms for mobile team boxes;</t>
  </si>
  <si>
    <t>Dairy cooling room; Staircase, vestibule;</t>
  </si>
  <si>
    <t>Rooms for storing disinfection equipment and inventory, dirty and clean linen; Rooms of the current stock of medicines; Central material and linen rooms; Corridors in operating theaters, maternity wards, resuscitation and intensive care units, waiting corridors in ambulatory institutions and polyclinics; Corridors in lounge sections, main halls;</t>
  </si>
  <si>
    <t>Hall with oxygenation barochambers; procedure room for fluography; engineering room; Room for keeping: laboratory vessels;</t>
  </si>
  <si>
    <t>Blood storage room; Functional diagnostic rooms, endoscopy rooms; Hydrotherapy, therapeutic baths, shower rooms;</t>
  </si>
  <si>
    <t>Rooms with booths for duodenal sounding and gastric juice collection; Glass blowing room; Linear sector, to be glued;</t>
  </si>
  <si>
    <t>photo examination room of x-ray departments; Storage room for analyzes of patients undergoing research, extracts of solid and liquid radioactive waste; Wards of children's wards for newborns, postoperative wards, intensive care and glaucoma wards, filters and reception boxes, isolator; Rooms for receiving, issuing and recording tests, receiving and sorting samples;</t>
  </si>
  <si>
    <t>X-ray bronchoscopy and laparoscopy; The roentgen-diagnostic room, the roentgenoscopy procedure room, the generator room;</t>
  </si>
  <si>
    <t>Fotarii, rooms for electroluminotherapy, aeroionotherapy, thermotherapy, kinetherapy, massage, mechanotherapy, ultrasound, UHF;</t>
  </si>
  <si>
    <t>Dispatch room for receiving calls and directing emergency service crews; Milk filtering and bottling room; Room for the preparation of fermented dairy products and lactic acid mixtures; Rooms for the preparation and packaging of cow's cheese; Rooms for the preparation of fruits, vegetables and the preparation of fruit and vegetable mixtures, Rooms for the preparation of fish, meat and the preparation of fish and meat cuts; Offices of nurses, housewives, on-call nurse positions;</t>
  </si>
  <si>
    <t>Guard post;</t>
  </si>
  <si>
    <t>Preoperative room, room for observation during operations; Doctors' offices in outpatient clinics not listed above; Medical offices without receiving patients, staff room, training room / acquisition of methods; Occupational therapy;</t>
  </si>
  <si>
    <t>X-ray operating unit: X-ray operating room; X-ray computed tomography room: procedure room;</t>
  </si>
  <si>
    <t>Roentgen-therapy room: procedure room; Radiometry room, dosimetry; Radiotherapy room with high energy radiation, scanner room; Preparation and general clinical, hematological and biochemical, bacteriological, histological and cytological laboratories;</t>
  </si>
  <si>
    <t>Medical laboratory offices, blood sampling, cytological sampling, coagulography, photometry; Weighing room, thermostatic room, medium preparation room with medium pouring box, room for staining samples, centrifuge; Room for the repair and sharpening of surgical instruments; Rooms for the study of autopsy and biopsy material; Departments of radiology, radiochemistry, spectroscopy and polarography Rooms, acoustics laboratories, vibrations, electromagnetic fields, work physiology, can cooking, termite; Laundries;</t>
  </si>
  <si>
    <t>Procedure rooms: bacteriology, virology, toxicology; The offices of the chief physician, the deputy chief physician, the head of department;</t>
  </si>
  <si>
    <t>Rooms for the zoo-parasitologist for the reception and analysis of material infected with dangerous infections; Procedure room, handling, blood transfusion, BCG, defibrillation, acupuncture, pneumothorax;</t>
  </si>
  <si>
    <t>Operating room, hypothymia room, cystoscopy; Installation chambers for cardiopulmonary bypass, artificial kidney, etc.;</t>
  </si>
  <si>
    <t>Intracavitary gamma-therapy cabin; The dissection-autopsy room; Rooms for entomologists, helminthologists, virologists, bacteriologists, laboratory, chemical, biochemical laboratories, serological boxes, preparation rooms; Vivarium. Rooms for keeping animals;</t>
  </si>
  <si>
    <t>Delivery room, dialysis, resuscitation rooms, anesthesia, toilet for newborns; Bandage room (clean, purulent, plaster sectors); Angiography room; Offices for surgeons, obstetricians, gynecologists, traumatologists, paediatricians, specialists in infectious diseases, dermatovenerologists, allergists, dentists, examination, reception and examination boxes; Urgent analysis room, booths, serological examination rooms, colorimetric rooms, clerical laboratory; Working room for dental technicians, amalgam sector; Room for plaster, polymerisation; Rooms for epidemiologists, bacteriologists, booths for serological studies of particularly dangerous infections;</t>
  </si>
  <si>
    <t>Names of rooms</t>
  </si>
  <si>
    <t>The value of lighting, Emin, lx</t>
  </si>
  <si>
    <t>Decision nr. 748 of 28.09.2022 (in place since 01.10.2022)</t>
  </si>
  <si>
    <t>According to latest tariff</t>
  </si>
  <si>
    <t>Description of works</t>
  </si>
  <si>
    <t>Thermal insulation of walls</t>
  </si>
  <si>
    <t>For socle part of the wall thermal insulation with XPS of 150mm, λ max of 0.035 [W/(m∙K)] starting from underground -0.7m up to 0.3m above the ground. Above insulation applied waterproofing layer. Visible part of socle covered with granite or decorative stone glued with metal mesh.</t>
  </si>
  <si>
    <t>Thermal insulation of the roof</t>
  </si>
  <si>
    <t>Replacement of windows and doors</t>
  </si>
  <si>
    <t>Total for walls insulation</t>
  </si>
  <si>
    <t>Total for roof insulation</t>
  </si>
  <si>
    <t>Layers</t>
  </si>
  <si>
    <t>Thickness</t>
  </si>
  <si>
    <t>Thermal conductivity</t>
  </si>
  <si>
    <t>Thermal resistance</t>
  </si>
  <si>
    <t>Internal plaster</t>
  </si>
  <si>
    <t>Thermal resistance of interior surface</t>
  </si>
  <si>
    <t>Thermal resistance of exterior surface</t>
  </si>
  <si>
    <t>Heat transfer coefficient (U value)</t>
  </si>
  <si>
    <t>External plaster</t>
  </si>
  <si>
    <t>Concrete</t>
  </si>
  <si>
    <t>Concrete mixed with EPS (G-Sort)</t>
  </si>
  <si>
    <t>Concrete with stones</t>
  </si>
  <si>
    <t>Concrete with expanded clay</t>
  </si>
  <si>
    <t>Aerated concrete (YTONG)</t>
  </si>
  <si>
    <t>Aggregated slug (from boilers)</t>
  </si>
  <si>
    <t>Bitumen polimeric materials</t>
  </si>
  <si>
    <t>Wood (pine)</t>
  </si>
  <si>
    <t>Mosaic</t>
  </si>
  <si>
    <t>Marble</t>
  </si>
  <si>
    <t>Concrete/sand mix</t>
  </si>
  <si>
    <t>Limestone</t>
  </si>
  <si>
    <t>Bricks</t>
  </si>
  <si>
    <t>Hollow bricks</t>
  </si>
  <si>
    <t>Expanded clay</t>
  </si>
  <si>
    <t>Tile</t>
  </si>
  <si>
    <t>Clay layer with straw</t>
  </si>
  <si>
    <t>Expanded polysterene EPS</t>
  </si>
  <si>
    <t>Extruded polysterene XPS</t>
  </si>
  <si>
    <t>Mineral wool MW</t>
  </si>
  <si>
    <t>Magnesium oxide plate</t>
  </si>
  <si>
    <t>Decorative stone</t>
  </si>
  <si>
    <t>Win4, D4.</t>
  </si>
  <si>
    <t>Utilization factor</t>
  </si>
  <si>
    <t>Installed at Block 2</t>
  </si>
  <si>
    <r>
      <t>Average generation during warm period [kWh/m</t>
    </r>
    <r>
      <rPr>
        <b/>
        <sz val="9"/>
        <color theme="0"/>
        <rFont val="Calibri Light"/>
        <family val="2"/>
        <charset val="238"/>
      </rPr>
      <t>²</t>
    </r>
    <r>
      <rPr>
        <b/>
        <sz val="9"/>
        <color theme="0"/>
        <rFont val="Calibri"/>
        <family val="2"/>
        <charset val="238"/>
      </rPr>
      <t>]</t>
    </r>
  </si>
  <si>
    <t>Average generation during cold period
[kWh/m²]</t>
  </si>
  <si>
    <t>Hours of generation during warm period
[h]</t>
  </si>
  <si>
    <t>Hours of generation during cold period
[h]</t>
  </si>
  <si>
    <r>
      <t>Area of one solar collector
[m</t>
    </r>
    <r>
      <rPr>
        <b/>
        <sz val="9"/>
        <color theme="0"/>
        <rFont val="Calibri Light"/>
        <family val="2"/>
        <charset val="238"/>
      </rPr>
      <t>²</t>
    </r>
    <r>
      <rPr>
        <b/>
        <sz val="9"/>
        <color theme="0"/>
        <rFont val="Calibri"/>
        <family val="2"/>
        <charset val="238"/>
      </rPr>
      <t>]</t>
    </r>
  </si>
  <si>
    <t>Expansions tanks, valves, fitings, pipes &amp; insullation</t>
  </si>
  <si>
    <t>Other unforeseen works</t>
  </si>
  <si>
    <t>DHW distribution system replacement</t>
  </si>
  <si>
    <r>
      <t>Specific final thermal energy consumption for DHW [kWh/m</t>
    </r>
    <r>
      <rPr>
        <sz val="8"/>
        <color theme="1"/>
        <rFont val="Calibri Light"/>
        <family val="2"/>
        <charset val="238"/>
      </rPr>
      <t>²</t>
    </r>
    <r>
      <rPr>
        <sz val="8"/>
        <color theme="1"/>
        <rFont val="Times New Roman"/>
        <family val="1"/>
        <charset val="238"/>
      </rPr>
      <t>·</t>
    </r>
    <r>
      <rPr>
        <sz val="8"/>
        <color theme="1"/>
        <rFont val="Calibri"/>
        <family val="2"/>
      </rPr>
      <t>y]</t>
    </r>
  </si>
  <si>
    <r>
      <t>Specific final thermal energy consumption for heating [kWh/m</t>
    </r>
    <r>
      <rPr>
        <sz val="8"/>
        <color theme="1"/>
        <rFont val="Calibri Light"/>
        <family val="2"/>
        <charset val="238"/>
      </rPr>
      <t>²</t>
    </r>
    <r>
      <rPr>
        <sz val="8"/>
        <color theme="1"/>
        <rFont val="Times New Roman"/>
        <family val="1"/>
        <charset val="238"/>
      </rPr>
      <t>·</t>
    </r>
    <r>
      <rPr>
        <sz val="8"/>
        <color theme="1"/>
        <rFont val="Calibri"/>
        <family val="2"/>
      </rPr>
      <t>y]</t>
    </r>
  </si>
  <si>
    <r>
      <t>Specific final electrical energy consumption [kWh/m</t>
    </r>
    <r>
      <rPr>
        <sz val="8"/>
        <color theme="1"/>
        <rFont val="Calibri Light"/>
        <family val="2"/>
        <charset val="238"/>
      </rPr>
      <t>²</t>
    </r>
    <r>
      <rPr>
        <sz val="8"/>
        <color theme="1"/>
        <rFont val="Times New Roman"/>
        <family val="1"/>
        <charset val="238"/>
      </rPr>
      <t>·</t>
    </r>
    <r>
      <rPr>
        <sz val="8"/>
        <color theme="1"/>
        <rFont val="Calibri"/>
        <family val="2"/>
      </rPr>
      <t>y]</t>
    </r>
  </si>
  <si>
    <t>Actual according to the bills</t>
  </si>
  <si>
    <t>Standardized before renovation</t>
  </si>
  <si>
    <t>Standardized after renovation</t>
  </si>
  <si>
    <t>Actually installed air conditioners</t>
  </si>
  <si>
    <t>Installed air conditioner systems</t>
  </si>
  <si>
    <t>Installed power
[kW]</t>
  </si>
  <si>
    <t>Gains heating season</t>
  </si>
  <si>
    <t>Gains cooling season</t>
  </si>
  <si>
    <t>DHW needs and distribution</t>
  </si>
  <si>
    <t>Investment cost for fully functional freon based system which includes compressor-condensate units with heat pump function and distribution system connected to AHU units</t>
  </si>
  <si>
    <t>No of openings</t>
  </si>
  <si>
    <t>Annual electrical energy consumption for mechanical ventilation before renovation</t>
  </si>
  <si>
    <t>Annual electrical energy savings from mechanical ventilation</t>
  </si>
  <si>
    <t>Split systems</t>
  </si>
  <si>
    <r>
      <t xml:space="preserve">Q </t>
    </r>
    <r>
      <rPr>
        <b/>
        <sz val="8"/>
        <color theme="0"/>
        <rFont val="Calibri"/>
        <family val="2"/>
        <charset val="238"/>
        <scheme val="minor"/>
      </rPr>
      <t>cooling</t>
    </r>
    <r>
      <rPr>
        <b/>
        <sz val="9"/>
        <color theme="0"/>
        <rFont val="Calibri"/>
        <family val="2"/>
        <charset val="238"/>
        <scheme val="minor"/>
      </rPr>
      <t xml:space="preserve">
[kWh/y]</t>
    </r>
  </si>
  <si>
    <t>Total electrical energy consumption used for cooling before renovation</t>
  </si>
  <si>
    <t>Equipment heat gains before renovation</t>
  </si>
  <si>
    <t>Equipment heat gains after renovation</t>
  </si>
  <si>
    <t>Annual heat gains from equipment
[kWh/y]</t>
  </si>
  <si>
    <t>Solar heat gains
[kWh/y]</t>
  </si>
  <si>
    <t xml:space="preserve">Seasonal Coefficient of Performance (SEER) </t>
  </si>
  <si>
    <t>Electrical energy used for cooling purposes [kWh/y]</t>
  </si>
  <si>
    <t xml:space="preserve">Total </t>
  </si>
  <si>
    <t>Total needs for cooling
[kWh/y]</t>
  </si>
  <si>
    <t>Seasonal Energy Efficiency Ratio (SEER) after renovation</t>
  </si>
  <si>
    <t>Measured data. kWh</t>
  </si>
  <si>
    <t>wooden openings</t>
  </si>
  <si>
    <t>bad PVC</t>
  </si>
  <si>
    <t>new PVC</t>
  </si>
  <si>
    <t>Temperatura medie a agentului termic  – 60[°C]</t>
  </si>
  <si>
    <t>Ventilation and air conditioning units</t>
  </si>
  <si>
    <t>Annual electrical energy consumption for mechanical ventilation after renovation</t>
  </si>
  <si>
    <t>Vitosol 200-t</t>
  </si>
  <si>
    <t>litres</t>
  </si>
  <si>
    <t>MD average daily warm kWh/m2y</t>
  </si>
  <si>
    <t>MD average daily cold kWh/m2y</t>
  </si>
  <si>
    <t>kWh/m2 cold</t>
  </si>
  <si>
    <t>kWh/m2 warm</t>
  </si>
  <si>
    <t>Concrete hollow panels</t>
  </si>
  <si>
    <t>Column1</t>
  </si>
  <si>
    <t>Bitubular distribution of PP-RCT/PP-RCT+BF/PP-RCT pipe insulated with expended polyethene with a thickness of at least 25mm including fitings.</t>
  </si>
  <si>
    <t>Labour for uninstall the old system and install the new one.</t>
  </si>
  <si>
    <t>Temperatura medie a agentului termic  asumata – 60[°C]</t>
  </si>
  <si>
    <t>60 assumed</t>
  </si>
  <si>
    <t>DATA</t>
  </si>
  <si>
    <t>Invisible</t>
  </si>
  <si>
    <t>difference</t>
  </si>
  <si>
    <t>Percentage</t>
  </si>
  <si>
    <t>Text</t>
  </si>
  <si>
    <t>Actual energy consumption according to the bills before renovation</t>
  </si>
  <si>
    <t>Energy needs based on standardized conditions before renovation</t>
  </si>
  <si>
    <t>Energy needs based on standardized conditions after renovation</t>
  </si>
  <si>
    <t>Win1</t>
  </si>
  <si>
    <t>Win2</t>
  </si>
  <si>
    <t>Win3</t>
  </si>
  <si>
    <t>W1</t>
  </si>
  <si>
    <t>P6</t>
  </si>
  <si>
    <t>P7</t>
  </si>
  <si>
    <t>P8</t>
  </si>
  <si>
    <t>P9</t>
  </si>
  <si>
    <t>P10</t>
  </si>
  <si>
    <t>P11</t>
  </si>
  <si>
    <t>P12</t>
  </si>
  <si>
    <t>P13</t>
  </si>
  <si>
    <t>Internal plaster 10mm, Prefabricated concrete panels filled with ceramzit 350 mm</t>
  </si>
  <si>
    <t>Socle 1. (heated space)</t>
  </si>
  <si>
    <t>Socle 1. (unheated space)</t>
  </si>
  <si>
    <t>Roof in contact with unheated space (technical floor). Internal plaster 10mm, Concrete Panel 220mm, Expanded clay 50mm, Concrete 50mm</t>
  </si>
  <si>
    <t>Roof in contact with environment. Internal plaster 10mm, Concrete Panel 220mm, Cheramzit 50mm, Concrete 50mm, Bitumen 6mm</t>
  </si>
  <si>
    <t>Floor in contact with environment. Concrete panel 220mm, cheramzit 50mm, cocnrete sand mix 50mm, Marble 30mm</t>
  </si>
  <si>
    <t>W2 (unheated)</t>
  </si>
  <si>
    <t>heat losses do not calc</t>
  </si>
  <si>
    <t>Internal plaster 10mm, Prefabricated concrete panels filled with ceramzit 350 mm, external plaster 10mm.</t>
  </si>
  <si>
    <t>Socle area in contact with environment. Prefabricated concrete panels filled with ceramzit 350 mm, Concrete/sand mix 20mm, Decorative stone 30mm.</t>
  </si>
  <si>
    <t>Electric stove</t>
  </si>
  <si>
    <t>Meat grinder</t>
  </si>
  <si>
    <t xml:space="preserve">Laundry technological equipment </t>
  </si>
  <si>
    <t>Washing machine</t>
  </si>
  <si>
    <t>Computers</t>
  </si>
  <si>
    <t>Printers</t>
  </si>
  <si>
    <t>Elevators</t>
  </si>
  <si>
    <t>Calculation of Uvalue for external wall before renovation (W1)</t>
  </si>
  <si>
    <t>Calculation of Uvalue for external wall after renovation (W1)</t>
  </si>
  <si>
    <t>Calculation of Uvalue for external socle before renovation (Socle1)(heated space)</t>
  </si>
  <si>
    <t>Calculation of Uvalue for external socle after renovation (Socle1)(heated space)</t>
  </si>
  <si>
    <t>Calculation of Uvalue for external socle before renovation (Socle2)</t>
  </si>
  <si>
    <t>Calculation of Uvalue for external roof before renovation (R1)</t>
  </si>
  <si>
    <t>Calculation of Uvalue for external roof after renovation (R1)</t>
  </si>
  <si>
    <t>Calculation of Uvalue for external roof before renovation (R2)</t>
  </si>
  <si>
    <t>Calculation of Uvalue for external roof after renovation (R2)</t>
  </si>
  <si>
    <t>Calculation of Uvalue for external floor before renovation (F1)</t>
  </si>
  <si>
    <t>Calculation of Uvalue for external floor after renovation (F1)</t>
  </si>
  <si>
    <t>Calculation of Uvalue for external floor before renovation (F2)</t>
  </si>
  <si>
    <t>Calculation of Uvalue for external floor after renovation (F2)</t>
  </si>
  <si>
    <t>W1, W2</t>
  </si>
  <si>
    <t>Socle 1</t>
  </si>
  <si>
    <t>Basement ceiling and floors in contact with environment insulation with 150 mm of MW with a thermal conductivity of λ = 0.038 W / (mK) by gluing and fixing with dowels the MW boards to the basement ceiling, covering MW boards with mesh and plaster, application of white paint for asthetic view of surface.</t>
  </si>
  <si>
    <t>F1, F2</t>
  </si>
  <si>
    <t>AHU's with heat recovery</t>
  </si>
  <si>
    <t>PVC framed, 5 camera, double glazed [4mm (Low-e &lt; 0.1) - 20 Ar - 4mm] .</t>
  </si>
  <si>
    <t>PVC framed, 5 camera, sandwich panel 28 mm, double glazed [4mm (Low-e &lt; 0.1) - 20 Ar - 4mm] .</t>
  </si>
  <si>
    <t>Replacing the existing openings with PVC framed, 5 camera, double glazed [4mm (Low-e &lt; 0.1) - 20 Ar - 4mm] with maximum Uvalue for windows of 1.5 [W/m²K] and for doors 1.8 [W/m²K] with U shape metal reinforcement of at least 1.5mm. Doors to be equipped with automatic closing devices and aluminium dorstep. Vapor barrier membrane applied on the perimeter of PVC frame from inside and breathable membrane from outside. Insulation of perimeter of openings from inside and outside with high density MW  of at least 40mm thick.</t>
  </si>
  <si>
    <t>Decision nr. 910 of 08.12.2022</t>
  </si>
  <si>
    <t>Floor in contact with unheated space. Concrete panel 220mm, cheramzit 50mm, cocnrete sand mix 50mm, Marble 30mm</t>
  </si>
  <si>
    <t>Before implementation</t>
  </si>
  <si>
    <t>After implementation</t>
  </si>
  <si>
    <t xml:space="preserve">Modernization of IHS </t>
  </si>
  <si>
    <t>Thermal insulation of the flat roof in contact with environment performed by removal of old layers, application of anticondens membrane, MW of 150mm thick and λ  of  MW 0.038 [W/(m∙K)], breathable membrane, concrete screw of 50mm thick with reinforce mesh, levelled to a smooth surface with angles for water drainage, rehabilitation of gatters, roof perimeter parapet, vent shafts and other, covered with PVC membrane of at least 2mm thick.
Thermal insulation of the attic floor performed by removal of old layers, application of anticondens membrane, MW of 150mm thick and λ  of  MW 0.038 [W/(m∙K)], breathable membrane, concrete screw of 50mm thick with reinforce mesh. Flat roof above the attic cleaned, levelled to a smooth surface with angles for water drainage, rehabilitation of gatters, roof perimeter parapet, vent shafts and other, application of PVC membrane of at least 2mm thick</t>
  </si>
  <si>
    <t>Thermal insulation of floors</t>
  </si>
  <si>
    <t>Installation of LED lighting and replacing of distribution system</t>
  </si>
  <si>
    <t>Replacement of inneficient electrical equipment</t>
  </si>
  <si>
    <t>Installation of centralized air cooling system</t>
  </si>
  <si>
    <t>Installation of PV system</t>
  </si>
  <si>
    <t>Installation of shading elements at the windows</t>
  </si>
  <si>
    <r>
      <t>Internal Rate of Return based on standardized conditions (IRR</t>
    </r>
    <r>
      <rPr>
        <sz val="10"/>
        <color theme="1"/>
        <rFont val="Calibri"/>
        <family val="2"/>
        <charset val="238"/>
      </rPr>
      <t>¹</t>
    </r>
    <r>
      <rPr>
        <sz val="10"/>
        <color theme="1"/>
        <rFont val="Calibri"/>
        <family val="2"/>
        <charset val="238"/>
        <scheme val="minor"/>
      </rPr>
      <t>)</t>
    </r>
  </si>
  <si>
    <r>
      <t>Internal Rate of Return based on actual conditions (IRR</t>
    </r>
    <r>
      <rPr>
        <sz val="10"/>
        <color theme="1"/>
        <rFont val="Calibri"/>
        <family val="2"/>
        <charset val="238"/>
      </rPr>
      <t>²</t>
    </r>
    <r>
      <rPr>
        <sz val="10"/>
        <color theme="1"/>
        <rFont val="Calibri"/>
        <family val="2"/>
        <charset val="238"/>
        <scheme val="minor"/>
      </rPr>
      <t>)</t>
    </r>
  </si>
  <si>
    <t>3-DMTT</t>
  </si>
  <si>
    <t>P14</t>
  </si>
  <si>
    <t xml:space="preserve">A blok </t>
  </si>
  <si>
    <t>B blok</t>
  </si>
  <si>
    <t>C blok</t>
  </si>
  <si>
    <t>Anul 2023</t>
  </si>
  <si>
    <t>Anul 2024</t>
  </si>
  <si>
    <t>Anul 2025</t>
  </si>
  <si>
    <t>Electrical technological devices</t>
  </si>
  <si>
    <t>TV</t>
  </si>
  <si>
    <t>Termos</t>
  </si>
  <si>
    <t>Refrigerators (new)</t>
  </si>
  <si>
    <t>Refrigerators (old)</t>
  </si>
  <si>
    <t>Proektor</t>
  </si>
  <si>
    <t>Dazmol</t>
  </si>
  <si>
    <t>[m3]</t>
  </si>
  <si>
    <t>[so'm]</t>
  </si>
  <si>
    <t>Tarif [so'm/kWh]</t>
  </si>
  <si>
    <t>Tarif [so'm/m3]</t>
  </si>
  <si>
    <t>Sintipon prokladka</t>
  </si>
  <si>
    <t>Gidro-bugʻ izolyatsiyasi (Ustki)</t>
  </si>
  <si>
    <t>Tunika shifer</t>
  </si>
  <si>
    <t>Tashqi muhit bilan aloqada bo'lgan vertikal element (masalan, devor)</t>
  </si>
  <si>
    <t>Isitilgan makon bilan aloqada bo'lgan devor</t>
  </si>
  <si>
    <t>Yer bilan aloqada bo'lgan devor (vertikal)</t>
  </si>
  <si>
    <t>Tom tashqi muhit bilan aloqada</t>
  </si>
  <si>
    <t>Isitilmagan makon ostidagi shift</t>
  </si>
  <si>
    <t>Ochiq maydon ustidagi pol</t>
  </si>
  <si>
    <t>Isitilgan maydon ustidagi pol</t>
  </si>
  <si>
    <t>Yer bilan aloqada pol</t>
  </si>
  <si>
    <t>Bo'shliqli beton panel 220mm</t>
  </si>
  <si>
    <t>Mavjud egzoz ventilyatori</t>
  </si>
  <si>
    <t>20-30</t>
  </si>
  <si>
    <t>Pol taxta</t>
  </si>
  <si>
    <t>Gips (Гипс)</t>
  </si>
  <si>
    <t>Gipsokarton (Гипсокартон)</t>
  </si>
  <si>
    <t>Tsement-qum qorishmasi</t>
  </si>
  <si>
    <t>Ohak-qum qorishmasi</t>
  </si>
  <si>
    <t>Parket, laminat, linoleum</t>
  </si>
  <si>
    <t>ARISTON</t>
  </si>
  <si>
    <t>Investment [USD]</t>
  </si>
  <si>
    <t>[USD]</t>
  </si>
  <si>
    <t>Unit cost
[USD]</t>
  </si>
  <si>
    <t>Total Investment 
[USD]</t>
  </si>
  <si>
    <t>Fitings
[USD]</t>
  </si>
  <si>
    <t>Labour
[USD]</t>
  </si>
  <si>
    <t>Total
[USD]</t>
  </si>
  <si>
    <t>Price per unit
[USD]</t>
  </si>
  <si>
    <t>Total 
[USD]</t>
  </si>
  <si>
    <t>Cost
[USD]</t>
  </si>
  <si>
    <t>Estimated initial investment (I), [USD]</t>
  </si>
  <si>
    <t>Maintenance costs (CM), [USD]</t>
  </si>
  <si>
    <t>Gross standard savings, [USD]</t>
  </si>
  <si>
    <t>Gross actual savings, [USD]</t>
  </si>
  <si>
    <t>Net standard savings, [USD]</t>
  </si>
  <si>
    <t>Net actual savings, [USD]</t>
  </si>
  <si>
    <t>Actualized standardized net savings, [USD]</t>
  </si>
  <si>
    <t>Actualized actual net savings, [USD]</t>
  </si>
  <si>
    <t>Standardized NPV¹, [USD]</t>
  </si>
  <si>
    <t>Actual NPV², [USD]</t>
  </si>
  <si>
    <t>Accumulated net discounted standardized savings, [USD]</t>
  </si>
  <si>
    <t>Accumulated net discounted actual savings, [USD]</t>
  </si>
  <si>
    <t>Cost
[USD/m²]</t>
  </si>
  <si>
    <t>Cost
[USD/unit]</t>
  </si>
  <si>
    <t>Compressor-Condensing Units equipped with heat pump function with Seasonal Energy Efficiency Ratio (SEER) of at least 8.5 
[USD/kW]</t>
  </si>
  <si>
    <t>Unit cost
[USD/kW]</t>
  </si>
  <si>
    <t>Instalaltion of exterior fixed horizontal shading elements at the windows performed from: at least 1mm thick stainless steel applied powder paint layer in spray chamber, polymerization of powder coating in a polymerization stove.
[USD/unit]</t>
  </si>
  <si>
    <t>Energy cost [USD/kWh]</t>
  </si>
  <si>
    <t>Cost
[USD/m³]</t>
  </si>
  <si>
    <t>Pipe price
[USD/m]</t>
  </si>
  <si>
    <t>Insulation price
[USD/m]</t>
  </si>
  <si>
    <t>Total
[USD/m]</t>
  </si>
  <si>
    <t>Unit cost
[USD/m]</t>
  </si>
  <si>
    <t>Unit cost [USD]</t>
  </si>
  <si>
    <t>Total cost [USD]</t>
  </si>
  <si>
    <r>
      <t xml:space="preserve">in case of external networks, using pipes 65-100mm:
1. to replace the description with: Steel electric welved pipe, placed in concrete channels at 1m depth in the ground, treated with anticorrosion, insulated with high density MW of at least 40mm covered with aluminum foil including fitings and labour. Asphalt or tile rehabilitaiton included.
2. to replace unit price of </t>
    </r>
    <r>
      <rPr>
        <sz val="11"/>
        <color rgb="FFFF0000"/>
        <rFont val="Calibri"/>
        <family val="2"/>
        <charset val="238"/>
        <scheme val="minor"/>
      </rPr>
      <t>61</t>
    </r>
    <r>
      <rPr>
        <sz val="11"/>
        <color theme="1"/>
        <rFont val="Calibri"/>
        <family val="2"/>
        <scheme val="minor"/>
      </rPr>
      <t xml:space="preserve"> USD/m2 with </t>
    </r>
    <r>
      <rPr>
        <sz val="11"/>
        <color rgb="FFFF0000"/>
        <rFont val="Calibri"/>
        <family val="2"/>
        <charset val="238"/>
        <scheme val="minor"/>
      </rPr>
      <t>340</t>
    </r>
    <r>
      <rPr>
        <sz val="11"/>
        <color theme="1"/>
        <rFont val="Calibri"/>
        <family val="2"/>
        <scheme val="minor"/>
      </rPr>
      <t xml:space="preserve"> USD/m2  </t>
    </r>
  </si>
  <si>
    <t>https://het.uz/oz/pages/calculator</t>
  </si>
  <si>
    <t>USD with VAT</t>
  </si>
  <si>
    <t>USD</t>
  </si>
  <si>
    <t>UZS</t>
  </si>
  <si>
    <t>https://hududgaz.uz/page;jsessionid=B21BB394CB88E48358C217C8CEA6FF50?0&amp;m=323</t>
  </si>
  <si>
    <t>so'm/kWh</t>
  </si>
  <si>
    <t>Issiqlik energiyasi (1 Gkal)</t>
  </si>
  <si>
    <t>Elektr energiyasi (kWh)</t>
  </si>
  <si>
    <t>Tabiiy gaz (m3)</t>
  </si>
  <si>
    <t>GAS</t>
  </si>
  <si>
    <t>so'm/m3</t>
  </si>
  <si>
    <t>so'm/gcal</t>
  </si>
  <si>
    <t>https://lex.uz/uz/docs/-8195731</t>
  </si>
  <si>
    <t>UZS with VAT</t>
  </si>
  <si>
    <t>Davr</t>
  </si>
  <si>
    <t>Electrical Energy</t>
  </si>
  <si>
    <t>Expenses</t>
  </si>
  <si>
    <t>Wallmounted AHU units with heat recover 85%</t>
  </si>
  <si>
    <t>Induction stove</t>
  </si>
  <si>
    <t>Refrigerater A++</t>
  </si>
  <si>
    <t>Gas boiler</t>
  </si>
  <si>
    <r>
      <t>Internal Rate of Return based on actual conditions (IRR</t>
    </r>
    <r>
      <rPr>
        <sz val="9"/>
        <color rgb="FFFF0000"/>
        <rFont val="Calibri"/>
        <family val="2"/>
        <charset val="238"/>
      </rPr>
      <t>²</t>
    </r>
    <r>
      <rPr>
        <sz val="9"/>
        <color rgb="FFFF0000"/>
        <rFont val="Calibri"/>
        <family val="2"/>
        <charset val="238"/>
        <scheme val="minor"/>
      </rPr>
      <t>)</t>
    </r>
  </si>
  <si>
    <t>Replacement of gas boiler</t>
  </si>
  <si>
    <t>Mineral wool MW 150</t>
  </si>
  <si>
    <t>Aluminum frame 4-40-4, double glazed [3-12-3mm]</t>
  </si>
  <si>
    <t>Elektr kabellarini va tarqatish shkaflarini almashtirish</t>
  </si>
  <si>
    <t>Eski kabel izolyatsiyasi yaroqsiz, qisqa tutashuv xavfi. Yoritish va asbob-uskunalarni yangilashda majburiy.</t>
  </si>
  <si>
    <t>Ichki devorlarni gipslash va bo‘yash (fasad ichki qismi)</t>
  </si>
  <si>
    <t>Izolyatsiya va deraza o‘rnatishdan keyin devorlar shikastlanadi, ularni tekislash va bo‘yash kerak.</t>
  </si>
  <si>
    <t>Eski isitish quvurlarini (podvalda) demontaj qilish</t>
  </si>
  <si>
    <t>Agar tizim butunlay almashtirilayotgan bo‘lsa, eski quvurlarni olib tashlash kerak.</t>
  </si>
  <si>
    <r>
      <t>Thermal insulation of external walls with MW of 100mm, density of at least 120kg/m</t>
    </r>
    <r>
      <rPr>
        <sz val="9"/>
        <color rgb="FF000000"/>
        <rFont val="Calibri"/>
        <family val="2"/>
        <charset val="238"/>
      </rPr>
      <t>³, λ max of 0.038 [W/(m∙K)] starting from 0.3m above the ground.</t>
    </r>
  </si>
  <si>
    <t>Тошкент вилояти</t>
  </si>
  <si>
    <t xml:space="preserve">Тошкент </t>
  </si>
  <si>
    <t xml:space="preserve">1,9 </t>
  </si>
  <si>
    <t xml:space="preserve">3,9 </t>
  </si>
  <si>
    <t xml:space="preserve">9,4 </t>
  </si>
  <si>
    <t xml:space="preserve">15,5 </t>
  </si>
  <si>
    <t xml:space="preserve">20,5 </t>
  </si>
  <si>
    <t xml:space="preserve">25,8 </t>
  </si>
  <si>
    <t xml:space="preserve">27,8 </t>
  </si>
  <si>
    <t xml:space="preserve">26,2 </t>
  </si>
  <si>
    <t xml:space="preserve">20,6 </t>
  </si>
  <si>
    <t xml:space="preserve">13,8 </t>
  </si>
  <si>
    <t xml:space="preserve">8,5 </t>
  </si>
  <si>
    <t xml:space="preserve">3,5 </t>
  </si>
  <si>
    <t xml:space="preserve">14,8 </t>
  </si>
  <si>
    <t xml:space="preserve">44.6/1997 </t>
  </si>
  <si>
    <t xml:space="preserve">35,6 </t>
  </si>
  <si>
    <t>-1,5</t>
  </si>
  <si>
    <t xml:space="preserve">Янгийўл </t>
  </si>
  <si>
    <t xml:space="preserve">0,4 </t>
  </si>
  <si>
    <t xml:space="preserve">2,9 </t>
  </si>
  <si>
    <t xml:space="preserve">9,0 </t>
  </si>
  <si>
    <t xml:space="preserve">15,6 </t>
  </si>
  <si>
    <t xml:space="preserve">21,1 </t>
  </si>
  <si>
    <t xml:space="preserve">26,3 </t>
  </si>
  <si>
    <t xml:space="preserve">25,7 </t>
  </si>
  <si>
    <t xml:space="preserve">20,2 </t>
  </si>
  <si>
    <t xml:space="preserve">13,5 </t>
  </si>
  <si>
    <t xml:space="preserve">7,3 </t>
  </si>
  <si>
    <t xml:space="preserve">1,7 </t>
  </si>
  <si>
    <t xml:space="preserve">14,3 </t>
  </si>
  <si>
    <t xml:space="preserve">45.5/1998 </t>
  </si>
  <si>
    <t xml:space="preserve">36,2 </t>
  </si>
  <si>
    <t>-3,1</t>
  </si>
  <si>
    <t xml:space="preserve">Туябўғуз </t>
  </si>
  <si>
    <t xml:space="preserve">1,1 </t>
  </si>
  <si>
    <t xml:space="preserve">9,3 </t>
  </si>
  <si>
    <t xml:space="preserve">16,0 </t>
  </si>
  <si>
    <t xml:space="preserve">21,2 </t>
  </si>
  <si>
    <t xml:space="preserve">26,1 </t>
  </si>
  <si>
    <t xml:space="preserve">14,5 </t>
  </si>
  <si>
    <t xml:space="preserve">8,3 </t>
  </si>
  <si>
    <t xml:space="preserve">2,6 </t>
  </si>
  <si>
    <t xml:space="preserve">42.7/1983 </t>
  </si>
  <si>
    <t xml:space="preserve">35,2 </t>
  </si>
  <si>
    <t>-2,1</t>
  </si>
  <si>
    <t xml:space="preserve">Кўкорол </t>
  </si>
  <si>
    <t xml:space="preserve">-0,1 </t>
  </si>
  <si>
    <t xml:space="preserve">2,5 </t>
  </si>
  <si>
    <t xml:space="preserve">8,6 </t>
  </si>
  <si>
    <t xml:space="preserve">15,3 </t>
  </si>
  <si>
    <t xml:space="preserve">20,3 </t>
  </si>
  <si>
    <t xml:space="preserve">24,7 </t>
  </si>
  <si>
    <t xml:space="preserve">23,6 </t>
  </si>
  <si>
    <t xml:space="preserve">18,4 </t>
  </si>
  <si>
    <t xml:space="preserve">12,4 </t>
  </si>
  <si>
    <t xml:space="preserve">6,6 </t>
  </si>
  <si>
    <t xml:space="preserve">1,2 </t>
  </si>
  <si>
    <t xml:space="preserve">13,3 </t>
  </si>
  <si>
    <t xml:space="preserve">46.1/1944 </t>
  </si>
  <si>
    <t xml:space="preserve">34,3 </t>
  </si>
  <si>
    <t>-3,8</t>
  </si>
  <si>
    <t xml:space="preserve">Далварзин </t>
  </si>
  <si>
    <t xml:space="preserve">1,5 </t>
  </si>
  <si>
    <t xml:space="preserve">4,1 </t>
  </si>
  <si>
    <t xml:space="preserve">9,9 </t>
  </si>
  <si>
    <t xml:space="preserve">16,5 </t>
  </si>
  <si>
    <t xml:space="preserve">21,8 </t>
  </si>
  <si>
    <t xml:space="preserve">26,7 </t>
  </si>
  <si>
    <t xml:space="preserve">27,7 </t>
  </si>
  <si>
    <t xml:space="preserve">25,4 </t>
  </si>
  <si>
    <t xml:space="preserve">14,1 </t>
  </si>
  <si>
    <t xml:space="preserve">14,9 </t>
  </si>
  <si>
    <t xml:space="preserve">43.5/2005 </t>
  </si>
  <si>
    <t>-2,2</t>
  </si>
  <si>
    <t xml:space="preserve">Бекобод </t>
  </si>
  <si>
    <t xml:space="preserve">1,6 </t>
  </si>
  <si>
    <t xml:space="preserve">3,8 </t>
  </si>
  <si>
    <t xml:space="preserve">9,8 </t>
  </si>
  <si>
    <t xml:space="preserve">16,4 </t>
  </si>
  <si>
    <t xml:space="preserve">21,6 </t>
  </si>
  <si>
    <t xml:space="preserve">26,4 </t>
  </si>
  <si>
    <t xml:space="preserve">27,6 </t>
  </si>
  <si>
    <t xml:space="preserve">25,5 </t>
  </si>
  <si>
    <t xml:space="preserve">20,4 </t>
  </si>
  <si>
    <t xml:space="preserve">14,2 </t>
  </si>
  <si>
    <t xml:space="preserve">3,0 </t>
  </si>
  <si>
    <t xml:space="preserve">43.8/1944 </t>
  </si>
  <si>
    <t xml:space="preserve">34,8 </t>
  </si>
  <si>
    <t>-0,9</t>
  </si>
  <si>
    <t xml:space="preserve">Олмалиқ </t>
  </si>
  <si>
    <t xml:space="preserve">3,7 </t>
  </si>
  <si>
    <t xml:space="preserve">15,8 </t>
  </si>
  <si>
    <t xml:space="preserve">26,6 </t>
  </si>
  <si>
    <t xml:space="preserve">28,2 </t>
  </si>
  <si>
    <t xml:space="preserve">14,6 </t>
  </si>
  <si>
    <t xml:space="preserve">3,2 </t>
  </si>
  <si>
    <t xml:space="preserve">15,0 </t>
  </si>
  <si>
    <t xml:space="preserve">43.5/1993 </t>
  </si>
  <si>
    <t xml:space="preserve">Ангрен </t>
  </si>
  <si>
    <t xml:space="preserve">0,9 </t>
  </si>
  <si>
    <t xml:space="preserve">2,3 </t>
  </si>
  <si>
    <t xml:space="preserve">7,4 </t>
  </si>
  <si>
    <t xml:space="preserve">13,6 </t>
  </si>
  <si>
    <t xml:space="preserve">18,5 </t>
  </si>
  <si>
    <t xml:space="preserve">23,7 </t>
  </si>
  <si>
    <t xml:space="preserve">24,5 </t>
  </si>
  <si>
    <t xml:space="preserve">19,5 </t>
  </si>
  <si>
    <t xml:space="preserve">12,8 </t>
  </si>
  <si>
    <t xml:space="preserve">7,7 </t>
  </si>
  <si>
    <t xml:space="preserve">42.6/1944 </t>
  </si>
  <si>
    <t xml:space="preserve">32,1 </t>
  </si>
  <si>
    <t>-2,7</t>
  </si>
  <si>
    <t xml:space="preserve">Бошқизилсой </t>
  </si>
  <si>
    <t xml:space="preserve">-0,4 </t>
  </si>
  <si>
    <t xml:space="preserve">5,4 </t>
  </si>
  <si>
    <t xml:space="preserve">11,4 </t>
  </si>
  <si>
    <t xml:space="preserve">15,9 </t>
  </si>
  <si>
    <t xml:space="preserve">22,6 </t>
  </si>
  <si>
    <t xml:space="preserve">17,5 </t>
  </si>
  <si>
    <t xml:space="preserve">10,9 </t>
  </si>
  <si>
    <t xml:space="preserve">6,1 </t>
  </si>
  <si>
    <t xml:space="preserve">40.0/1984 </t>
  </si>
  <si>
    <t xml:space="preserve">30,0 </t>
  </si>
  <si>
    <t>-3,4</t>
  </si>
  <si>
    <t xml:space="preserve">Сўқоқ </t>
  </si>
  <si>
    <t xml:space="preserve">0,1 </t>
  </si>
  <si>
    <t xml:space="preserve">1,0 </t>
  </si>
  <si>
    <t xml:space="preserve">5,1 </t>
  </si>
  <si>
    <t xml:space="preserve">11,2 </t>
  </si>
  <si>
    <t xml:space="preserve">15,7 </t>
  </si>
  <si>
    <t xml:space="preserve">21,0 </t>
  </si>
  <si>
    <t xml:space="preserve">23,2 </t>
  </si>
  <si>
    <t xml:space="preserve">22,4 </t>
  </si>
  <si>
    <t xml:space="preserve">17,6 </t>
  </si>
  <si>
    <t xml:space="preserve">11,5 </t>
  </si>
  <si>
    <t xml:space="preserve">37.2/1983 </t>
  </si>
  <si>
    <t xml:space="preserve">28,6 </t>
  </si>
  <si>
    <t>-3,3</t>
  </si>
  <si>
    <t xml:space="preserve">Дукент </t>
  </si>
  <si>
    <t xml:space="preserve">-2,9 </t>
  </si>
  <si>
    <t xml:space="preserve">-2,4 </t>
  </si>
  <si>
    <t xml:space="preserve">7,5 </t>
  </si>
  <si>
    <t xml:space="preserve">11,9 </t>
  </si>
  <si>
    <t xml:space="preserve">17,0 </t>
  </si>
  <si>
    <t xml:space="preserve">19,6 </t>
  </si>
  <si>
    <t xml:space="preserve">19,2 </t>
  </si>
  <si>
    <t xml:space="preserve">14,7 </t>
  </si>
  <si>
    <t xml:space="preserve">3,6 </t>
  </si>
  <si>
    <t xml:space="preserve">-0,6 </t>
  </si>
  <si>
    <t xml:space="preserve">8,1 </t>
  </si>
  <si>
    <t xml:space="preserve">35.2/1983,2008 </t>
  </si>
  <si>
    <t>-5,9</t>
  </si>
  <si>
    <t xml:space="preserve">Чимён </t>
  </si>
  <si>
    <t xml:space="preserve">-2,1 </t>
  </si>
  <si>
    <t xml:space="preserve">2,0 </t>
  </si>
  <si>
    <t xml:space="preserve">8,4 </t>
  </si>
  <si>
    <t xml:space="preserve">13,1 </t>
  </si>
  <si>
    <t xml:space="preserve">18,3 </t>
  </si>
  <si>
    <t xml:space="preserve">20,8 </t>
  </si>
  <si>
    <t xml:space="preserve">4,0 </t>
  </si>
  <si>
    <t xml:space="preserve">8,8 </t>
  </si>
  <si>
    <t xml:space="preserve">35.2/2008 </t>
  </si>
  <si>
    <t>-6,0</t>
  </si>
  <si>
    <t xml:space="preserve">Пскем </t>
  </si>
  <si>
    <t xml:space="preserve">-1,7 </t>
  </si>
  <si>
    <t xml:space="preserve">10,1 </t>
  </si>
  <si>
    <t xml:space="preserve">18,8 </t>
  </si>
  <si>
    <t xml:space="preserve">21,7 </t>
  </si>
  <si>
    <t xml:space="preserve">16,8 </t>
  </si>
  <si>
    <t xml:space="preserve">4,5 </t>
  </si>
  <si>
    <t xml:space="preserve">-0,7 </t>
  </si>
  <si>
    <t xml:space="preserve">9,7 </t>
  </si>
  <si>
    <t xml:space="preserve">41.7/1983 </t>
  </si>
  <si>
    <t xml:space="preserve">29,8 </t>
  </si>
  <si>
    <t>-6,5</t>
  </si>
  <si>
    <t xml:space="preserve">Ойгаинг </t>
  </si>
  <si>
    <t xml:space="preserve">-9,8 </t>
  </si>
  <si>
    <t xml:space="preserve">-8,8 </t>
  </si>
  <si>
    <t xml:space="preserve">-4,3 </t>
  </si>
  <si>
    <t xml:space="preserve">12,2 </t>
  </si>
  <si>
    <t xml:space="preserve">10,6 </t>
  </si>
  <si>
    <t xml:space="preserve">3,4 </t>
  </si>
  <si>
    <t xml:space="preserve">-7,7 </t>
  </si>
  <si>
    <t xml:space="preserve">2,7 </t>
  </si>
  <si>
    <t xml:space="preserve">36.0/1976 </t>
  </si>
  <si>
    <t>-14,1</t>
  </si>
  <si>
    <t>Республика, вилоят, жой</t>
  </si>
  <si>
    <t>Ойлик ўртача ҳарорат</t>
  </si>
  <si>
    <t>Ўртача йиллик ҳарорат</t>
  </si>
  <si>
    <t>Энг кичик мутлақ ҳарорат</t>
  </si>
  <si>
    <t>Энг катта мутлақ ҳарорат</t>
  </si>
  <si>
    <t>Энг иссиқ ойдаги энг катта ўртача ҳарорат</t>
  </si>
  <si>
    <t>Энг совуқ ойдаги энг кичик ўртача ҳарорат</t>
  </si>
  <si>
    <t xml:space="preserve">I </t>
  </si>
  <si>
    <t xml:space="preserve">II </t>
  </si>
  <si>
    <t xml:space="preserve">III </t>
  </si>
  <si>
    <t xml:space="preserve">IV </t>
  </si>
  <si>
    <t xml:space="preserve">V </t>
  </si>
  <si>
    <t xml:space="preserve">VI </t>
  </si>
  <si>
    <t xml:space="preserve">VII </t>
  </si>
  <si>
    <t xml:space="preserve">VIII </t>
  </si>
  <si>
    <t xml:space="preserve">IX </t>
  </si>
  <si>
    <t xml:space="preserve">X </t>
  </si>
  <si>
    <t xml:space="preserve">XI </t>
  </si>
  <si>
    <t>XII</t>
  </si>
  <si>
    <t>District heating (Markaziy issiqlik)</t>
  </si>
  <si>
    <t>Coal (Ko‘mir)</t>
  </si>
  <si>
    <t>0,050 </t>
  </si>
  <si>
    <t>Ko'mir (tonna)</t>
  </si>
  <si>
    <t>Local heating</t>
  </si>
  <si>
    <t>Polistirolbeton </t>
  </si>
  <si>
    <t>Radiatorlarni almashtirish (15% samaradorlik)</t>
  </si>
  <si>
    <t>Radiator turi</t>
  </si>
  <si>
    <t>Soni</t>
  </si>
  <si>
    <t>A (m²)</t>
  </si>
  <si>
    <t>K (W/m²K)</t>
  </si>
  <si>
    <t>Chugun</t>
  </si>
  <si>
    <t>Jami (m²)</t>
  </si>
  <si>
    <t>Chugun (ish vaqti)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</si>
</sst>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_(* #,##0_);_(* \(#,##0\);_(* &quot;-&quot;??_);_(@_)"/>
    <numFmt numFmtId="167" formatCode="#,##0_ ;[Red]\-#,##0\ "/>
    <numFmt numFmtId="168" formatCode="#,##0.0"/>
    <numFmt numFmtId="169" formatCode="0.0%"/>
    <numFmt numFmtId="170" formatCode="0.0000"/>
  </numFmts>
  <fonts count="118" x14ac:knownFonts="1">
    <font>
      <sz val="11"/>
      <color theme="1"/>
      <name val="Calibri"/>
      <family val="2"/>
      <scheme val="minor"/>
    </font>
    <font>
      <sz val="11"/>
      <color rgb="FF006100"/>
      <name val="Calibri"/>
      <family val="2"/>
      <charset val="186"/>
      <scheme val="minor"/>
    </font>
    <font>
      <sz val="11"/>
      <color rgb="FF3F3F76"/>
      <name val="Calibri"/>
      <family val="2"/>
      <charset val="186"/>
      <scheme val="minor"/>
    </font>
    <font>
      <b/>
      <sz val="11"/>
      <color rgb="FFFA7D00"/>
      <name val="Calibri"/>
      <family val="2"/>
      <charset val="186"/>
      <scheme val="minor"/>
    </font>
    <font>
      <sz val="10"/>
      <name val="MS Sans Serif"/>
      <family val="2"/>
    </font>
    <font>
      <sz val="11"/>
      <color theme="1"/>
      <name val="Calibri"/>
      <family val="2"/>
      <charset val="238"/>
      <scheme val="minor"/>
    </font>
    <font>
      <b/>
      <sz val="8"/>
      <name val="Calibri"/>
      <family val="2"/>
      <charset val="238"/>
      <scheme val="minor"/>
    </font>
    <font>
      <sz val="11"/>
      <color rgb="FFFF0000"/>
      <name val="Calibri"/>
      <family val="2"/>
      <scheme val="minor"/>
    </font>
    <font>
      <b/>
      <sz val="9"/>
      <color rgb="FFFFFFFF"/>
      <name val="Calibri"/>
      <family val="2"/>
      <charset val="238"/>
      <scheme val="minor"/>
    </font>
    <font>
      <sz val="9"/>
      <color rgb="FF000000"/>
      <name val="Calibri"/>
      <family val="2"/>
      <charset val="238"/>
      <scheme val="minor"/>
    </font>
    <font>
      <b/>
      <sz val="9"/>
      <color rgb="FF000000"/>
      <name val="Calibri"/>
      <family val="2"/>
      <charset val="238"/>
      <scheme val="minor"/>
    </font>
    <font>
      <b/>
      <sz val="11"/>
      <color theme="1"/>
      <name val="Calibri"/>
      <family val="2"/>
      <charset val="238"/>
      <scheme val="minor"/>
    </font>
    <font>
      <b/>
      <sz val="11"/>
      <color theme="0"/>
      <name val="Calibri"/>
      <family val="2"/>
      <charset val="238"/>
      <scheme val="minor"/>
    </font>
    <font>
      <b/>
      <sz val="9"/>
      <color theme="1"/>
      <name val="Calibri"/>
      <family val="2"/>
      <charset val="238"/>
      <scheme val="minor"/>
    </font>
    <font>
      <sz val="9"/>
      <color theme="1"/>
      <name val="Calibri"/>
      <family val="2"/>
      <charset val="238"/>
      <scheme val="minor"/>
    </font>
    <font>
      <sz val="9"/>
      <name val="Calibri"/>
      <family val="2"/>
      <charset val="238"/>
      <scheme val="minor"/>
    </font>
    <font>
      <sz val="8"/>
      <color theme="1"/>
      <name val="Arial Narrow"/>
      <family val="2"/>
    </font>
    <font>
      <b/>
      <i/>
      <sz val="10"/>
      <color theme="4" tint="-0.249977111117893"/>
      <name val="Calibri"/>
      <family val="2"/>
      <scheme val="minor"/>
    </font>
    <font>
      <sz val="8"/>
      <color theme="1"/>
      <name val="Times New Roman"/>
      <family val="1"/>
    </font>
    <font>
      <b/>
      <sz val="9"/>
      <color theme="0"/>
      <name val="Calibri"/>
      <family val="2"/>
      <charset val="238"/>
      <scheme val="minor"/>
    </font>
    <font>
      <sz val="9"/>
      <color theme="0"/>
      <name val="Calibri"/>
      <family val="2"/>
      <charset val="238"/>
      <scheme val="minor"/>
    </font>
    <font>
      <i/>
      <sz val="11"/>
      <color theme="1"/>
      <name val="Calibri"/>
      <family val="2"/>
      <charset val="238"/>
      <scheme val="minor"/>
    </font>
    <font>
      <b/>
      <i/>
      <sz val="11"/>
      <color theme="1"/>
      <name val="Calibri"/>
      <family val="2"/>
      <charset val="238"/>
      <scheme val="minor"/>
    </font>
    <font>
      <u/>
      <sz val="11"/>
      <color theme="1"/>
      <name val="Calibri"/>
      <family val="2"/>
      <scheme val="minor"/>
    </font>
    <font>
      <b/>
      <sz val="8"/>
      <color rgb="FFFFFFFF"/>
      <name val="Calibri"/>
      <family val="2"/>
      <charset val="238"/>
      <scheme val="minor"/>
    </font>
    <font>
      <b/>
      <i/>
      <sz val="8"/>
      <color rgb="FFFFFFFF"/>
      <name val="Calibri"/>
      <family val="2"/>
      <charset val="238"/>
      <scheme val="minor"/>
    </font>
    <font>
      <sz val="8"/>
      <color rgb="FF000000"/>
      <name val="Calibri"/>
      <family val="2"/>
      <charset val="238"/>
      <scheme val="minor"/>
    </font>
    <font>
      <b/>
      <sz val="8"/>
      <color rgb="FF000000"/>
      <name val="Calibri"/>
      <family val="2"/>
      <charset val="238"/>
      <scheme val="minor"/>
    </font>
    <font>
      <b/>
      <i/>
      <sz val="9"/>
      <color rgb="FFFFFFFF"/>
      <name val="Calibri"/>
      <family val="2"/>
      <charset val="238"/>
      <scheme val="minor"/>
    </font>
    <font>
      <b/>
      <vertAlign val="subscript"/>
      <sz val="9"/>
      <color theme="0"/>
      <name val="Calibri"/>
      <family val="2"/>
      <charset val="238"/>
      <scheme val="minor"/>
    </font>
    <font>
      <sz val="11"/>
      <color theme="0"/>
      <name val="Calibri"/>
      <family val="2"/>
      <scheme val="minor"/>
    </font>
    <font>
      <b/>
      <sz val="9"/>
      <color theme="0"/>
      <name val="Calibri"/>
      <family val="2"/>
      <scheme val="minor"/>
    </font>
    <font>
      <b/>
      <sz val="9"/>
      <name val="Calibri"/>
      <family val="2"/>
      <charset val="238"/>
      <scheme val="minor"/>
    </font>
    <font>
      <sz val="9"/>
      <color rgb="FF3F3F76"/>
      <name val="Calibri"/>
      <family val="2"/>
      <charset val="186"/>
      <scheme val="minor"/>
    </font>
    <font>
      <sz val="9"/>
      <name val="Calibri"/>
      <family val="2"/>
      <charset val="186"/>
      <scheme val="minor"/>
    </font>
    <font>
      <sz val="9"/>
      <color theme="1"/>
      <name val="Calibri"/>
      <family val="2"/>
      <scheme val="minor"/>
    </font>
    <font>
      <b/>
      <sz val="8"/>
      <color theme="1"/>
      <name val="Arial Narrow"/>
      <family val="2"/>
    </font>
    <font>
      <b/>
      <i/>
      <sz val="8"/>
      <name val="Calibri"/>
      <family val="2"/>
      <charset val="238"/>
      <scheme val="minor"/>
    </font>
    <font>
      <sz val="10"/>
      <name val="Calibri"/>
      <family val="2"/>
      <charset val="238"/>
      <scheme val="minor"/>
    </font>
    <font>
      <b/>
      <vertAlign val="superscript"/>
      <sz val="9"/>
      <color theme="0"/>
      <name val="Calibri"/>
      <family val="2"/>
      <charset val="238"/>
      <scheme val="minor"/>
    </font>
    <font>
      <b/>
      <i/>
      <sz val="9"/>
      <color theme="1"/>
      <name val="Calibri"/>
      <family val="2"/>
      <charset val="238"/>
      <scheme val="minor"/>
    </font>
    <font>
      <b/>
      <vertAlign val="subscript"/>
      <sz val="9"/>
      <color theme="1"/>
      <name val="Calibri"/>
      <family val="2"/>
      <charset val="238"/>
      <scheme val="minor"/>
    </font>
    <font>
      <sz val="11"/>
      <color theme="1"/>
      <name val="Arial"/>
      <family val="2"/>
      <charset val="204"/>
    </font>
    <font>
      <sz val="9"/>
      <color theme="1"/>
      <name val="Calibri"/>
      <family val="2"/>
      <charset val="238"/>
    </font>
    <font>
      <b/>
      <sz val="9"/>
      <color theme="0"/>
      <name val="Calibri"/>
      <family val="2"/>
      <charset val="238"/>
    </font>
    <font>
      <b/>
      <sz val="9"/>
      <color theme="1"/>
      <name val="Calibri"/>
      <family val="2"/>
      <scheme val="minor"/>
    </font>
    <font>
      <b/>
      <sz val="9"/>
      <color theme="0"/>
      <name val="Times New Roman"/>
      <family val="1"/>
      <charset val="238"/>
    </font>
    <font>
      <b/>
      <sz val="9"/>
      <color theme="0"/>
      <name val="Calibri"/>
      <family val="2"/>
    </font>
    <font>
      <b/>
      <sz val="11"/>
      <color rgb="FFFF0000"/>
      <name val="Calibri"/>
      <family val="2"/>
      <charset val="238"/>
      <scheme val="minor"/>
    </font>
    <font>
      <i/>
      <sz val="9"/>
      <color theme="1"/>
      <name val="Calibri"/>
      <family val="2"/>
      <charset val="238"/>
      <scheme val="minor"/>
    </font>
    <font>
      <b/>
      <sz val="8"/>
      <color theme="0"/>
      <name val="Calibri"/>
      <family val="2"/>
      <charset val="238"/>
      <scheme val="minor"/>
    </font>
    <font>
      <b/>
      <vertAlign val="subscript"/>
      <sz val="11"/>
      <color theme="0"/>
      <name val="Calibri"/>
      <family val="2"/>
      <charset val="238"/>
      <scheme val="minor"/>
    </font>
    <font>
      <sz val="9"/>
      <color theme="0"/>
      <name val="Calibri"/>
      <family val="2"/>
      <scheme val="minor"/>
    </font>
    <font>
      <u/>
      <sz val="11"/>
      <color theme="10"/>
      <name val="Calibri"/>
      <family val="2"/>
      <scheme val="minor"/>
    </font>
    <font>
      <b/>
      <sz val="11"/>
      <color theme="1"/>
      <name val="Calibri"/>
      <family val="2"/>
      <charset val="204"/>
      <scheme val="minor"/>
    </font>
    <font>
      <sz val="11"/>
      <color theme="1"/>
      <name val="Calibri"/>
      <family val="2"/>
      <charset val="204"/>
    </font>
    <font>
      <sz val="11"/>
      <color theme="1"/>
      <name val="Calibri Light"/>
      <family val="2"/>
      <charset val="238"/>
    </font>
    <font>
      <b/>
      <sz val="9"/>
      <color theme="0"/>
      <name val="Calibri Light"/>
      <family val="2"/>
      <charset val="238"/>
    </font>
    <font>
      <b/>
      <sz val="9"/>
      <color theme="1"/>
      <name val="Calibri"/>
      <family val="2"/>
      <charset val="204"/>
      <scheme val="minor"/>
    </font>
    <font>
      <sz val="11"/>
      <color rgb="FFFF0000"/>
      <name val="Calibri"/>
      <family val="2"/>
      <charset val="238"/>
      <scheme val="minor"/>
    </font>
    <font>
      <sz val="8"/>
      <color rgb="FF333333"/>
      <name val="Verdana"/>
      <family val="2"/>
      <charset val="238"/>
    </font>
    <font>
      <sz val="8"/>
      <color rgb="FF3F3F76"/>
      <name val="Calibri"/>
      <family val="2"/>
      <charset val="238"/>
      <scheme val="minor"/>
    </font>
    <font>
      <i/>
      <sz val="9"/>
      <color theme="1"/>
      <name val="Calibri"/>
      <family val="2"/>
      <charset val="238"/>
    </font>
    <font>
      <b/>
      <sz val="10"/>
      <color theme="1"/>
      <name val="Calibri"/>
      <family val="2"/>
      <charset val="238"/>
      <scheme val="minor"/>
    </font>
    <font>
      <b/>
      <sz val="10"/>
      <color rgb="FFFF0000"/>
      <name val="Calibri"/>
      <family val="2"/>
      <charset val="238"/>
      <scheme val="minor"/>
    </font>
    <font>
      <sz val="11"/>
      <color theme="1"/>
      <name val="Arial"/>
      <family val="2"/>
      <charset val="238"/>
    </font>
    <font>
      <b/>
      <sz val="13"/>
      <color theme="1"/>
      <name val="Calibri"/>
      <family val="2"/>
      <charset val="238"/>
      <scheme val="minor"/>
    </font>
    <font>
      <b/>
      <sz val="13"/>
      <color rgb="FFFF0000"/>
      <name val="Calibri"/>
      <family val="2"/>
      <charset val="238"/>
      <scheme val="minor"/>
    </font>
    <font>
      <sz val="13"/>
      <color theme="1"/>
      <name val="Calibri"/>
      <family val="2"/>
      <charset val="238"/>
      <scheme val="minor"/>
    </font>
    <font>
      <b/>
      <sz val="8"/>
      <color theme="0"/>
      <name val="Calibri"/>
      <family val="2"/>
      <charset val="238"/>
    </font>
    <font>
      <sz val="8"/>
      <color theme="1"/>
      <name val="Calibri"/>
      <family val="2"/>
      <charset val="238"/>
      <scheme val="minor"/>
    </font>
    <font>
      <b/>
      <sz val="8"/>
      <color theme="1"/>
      <name val="Calibri"/>
      <family val="2"/>
      <charset val="238"/>
      <scheme val="minor"/>
    </font>
    <font>
      <b/>
      <sz val="10"/>
      <name val="Arial"/>
      <family val="2"/>
      <charset val="238"/>
    </font>
    <font>
      <i/>
      <sz val="10"/>
      <name val="Arial"/>
      <family val="2"/>
      <charset val="238"/>
    </font>
    <font>
      <sz val="10"/>
      <name val="Arial"/>
      <family val="2"/>
      <charset val="238"/>
    </font>
    <font>
      <sz val="8"/>
      <color theme="1"/>
      <name val="Calibri"/>
      <family val="2"/>
      <scheme val="minor"/>
    </font>
    <font>
      <b/>
      <sz val="8"/>
      <color rgb="FFFFFFFF"/>
      <name val="Calibri"/>
      <family val="2"/>
      <scheme val="minor"/>
    </font>
    <font>
      <b/>
      <sz val="8"/>
      <color theme="0"/>
      <name val="Calibri"/>
      <family val="2"/>
      <scheme val="minor"/>
    </font>
    <font>
      <sz val="8"/>
      <color rgb="FF000000"/>
      <name val="Calibri"/>
      <family val="2"/>
      <scheme val="minor"/>
    </font>
    <font>
      <b/>
      <sz val="8"/>
      <name val="Calibri"/>
      <family val="2"/>
      <scheme val="minor"/>
    </font>
    <font>
      <sz val="8"/>
      <name val="Calibri"/>
      <family val="2"/>
      <charset val="238"/>
      <scheme val="minor"/>
    </font>
    <font>
      <b/>
      <u/>
      <sz val="11"/>
      <color rgb="FFFF0000"/>
      <name val="Calibri"/>
      <family val="2"/>
      <charset val="238"/>
      <scheme val="minor"/>
    </font>
    <font>
      <sz val="8"/>
      <name val="Calibri"/>
      <family val="2"/>
      <scheme val="minor"/>
    </font>
    <font>
      <vertAlign val="subscript"/>
      <sz val="11"/>
      <color theme="1"/>
      <name val="Calibri"/>
      <family val="2"/>
      <scheme val="minor"/>
    </font>
    <font>
      <b/>
      <sz val="9"/>
      <color indexed="81"/>
      <name val="Tahoma"/>
      <family val="2"/>
    </font>
    <font>
      <vertAlign val="superscript"/>
      <sz val="11"/>
      <color theme="1"/>
      <name val="Calibri"/>
      <family val="2"/>
      <scheme val="minor"/>
    </font>
    <font>
      <sz val="9"/>
      <color rgb="FFFF0000"/>
      <name val="Calibri"/>
      <family val="2"/>
      <charset val="238"/>
      <scheme val="minor"/>
    </font>
    <font>
      <sz val="9"/>
      <name val="Calibri"/>
      <family val="2"/>
      <scheme val="minor"/>
    </font>
    <font>
      <b/>
      <sz val="9"/>
      <name val="Calibri"/>
      <family val="2"/>
      <scheme val="minor"/>
    </font>
    <font>
      <sz val="9"/>
      <color theme="0"/>
      <name val="Calibri"/>
      <family val="2"/>
      <charset val="204"/>
      <scheme val="minor"/>
    </font>
    <font>
      <b/>
      <sz val="9"/>
      <color rgb="FF3F3F76"/>
      <name val="Calibri"/>
      <family val="2"/>
      <charset val="238"/>
      <scheme val="minor"/>
    </font>
    <font>
      <u/>
      <sz val="8"/>
      <color theme="10"/>
      <name val="Calibri"/>
      <family val="2"/>
      <charset val="238"/>
      <scheme val="minor"/>
    </font>
    <font>
      <sz val="9"/>
      <color rgb="FF000000"/>
      <name val="Calibri"/>
      <family val="2"/>
      <charset val="238"/>
    </font>
    <font>
      <sz val="8"/>
      <color theme="1"/>
      <name val="Calibri Light"/>
      <family val="2"/>
      <charset val="238"/>
    </font>
    <font>
      <sz val="8"/>
      <color theme="1"/>
      <name val="Times New Roman"/>
      <family val="1"/>
      <charset val="238"/>
    </font>
    <font>
      <sz val="8"/>
      <color theme="1"/>
      <name val="Calibri"/>
      <family val="2"/>
    </font>
    <font>
      <b/>
      <sz val="9"/>
      <color theme="3"/>
      <name val="Calibri"/>
      <family val="2"/>
      <charset val="238"/>
      <scheme val="minor"/>
    </font>
    <font>
      <sz val="11"/>
      <color theme="1"/>
      <name val="Calibri"/>
      <family val="2"/>
      <scheme val="minor"/>
    </font>
    <font>
      <b/>
      <sz val="11"/>
      <color rgb="FFFF0000"/>
      <name val="Calibri"/>
      <family val="2"/>
      <charset val="204"/>
      <scheme val="minor"/>
    </font>
    <font>
      <b/>
      <sz val="10"/>
      <name val="Calibri"/>
      <family val="2"/>
      <charset val="204"/>
      <scheme val="minor"/>
    </font>
    <font>
      <sz val="11"/>
      <color theme="1"/>
      <name val="Calibri"/>
      <family val="2"/>
      <charset val="186"/>
      <scheme val="minor"/>
    </font>
    <font>
      <b/>
      <sz val="11"/>
      <name val="Calibri"/>
      <family val="2"/>
      <charset val="204"/>
      <scheme val="minor"/>
    </font>
    <font>
      <b/>
      <sz val="11"/>
      <name val="Calibri"/>
      <family val="2"/>
      <scheme val="minor"/>
    </font>
    <font>
      <b/>
      <sz val="10"/>
      <color theme="0"/>
      <name val="Calibri"/>
      <family val="2"/>
      <charset val="238"/>
      <scheme val="minor"/>
    </font>
    <font>
      <sz val="10"/>
      <color theme="1"/>
      <name val="Calibri"/>
      <family val="2"/>
      <charset val="238"/>
      <scheme val="minor"/>
    </font>
    <font>
      <sz val="10"/>
      <color theme="1"/>
      <name val="Calibri"/>
      <family val="2"/>
      <charset val="238"/>
    </font>
    <font>
      <sz val="9"/>
      <color indexed="81"/>
      <name val="Tahoma"/>
      <family val="2"/>
    </font>
    <font>
      <sz val="8"/>
      <color theme="1"/>
      <name val="Times New Roman"/>
      <family val="1"/>
    </font>
    <font>
      <sz val="9"/>
      <color rgb="FF0F1115"/>
      <name val="Segoe UI"/>
      <family val="2"/>
    </font>
    <font>
      <sz val="8"/>
      <color rgb="FF000000"/>
      <name val="Segoe UI"/>
      <family val="2"/>
    </font>
    <font>
      <sz val="9"/>
      <color rgb="FF0F1115"/>
      <name val="Segoe UI"/>
      <family val="2"/>
    </font>
    <font>
      <sz val="9"/>
      <color indexed="81"/>
      <name val="Tahoma"/>
      <charset val="1"/>
    </font>
    <font>
      <b/>
      <sz val="9"/>
      <color indexed="81"/>
      <name val="Tahoma"/>
      <charset val="1"/>
    </font>
    <font>
      <sz val="9"/>
      <color rgb="FFFF0000"/>
      <name val="Calibri"/>
      <family val="2"/>
      <charset val="238"/>
    </font>
    <font>
      <sz val="11"/>
      <color rgb="FFFF0000"/>
      <name val="Arial"/>
      <family val="2"/>
      <charset val="204"/>
    </font>
    <font>
      <sz val="12"/>
      <color theme="1"/>
      <name val="Times New Roman"/>
      <family val="1"/>
    </font>
    <font>
      <sz val="12"/>
      <color rgb="FF000000"/>
      <name val="Times New Roman"/>
      <family val="1"/>
    </font>
    <font>
      <b/>
      <sz val="12"/>
      <color rgb="FF000000"/>
      <name val="Times New Roman"/>
      <family val="1"/>
    </font>
  </fonts>
  <fills count="22">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C000"/>
        <bgColor indexed="64"/>
      </patternFill>
    </fill>
    <fill>
      <patternFill patternType="solid">
        <fgColor rgb="FF44546A"/>
        <bgColor indexed="64"/>
      </patternFill>
    </fill>
    <fill>
      <patternFill patternType="solid">
        <fgColor theme="3"/>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rgb="FFFFF2CC"/>
        <bgColor indexed="64"/>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
      <patternFill patternType="solid">
        <fgColor theme="7" tint="0.79998168889431442"/>
        <bgColor indexed="64"/>
      </patternFill>
    </fill>
  </fills>
  <borders count="8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right style="thin">
        <color theme="0"/>
      </right>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theme="0"/>
      </top>
      <bottom style="thin">
        <color theme="0"/>
      </bottom>
      <diagonal/>
    </border>
    <border>
      <left style="medium">
        <color indexed="64"/>
      </left>
      <right/>
      <top style="thin">
        <color theme="0"/>
      </top>
      <bottom style="medium">
        <color indexed="64"/>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medium">
        <color indexed="64"/>
      </left>
      <right/>
      <top/>
      <bottom style="thin">
        <color theme="0"/>
      </bottom>
      <diagonal/>
    </border>
    <border>
      <left style="medium">
        <color indexed="64"/>
      </left>
      <right style="medium">
        <color indexed="64"/>
      </right>
      <top/>
      <bottom style="thin">
        <color theme="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
      <left style="thin">
        <color theme="0"/>
      </left>
      <right/>
      <top/>
      <bottom style="thin">
        <color theme="0"/>
      </bottom>
      <diagonal/>
    </border>
    <border>
      <left/>
      <right/>
      <top/>
      <bottom style="thin">
        <color theme="0"/>
      </bottom>
      <diagonal/>
    </border>
    <border>
      <left style="medium">
        <color indexed="64"/>
      </left>
      <right/>
      <top style="thin">
        <color indexed="64"/>
      </top>
      <bottom style="medium">
        <color indexed="64"/>
      </bottom>
      <diagonal/>
    </border>
  </borders>
  <cellStyleXfs count="8">
    <xf numFmtId="0" fontId="0" fillId="0" borderId="0"/>
    <xf numFmtId="0" fontId="1" fillId="2" borderId="0" applyNumberFormat="0" applyBorder="0" applyAlignment="0" applyProtection="0"/>
    <xf numFmtId="0" fontId="2" fillId="3" borderId="1" applyNumberFormat="0" applyAlignment="0" applyProtection="0"/>
    <xf numFmtId="0" fontId="3" fillId="4" borderId="1" applyNumberFormat="0" applyAlignment="0" applyProtection="0"/>
    <xf numFmtId="0" fontId="4" fillId="0" borderId="0"/>
    <xf numFmtId="0" fontId="53" fillId="0" borderId="0" applyNumberFormat="0" applyFill="0" applyBorder="0" applyAlignment="0" applyProtection="0"/>
    <xf numFmtId="9" fontId="97" fillId="0" borderId="0" applyFont="0" applyFill="0" applyBorder="0" applyAlignment="0" applyProtection="0"/>
    <xf numFmtId="0" fontId="100" fillId="0" borderId="0"/>
  </cellStyleXfs>
  <cellXfs count="844">
    <xf numFmtId="0" fontId="0" fillId="0" borderId="0" xfId="0"/>
    <xf numFmtId="0" fontId="0" fillId="0" borderId="0" xfId="0" applyAlignment="1">
      <alignment horizontal="center"/>
    </xf>
    <xf numFmtId="0" fontId="5" fillId="0" borderId="0" xfId="0" applyFont="1"/>
    <xf numFmtId="0" fontId="0" fillId="0" borderId="2" xfId="0" applyBorder="1" applyAlignment="1">
      <alignment horizontal="center" vertical="center"/>
    </xf>
    <xf numFmtId="0" fontId="0" fillId="7" borderId="0" xfId="0" applyFill="1"/>
    <xf numFmtId="165" fontId="1" fillId="2" borderId="2" xfId="1" applyNumberFormat="1" applyBorder="1" applyAlignment="1">
      <alignment horizontal="center" vertical="center"/>
    </xf>
    <xf numFmtId="1" fontId="1" fillId="2" borderId="2" xfId="1" applyNumberFormat="1" applyBorder="1" applyAlignment="1">
      <alignment horizontal="center" vertical="center"/>
    </xf>
    <xf numFmtId="0" fontId="0" fillId="0" borderId="0" xfId="0" applyAlignment="1">
      <alignment horizontal="left" vertical="center"/>
    </xf>
    <xf numFmtId="165" fontId="2" fillId="3" borderId="1" xfId="2" applyNumberFormat="1" applyAlignment="1">
      <alignment horizontal="center" vertical="center"/>
    </xf>
    <xf numFmtId="1" fontId="2" fillId="3" borderId="1" xfId="2" applyNumberFormat="1" applyAlignment="1">
      <alignment horizontal="center" vertical="center"/>
    </xf>
    <xf numFmtId="0" fontId="7" fillId="0" borderId="0" xfId="0" applyFont="1"/>
    <xf numFmtId="0" fontId="12" fillId="9" borderId="8" xfId="0" applyFont="1" applyFill="1" applyBorder="1" applyAlignment="1">
      <alignment horizontal="center" vertical="center" wrapText="1"/>
    </xf>
    <xf numFmtId="0" fontId="12" fillId="0" borderId="0" xfId="0" applyFont="1" applyAlignment="1">
      <alignment vertical="center" wrapText="1"/>
    </xf>
    <xf numFmtId="1" fontId="14" fillId="10" borderId="8" xfId="0" applyNumberFormat="1" applyFont="1" applyFill="1" applyBorder="1" applyAlignment="1">
      <alignment horizontal="center" vertical="center" wrapText="1"/>
    </xf>
    <xf numFmtId="1" fontId="15" fillId="10" borderId="8" xfId="0" applyNumberFormat="1" applyFont="1" applyFill="1" applyBorder="1" applyAlignment="1">
      <alignment horizontal="center" vertical="center"/>
    </xf>
    <xf numFmtId="0" fontId="13" fillId="10" borderId="8" xfId="0" applyFont="1" applyFill="1" applyBorder="1" applyAlignment="1">
      <alignment horizontal="center" vertical="center"/>
    </xf>
    <xf numFmtId="1" fontId="14" fillId="10" borderId="8" xfId="0" applyNumberFormat="1" applyFont="1" applyFill="1" applyBorder="1" applyAlignment="1">
      <alignment horizontal="center" vertical="center"/>
    </xf>
    <xf numFmtId="1" fontId="14" fillId="10" borderId="12" xfId="0" applyNumberFormat="1" applyFont="1" applyFill="1" applyBorder="1" applyAlignment="1">
      <alignment horizontal="center" vertical="center"/>
    </xf>
    <xf numFmtId="0" fontId="14" fillId="9" borderId="8" xfId="0" applyFont="1" applyFill="1" applyBorder="1"/>
    <xf numFmtId="0" fontId="0" fillId="9" borderId="0" xfId="0" applyFill="1"/>
    <xf numFmtId="1" fontId="14" fillId="0" borderId="8" xfId="0" applyNumberFormat="1" applyFont="1" applyBorder="1" applyAlignment="1">
      <alignment horizontal="center" vertical="center"/>
    </xf>
    <xf numFmtId="0" fontId="14" fillId="12" borderId="8" xfId="0" applyFont="1" applyFill="1" applyBorder="1" applyAlignment="1">
      <alignment horizontal="center" vertical="center"/>
    </xf>
    <xf numFmtId="0" fontId="12" fillId="9" borderId="22" xfId="0" applyFont="1" applyFill="1" applyBorder="1" applyAlignment="1">
      <alignment horizontal="center" vertical="center" wrapText="1"/>
    </xf>
    <xf numFmtId="0" fontId="12" fillId="9" borderId="21" xfId="0" applyFont="1" applyFill="1" applyBorder="1" applyAlignment="1">
      <alignment horizontal="center" vertical="center" wrapText="1"/>
    </xf>
    <xf numFmtId="0" fontId="18" fillId="13" borderId="27" xfId="0" applyFont="1" applyFill="1" applyBorder="1" applyAlignment="1">
      <alignment horizontal="center" vertical="center" wrapText="1"/>
    </xf>
    <xf numFmtId="0" fontId="18" fillId="13" borderId="0" xfId="0" applyFont="1" applyFill="1" applyAlignment="1">
      <alignment horizontal="center" vertical="center" wrapText="1"/>
    </xf>
    <xf numFmtId="0" fontId="18" fillId="0" borderId="5" xfId="0" applyFont="1" applyBorder="1" applyAlignment="1">
      <alignment vertical="center" wrapText="1"/>
    </xf>
    <xf numFmtId="0" fontId="18" fillId="0" borderId="3" xfId="0" applyFont="1" applyBorder="1" applyAlignment="1">
      <alignment horizontal="center" vertical="center" wrapText="1"/>
    </xf>
    <xf numFmtId="0" fontId="19" fillId="9" borderId="8" xfId="0" applyFont="1" applyFill="1" applyBorder="1" applyAlignment="1">
      <alignment horizontal="center" vertical="center"/>
    </xf>
    <xf numFmtId="0" fontId="19" fillId="9" borderId="8" xfId="0" applyFont="1" applyFill="1" applyBorder="1" applyAlignment="1">
      <alignment horizontal="center" vertical="center" wrapText="1"/>
    </xf>
    <xf numFmtId="0" fontId="14" fillId="0" borderId="8" xfId="0" applyFont="1" applyBorder="1" applyAlignment="1">
      <alignment horizontal="center" vertical="center"/>
    </xf>
    <xf numFmtId="0" fontId="17" fillId="0" borderId="0" xfId="0" applyFont="1"/>
    <xf numFmtId="0" fontId="20" fillId="9" borderId="34" xfId="0" applyFont="1" applyFill="1" applyBorder="1" applyAlignment="1">
      <alignment horizontal="center" vertical="center"/>
    </xf>
    <xf numFmtId="0" fontId="14" fillId="0" borderId="33" xfId="0" applyFont="1" applyBorder="1" applyAlignment="1">
      <alignment horizontal="center" vertical="center"/>
    </xf>
    <xf numFmtId="0" fontId="13" fillId="0" borderId="36" xfId="0" applyFont="1" applyBorder="1" applyAlignment="1">
      <alignment horizontal="center" vertical="center"/>
    </xf>
    <xf numFmtId="0" fontId="14" fillId="11" borderId="8" xfId="0" applyFont="1" applyFill="1" applyBorder="1" applyAlignment="1">
      <alignment horizontal="center" vertical="center"/>
    </xf>
    <xf numFmtId="0" fontId="14" fillId="11" borderId="8" xfId="0" applyFont="1" applyFill="1" applyBorder="1" applyAlignment="1">
      <alignment horizontal="left" vertical="center"/>
    </xf>
    <xf numFmtId="164" fontId="14" fillId="11" borderId="34" xfId="0" applyNumberFormat="1" applyFont="1" applyFill="1" applyBorder="1" applyAlignment="1">
      <alignment horizontal="center" vertical="center"/>
    </xf>
    <xf numFmtId="0" fontId="14" fillId="11" borderId="8" xfId="0" applyFont="1" applyFill="1" applyBorder="1" applyAlignment="1">
      <alignment horizontal="center"/>
    </xf>
    <xf numFmtId="1" fontId="13" fillId="0" borderId="8" xfId="0" applyNumberFormat="1" applyFont="1" applyBorder="1" applyAlignment="1">
      <alignment horizontal="center" vertical="center"/>
    </xf>
    <xf numFmtId="0" fontId="11" fillId="0" borderId="0" xfId="0" applyFont="1"/>
    <xf numFmtId="0" fontId="13" fillId="10" borderId="8" xfId="0" applyFont="1" applyFill="1" applyBorder="1"/>
    <xf numFmtId="0" fontId="13" fillId="12" borderId="8" xfId="0" applyFont="1" applyFill="1" applyBorder="1" applyAlignment="1">
      <alignment horizontal="center" vertical="center"/>
    </xf>
    <xf numFmtId="1" fontId="13" fillId="12" borderId="8" xfId="0" applyNumberFormat="1" applyFont="1" applyFill="1" applyBorder="1" applyAlignment="1">
      <alignment horizontal="center" vertical="center"/>
    </xf>
    <xf numFmtId="0" fontId="11" fillId="0" borderId="0" xfId="0" applyFont="1" applyAlignment="1">
      <alignment horizontal="center" vertical="center"/>
    </xf>
    <xf numFmtId="0" fontId="0" fillId="11" borderId="0" xfId="0" applyFill="1"/>
    <xf numFmtId="0" fontId="0" fillId="10" borderId="0" xfId="0" applyFill="1"/>
    <xf numFmtId="0" fontId="0" fillId="14" borderId="0" xfId="0" applyFill="1"/>
    <xf numFmtId="0" fontId="0" fillId="14" borderId="0" xfId="0" applyFill="1" applyAlignment="1">
      <alignment horizontal="left" vertical="center" wrapText="1"/>
    </xf>
    <xf numFmtId="0" fontId="21" fillId="14" borderId="0" xfId="0" applyFont="1" applyFill="1"/>
    <xf numFmtId="0" fontId="22" fillId="14" borderId="0" xfId="0" applyFont="1" applyFill="1"/>
    <xf numFmtId="0" fontId="23" fillId="14" borderId="0" xfId="0" applyFont="1" applyFill="1"/>
    <xf numFmtId="0" fontId="14" fillId="11" borderId="2" xfId="0" applyFont="1" applyFill="1" applyBorder="1" applyAlignment="1">
      <alignment horizontal="center" vertical="center"/>
    </xf>
    <xf numFmtId="165" fontId="14" fillId="11" borderId="2" xfId="0" applyNumberFormat="1" applyFont="1" applyFill="1" applyBorder="1" applyAlignment="1">
      <alignment horizontal="center" vertical="center"/>
    </xf>
    <xf numFmtId="0" fontId="13" fillId="10" borderId="24" xfId="0" applyFont="1" applyFill="1" applyBorder="1"/>
    <xf numFmtId="1" fontId="13" fillId="10" borderId="25" xfId="0" applyNumberFormat="1" applyFont="1" applyFill="1" applyBorder="1" applyAlignment="1">
      <alignment horizontal="center" vertical="center"/>
    </xf>
    <xf numFmtId="1" fontId="14" fillId="10" borderId="2" xfId="0" applyNumberFormat="1" applyFont="1" applyFill="1" applyBorder="1" applyAlignment="1">
      <alignment horizontal="center" vertical="center"/>
    </xf>
    <xf numFmtId="2" fontId="14" fillId="10" borderId="34" xfId="0" applyNumberFormat="1" applyFont="1" applyFill="1" applyBorder="1" applyAlignment="1">
      <alignment horizontal="center" vertical="center"/>
    </xf>
    <xf numFmtId="2" fontId="13" fillId="10" borderId="34" xfId="0" applyNumberFormat="1" applyFont="1" applyFill="1" applyBorder="1" applyAlignment="1">
      <alignment horizontal="center" vertical="center"/>
    </xf>
    <xf numFmtId="2" fontId="13" fillId="10" borderId="37" xfId="0" applyNumberFormat="1" applyFont="1" applyFill="1" applyBorder="1" applyAlignment="1">
      <alignment horizontal="center" vertical="center"/>
    </xf>
    <xf numFmtId="0" fontId="14" fillId="10" borderId="8" xfId="0" applyFont="1" applyFill="1" applyBorder="1" applyAlignment="1">
      <alignment horizontal="center" vertical="center" wrapText="1"/>
    </xf>
    <xf numFmtId="0" fontId="8" fillId="8" borderId="30" xfId="0" applyFont="1" applyFill="1" applyBorder="1" applyAlignment="1">
      <alignment horizontal="justify" vertical="center" wrapText="1"/>
    </xf>
    <xf numFmtId="0" fontId="8" fillId="8" borderId="31" xfId="0" applyFont="1" applyFill="1" applyBorder="1" applyAlignment="1">
      <alignment horizontal="center" vertical="center" wrapText="1"/>
    </xf>
    <xf numFmtId="0" fontId="8" fillId="8" borderId="32" xfId="0" applyFont="1" applyFill="1" applyBorder="1" applyAlignment="1">
      <alignment horizontal="center" vertical="center" wrapText="1"/>
    </xf>
    <xf numFmtId="0" fontId="14" fillId="10" borderId="33" xfId="0" applyFont="1" applyFill="1" applyBorder="1" applyAlignment="1">
      <alignment horizontal="justify" vertical="center" wrapText="1"/>
    </xf>
    <xf numFmtId="1" fontId="14" fillId="10" borderId="34" xfId="0" applyNumberFormat="1" applyFont="1" applyFill="1" applyBorder="1" applyAlignment="1">
      <alignment horizontal="center" vertical="center" wrapText="1"/>
    </xf>
    <xf numFmtId="0" fontId="14" fillId="11" borderId="34" xfId="0" applyFont="1" applyFill="1" applyBorder="1" applyAlignment="1">
      <alignment horizontal="center" vertical="center" wrapText="1"/>
    </xf>
    <xf numFmtId="0" fontId="14" fillId="10" borderId="35" xfId="0" applyFont="1" applyFill="1" applyBorder="1" applyAlignment="1">
      <alignment horizontal="justify" vertical="center" wrapText="1"/>
    </xf>
    <xf numFmtId="0" fontId="14" fillId="10" borderId="36" xfId="0" applyFont="1" applyFill="1" applyBorder="1" applyAlignment="1">
      <alignment horizontal="center" vertical="center" wrapText="1"/>
    </xf>
    <xf numFmtId="0" fontId="14" fillId="11" borderId="37" xfId="0" applyFont="1" applyFill="1" applyBorder="1" applyAlignment="1">
      <alignment horizontal="center" vertical="center" wrapText="1"/>
    </xf>
    <xf numFmtId="0" fontId="11" fillId="14" borderId="0" xfId="0" applyFont="1" applyFill="1"/>
    <xf numFmtId="0" fontId="28" fillId="8" borderId="8" xfId="0" applyFont="1" applyFill="1" applyBorder="1" applyAlignment="1">
      <alignment horizontal="center" vertical="center" wrapText="1"/>
    </xf>
    <xf numFmtId="0" fontId="9" fillId="10" borderId="8" xfId="0" applyFont="1" applyFill="1" applyBorder="1" applyAlignment="1">
      <alignment horizontal="center" vertical="center" wrapText="1"/>
    </xf>
    <xf numFmtId="0" fontId="9" fillId="10" borderId="8" xfId="0" applyFont="1" applyFill="1" applyBorder="1" applyAlignment="1">
      <alignment vertical="center" wrapText="1"/>
    </xf>
    <xf numFmtId="0" fontId="9" fillId="11" borderId="8" xfId="0" applyFont="1" applyFill="1" applyBorder="1" applyAlignment="1">
      <alignment horizontal="center" vertical="center" wrapText="1"/>
    </xf>
    <xf numFmtId="0" fontId="25" fillId="8" borderId="8" xfId="0" applyFont="1" applyFill="1" applyBorder="1" applyAlignment="1">
      <alignment horizontal="center" vertical="center" wrapText="1"/>
    </xf>
    <xf numFmtId="0" fontId="26" fillId="10" borderId="8" xfId="0" applyFont="1" applyFill="1" applyBorder="1" applyAlignment="1">
      <alignment horizontal="center" vertical="center" wrapText="1"/>
    </xf>
    <xf numFmtId="0" fontId="26" fillId="10" borderId="8" xfId="0" applyFont="1" applyFill="1" applyBorder="1" applyAlignment="1">
      <alignment vertical="center" wrapText="1"/>
    </xf>
    <xf numFmtId="0" fontId="27" fillId="9" borderId="8" xfId="0" applyFont="1" applyFill="1" applyBorder="1" applyAlignment="1">
      <alignment horizontal="center" vertical="center" wrapText="1"/>
    </xf>
    <xf numFmtId="0" fontId="9" fillId="10" borderId="8" xfId="0" applyFont="1" applyFill="1" applyBorder="1" applyAlignment="1">
      <alignment horizontal="center" vertical="center"/>
    </xf>
    <xf numFmtId="0" fontId="9" fillId="10" borderId="8" xfId="0" applyFont="1" applyFill="1" applyBorder="1" applyAlignment="1">
      <alignment vertical="center"/>
    </xf>
    <xf numFmtId="0" fontId="9" fillId="11" borderId="8" xfId="0" applyFont="1" applyFill="1" applyBorder="1" applyAlignment="1">
      <alignment horizontal="center" vertical="center"/>
    </xf>
    <xf numFmtId="1" fontId="9" fillId="11" borderId="8" xfId="0" applyNumberFormat="1" applyFont="1" applyFill="1" applyBorder="1" applyAlignment="1">
      <alignment horizontal="center" vertical="center"/>
    </xf>
    <xf numFmtId="2" fontId="9" fillId="11" borderId="8" xfId="0" applyNumberFormat="1" applyFont="1" applyFill="1" applyBorder="1" applyAlignment="1">
      <alignment horizontal="center" vertical="center"/>
    </xf>
    <xf numFmtId="0" fontId="20" fillId="9" borderId="8" xfId="0" applyFont="1" applyFill="1" applyBorder="1" applyAlignment="1">
      <alignment horizontal="left" vertical="center" wrapText="1"/>
    </xf>
    <xf numFmtId="1" fontId="13" fillId="10" borderId="8" xfId="0" applyNumberFormat="1" applyFont="1" applyFill="1" applyBorder="1" applyAlignment="1">
      <alignment horizontal="center" vertical="center"/>
    </xf>
    <xf numFmtId="1" fontId="14" fillId="11" borderId="8" xfId="0" applyNumberFormat="1" applyFont="1" applyFill="1" applyBorder="1" applyAlignment="1">
      <alignment horizontal="center" vertical="center"/>
    </xf>
    <xf numFmtId="0" fontId="14" fillId="11" borderId="8" xfId="0" applyFont="1" applyFill="1" applyBorder="1" applyAlignment="1">
      <alignment vertical="center"/>
    </xf>
    <xf numFmtId="9" fontId="14" fillId="11" borderId="8" xfId="0" applyNumberFormat="1" applyFont="1" applyFill="1" applyBorder="1" applyAlignment="1">
      <alignment horizontal="center" vertical="center"/>
    </xf>
    <xf numFmtId="0" fontId="14" fillId="11" borderId="8" xfId="0" applyFont="1" applyFill="1" applyBorder="1" applyAlignment="1">
      <alignment horizontal="left" vertical="center" wrapText="1"/>
    </xf>
    <xf numFmtId="0" fontId="14" fillId="10" borderId="8" xfId="0" applyFont="1" applyFill="1" applyBorder="1" applyAlignment="1">
      <alignment horizontal="center" vertical="center"/>
    </xf>
    <xf numFmtId="0" fontId="31" fillId="9" borderId="8" xfId="0" applyFont="1" applyFill="1" applyBorder="1" applyAlignment="1">
      <alignment horizontal="center" vertical="center" wrapText="1"/>
    </xf>
    <xf numFmtId="1" fontId="35" fillId="10" borderId="8" xfId="0" applyNumberFormat="1" applyFont="1" applyFill="1" applyBorder="1" applyAlignment="1">
      <alignment horizontal="right" vertical="center"/>
    </xf>
    <xf numFmtId="1" fontId="13" fillId="10" borderId="8" xfId="0" applyNumberFormat="1" applyFont="1" applyFill="1" applyBorder="1" applyAlignment="1">
      <alignment horizontal="right" vertical="center"/>
    </xf>
    <xf numFmtId="0" fontId="37" fillId="0" borderId="0" xfId="0" applyFont="1"/>
    <xf numFmtId="0" fontId="38" fillId="0" borderId="0" xfId="0" applyFont="1"/>
    <xf numFmtId="164" fontId="15" fillId="0" borderId="2" xfId="0" applyNumberFormat="1" applyFont="1" applyBorder="1" applyAlignment="1">
      <alignment horizontal="center"/>
    </xf>
    <xf numFmtId="164" fontId="15" fillId="0" borderId="28" xfId="0" applyNumberFormat="1" applyFont="1" applyBorder="1" applyAlignment="1">
      <alignment horizontal="center"/>
    </xf>
    <xf numFmtId="164" fontId="15" fillId="0" borderId="29" xfId="0" applyNumberFormat="1" applyFont="1" applyBorder="1" applyAlignment="1">
      <alignment horizontal="center"/>
    </xf>
    <xf numFmtId="1" fontId="9" fillId="10" borderId="8" xfId="0" applyNumberFormat="1" applyFont="1" applyFill="1" applyBorder="1" applyAlignment="1">
      <alignment horizontal="center" vertical="center" wrapText="1"/>
    </xf>
    <xf numFmtId="1" fontId="10" fillId="10" borderId="8" xfId="0" applyNumberFormat="1" applyFont="1" applyFill="1" applyBorder="1" applyAlignment="1">
      <alignment horizontal="center" vertical="center" wrapText="1"/>
    </xf>
    <xf numFmtId="1" fontId="26" fillId="11" borderId="8" xfId="0" applyNumberFormat="1" applyFont="1" applyFill="1" applyBorder="1" applyAlignment="1">
      <alignment horizontal="center" vertical="center" wrapText="1"/>
    </xf>
    <xf numFmtId="0" fontId="13" fillId="10" borderId="45" xfId="0" applyFont="1" applyFill="1" applyBorder="1" applyAlignment="1">
      <alignment horizontal="center" vertical="center" wrapText="1"/>
    </xf>
    <xf numFmtId="0" fontId="13" fillId="10" borderId="41" xfId="0" applyFont="1" applyFill="1" applyBorder="1" applyAlignment="1">
      <alignment horizontal="center" vertical="center" wrapText="1"/>
    </xf>
    <xf numFmtId="0" fontId="13" fillId="10" borderId="46" xfId="0" applyFont="1" applyFill="1" applyBorder="1" applyAlignment="1">
      <alignment horizontal="center" vertical="center" wrapText="1"/>
    </xf>
    <xf numFmtId="0" fontId="13" fillId="10" borderId="44" xfId="0" applyFont="1" applyFill="1" applyBorder="1" applyAlignment="1">
      <alignment horizontal="center" vertical="center" wrapText="1"/>
    </xf>
    <xf numFmtId="0" fontId="14" fillId="10" borderId="50" xfId="0" applyFont="1" applyFill="1" applyBorder="1" applyAlignment="1">
      <alignment horizontal="center" vertical="center" wrapText="1"/>
    </xf>
    <xf numFmtId="0" fontId="14" fillId="10" borderId="51" xfId="0" applyFont="1" applyFill="1" applyBorder="1" applyAlignment="1">
      <alignment horizontal="center" vertical="center" wrapText="1"/>
    </xf>
    <xf numFmtId="0" fontId="14" fillId="10" borderId="52" xfId="0" applyFont="1" applyFill="1" applyBorder="1" applyAlignment="1">
      <alignment horizontal="center" vertical="center" wrapText="1"/>
    </xf>
    <xf numFmtId="0" fontId="14" fillId="10" borderId="48"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53" xfId="0" applyFont="1" applyFill="1" applyBorder="1" applyAlignment="1">
      <alignment horizontal="center" vertical="center" wrapText="1"/>
    </xf>
    <xf numFmtId="0" fontId="14" fillId="10" borderId="49" xfId="0" applyFont="1" applyFill="1" applyBorder="1" applyAlignment="1">
      <alignment horizontal="center" vertical="center" wrapText="1"/>
    </xf>
    <xf numFmtId="0" fontId="14" fillId="10" borderId="39" xfId="0" applyFont="1" applyFill="1" applyBorder="1" applyAlignment="1">
      <alignment horizontal="center" vertical="center" wrapText="1"/>
    </xf>
    <xf numFmtId="0" fontId="14" fillId="10" borderId="54" xfId="0" applyFont="1" applyFill="1" applyBorder="1" applyAlignment="1">
      <alignment horizontal="center" vertical="center" wrapText="1"/>
    </xf>
    <xf numFmtId="0" fontId="32" fillId="0" borderId="0" xfId="0" applyFont="1"/>
    <xf numFmtId="1" fontId="32" fillId="10" borderId="8" xfId="0" applyNumberFormat="1" applyFont="1" applyFill="1" applyBorder="1" applyAlignment="1">
      <alignment horizontal="center" vertical="center"/>
    </xf>
    <xf numFmtId="0" fontId="32" fillId="0" borderId="0" xfId="0" applyFont="1" applyAlignment="1">
      <alignment vertical="center" wrapText="1"/>
    </xf>
    <xf numFmtId="0" fontId="36" fillId="0" borderId="0" xfId="0" applyFont="1"/>
    <xf numFmtId="0" fontId="15" fillId="0" borderId="0" xfId="0" applyFont="1" applyAlignment="1">
      <alignment vertical="center" wrapText="1"/>
    </xf>
    <xf numFmtId="0" fontId="15" fillId="10" borderId="55" xfId="0" applyFont="1" applyFill="1" applyBorder="1" applyAlignment="1">
      <alignment horizontal="center" vertical="center" wrapText="1"/>
    </xf>
    <xf numFmtId="0" fontId="15" fillId="10" borderId="56" xfId="0" applyFont="1" applyFill="1" applyBorder="1" applyAlignment="1">
      <alignment horizontal="center" vertical="center" wrapText="1"/>
    </xf>
    <xf numFmtId="0" fontId="15" fillId="10" borderId="57" xfId="0" applyFont="1" applyFill="1" applyBorder="1" applyAlignment="1">
      <alignment horizontal="center" vertical="center" wrapText="1"/>
    </xf>
    <xf numFmtId="0" fontId="15" fillId="10" borderId="58" xfId="0" applyFont="1" applyFill="1" applyBorder="1" applyAlignment="1">
      <alignment horizontal="center" vertical="center" wrapText="1"/>
    </xf>
    <xf numFmtId="0" fontId="15" fillId="10" borderId="59" xfId="0" applyFont="1" applyFill="1" applyBorder="1" applyAlignment="1">
      <alignment horizontal="center" vertical="center" wrapText="1"/>
    </xf>
    <xf numFmtId="0" fontId="15" fillId="10" borderId="60" xfId="0" applyFont="1" applyFill="1" applyBorder="1" applyAlignment="1">
      <alignment horizontal="center" vertical="center" wrapText="1"/>
    </xf>
    <xf numFmtId="1" fontId="9" fillId="10" borderId="8" xfId="0" applyNumberFormat="1" applyFont="1" applyFill="1" applyBorder="1" applyAlignment="1">
      <alignment horizontal="center" vertical="center"/>
    </xf>
    <xf numFmtId="0" fontId="9" fillId="10" borderId="8" xfId="0" applyFont="1" applyFill="1" applyBorder="1" applyAlignment="1">
      <alignment horizontal="left" vertical="center"/>
    </xf>
    <xf numFmtId="0" fontId="9" fillId="0" borderId="10" xfId="0" applyFont="1" applyBorder="1" applyAlignment="1">
      <alignment horizontal="left" vertical="center"/>
    </xf>
    <xf numFmtId="0" fontId="13" fillId="10" borderId="63" xfId="0" applyFont="1" applyFill="1" applyBorder="1" applyAlignment="1">
      <alignment horizontal="center" vertical="center" wrapText="1"/>
    </xf>
    <xf numFmtId="0" fontId="40" fillId="10" borderId="64" xfId="0" applyFont="1" applyFill="1" applyBorder="1" applyAlignment="1">
      <alignment horizontal="center" vertical="center" wrapText="1"/>
    </xf>
    <xf numFmtId="0" fontId="14" fillId="10" borderId="62" xfId="0" applyFont="1" applyFill="1" applyBorder="1" applyAlignment="1">
      <alignment vertical="center" wrapText="1"/>
    </xf>
    <xf numFmtId="0" fontId="14" fillId="10" borderId="64" xfId="0" applyFont="1" applyFill="1" applyBorder="1" applyAlignment="1">
      <alignment horizontal="center" vertical="center" wrapText="1"/>
    </xf>
    <xf numFmtId="0" fontId="14" fillId="10" borderId="8" xfId="0" applyFont="1" applyFill="1" applyBorder="1" applyAlignment="1">
      <alignment horizontal="left" vertical="center" wrapText="1"/>
    </xf>
    <xf numFmtId="9" fontId="0" fillId="0" borderId="0" xfId="0" applyNumberFormat="1"/>
    <xf numFmtId="0" fontId="35" fillId="10" borderId="8" xfId="0" applyFont="1" applyFill="1" applyBorder="1"/>
    <xf numFmtId="0" fontId="35" fillId="10" borderId="8" xfId="0" applyFont="1" applyFill="1" applyBorder="1" applyAlignment="1">
      <alignment horizontal="center" vertical="center"/>
    </xf>
    <xf numFmtId="0" fontId="42" fillId="0" borderId="0" xfId="0" applyFont="1"/>
    <xf numFmtId="0" fontId="14" fillId="0" borderId="0" xfId="0" applyFont="1"/>
    <xf numFmtId="9" fontId="35" fillId="10" borderId="8" xfId="0" applyNumberFormat="1" applyFont="1" applyFill="1" applyBorder="1" applyAlignment="1">
      <alignment horizontal="center" vertical="center"/>
    </xf>
    <xf numFmtId="9" fontId="19" fillId="9" borderId="8" xfId="0" applyNumberFormat="1" applyFont="1" applyFill="1" applyBorder="1" applyAlignment="1">
      <alignment horizontal="center" vertical="center" wrapText="1"/>
    </xf>
    <xf numFmtId="1" fontId="35" fillId="11" borderId="8" xfId="0" applyNumberFormat="1" applyFont="1" applyFill="1" applyBorder="1" applyAlignment="1">
      <alignment horizontal="center" vertical="center"/>
    </xf>
    <xf numFmtId="0" fontId="35" fillId="11" borderId="8" xfId="0" applyFont="1" applyFill="1" applyBorder="1" applyAlignment="1">
      <alignment horizontal="center" vertical="center"/>
    </xf>
    <xf numFmtId="9" fontId="13" fillId="10" borderId="8" xfId="0" applyNumberFormat="1" applyFont="1" applyFill="1" applyBorder="1" applyAlignment="1">
      <alignment horizontal="center" vertical="center"/>
    </xf>
    <xf numFmtId="0" fontId="14" fillId="10" borderId="34" xfId="0" applyFont="1" applyFill="1" applyBorder="1" applyAlignment="1">
      <alignment horizontal="center" vertical="center" wrapText="1"/>
    </xf>
    <xf numFmtId="2" fontId="14" fillId="10" borderId="8" xfId="0" applyNumberFormat="1" applyFont="1" applyFill="1" applyBorder="1" applyAlignment="1">
      <alignment horizontal="center" vertical="center"/>
    </xf>
    <xf numFmtId="0" fontId="12" fillId="0" borderId="0" xfId="0" applyFont="1" applyAlignment="1">
      <alignment vertical="center"/>
    </xf>
    <xf numFmtId="1" fontId="35" fillId="10" borderId="8" xfId="0" applyNumberFormat="1" applyFont="1" applyFill="1" applyBorder="1" applyAlignment="1">
      <alignment horizontal="center" vertical="center"/>
    </xf>
    <xf numFmtId="1" fontId="35" fillId="10" borderId="8" xfId="0" applyNumberFormat="1" applyFont="1" applyFill="1" applyBorder="1"/>
    <xf numFmtId="1" fontId="0" fillId="0" borderId="0" xfId="0" applyNumberFormat="1"/>
    <xf numFmtId="0" fontId="35" fillId="11" borderId="8" xfId="0" applyFont="1" applyFill="1" applyBorder="1" applyAlignment="1">
      <alignment vertical="center"/>
    </xf>
    <xf numFmtId="9" fontId="35" fillId="11" borderId="8" xfId="0" applyNumberFormat="1" applyFont="1" applyFill="1" applyBorder="1" applyAlignment="1">
      <alignment horizontal="center" vertical="center"/>
    </xf>
    <xf numFmtId="0" fontId="13" fillId="10" borderId="8" xfId="0" applyFont="1" applyFill="1" applyBorder="1" applyAlignment="1">
      <alignment vertical="center"/>
    </xf>
    <xf numFmtId="0" fontId="45" fillId="10" borderId="8" xfId="0" applyFont="1" applyFill="1" applyBorder="1" applyAlignment="1">
      <alignment vertical="center"/>
    </xf>
    <xf numFmtId="1" fontId="45" fillId="10" borderId="8" xfId="0" applyNumberFormat="1" applyFont="1" applyFill="1" applyBorder="1" applyAlignment="1">
      <alignment horizontal="center"/>
    </xf>
    <xf numFmtId="0" fontId="45" fillId="10" borderId="8" xfId="0" applyFont="1" applyFill="1" applyBorder="1" applyAlignment="1">
      <alignment horizontal="center"/>
    </xf>
    <xf numFmtId="0" fontId="35" fillId="11" borderId="8" xfId="0" applyFont="1" applyFill="1" applyBorder="1" applyAlignment="1">
      <alignment horizontal="left" vertical="center" wrapText="1"/>
    </xf>
    <xf numFmtId="0" fontId="35" fillId="11" borderId="8" xfId="0" applyFont="1" applyFill="1" applyBorder="1" applyAlignment="1">
      <alignment horizontal="left" vertical="center"/>
    </xf>
    <xf numFmtId="49" fontId="19" fillId="9" borderId="8" xfId="0" applyNumberFormat="1" applyFont="1" applyFill="1" applyBorder="1" applyAlignment="1">
      <alignment horizontal="center" vertical="center"/>
    </xf>
    <xf numFmtId="0" fontId="33" fillId="11" borderId="8" xfId="2" applyFont="1" applyFill="1" applyBorder="1" applyAlignment="1">
      <alignment horizontal="left" vertical="center" wrapText="1"/>
    </xf>
    <xf numFmtId="0" fontId="33" fillId="11" borderId="8" xfId="2" applyFont="1" applyFill="1" applyBorder="1" applyAlignment="1">
      <alignment horizontal="center" vertical="center"/>
    </xf>
    <xf numFmtId="49" fontId="13" fillId="10" borderId="8" xfId="0" applyNumberFormat="1" applyFont="1" applyFill="1" applyBorder="1" applyAlignment="1">
      <alignment horizontal="center" vertical="center"/>
    </xf>
    <xf numFmtId="0" fontId="13" fillId="10" borderId="8" xfId="0" applyFont="1" applyFill="1" applyBorder="1" applyAlignment="1">
      <alignment horizontal="left" vertical="center"/>
    </xf>
    <xf numFmtId="3" fontId="14" fillId="0" borderId="8" xfId="0" applyNumberFormat="1" applyFont="1" applyBorder="1" applyAlignment="1">
      <alignment horizontal="center" vertical="center"/>
    </xf>
    <xf numFmtId="49" fontId="14" fillId="10" borderId="8" xfId="0" applyNumberFormat="1" applyFont="1" applyFill="1" applyBorder="1" applyAlignment="1">
      <alignment horizontal="center" vertical="center"/>
    </xf>
    <xf numFmtId="0" fontId="14" fillId="10" borderId="8" xfId="0" applyFont="1" applyFill="1" applyBorder="1" applyAlignment="1">
      <alignment horizontal="left" vertical="center"/>
    </xf>
    <xf numFmtId="3" fontId="14" fillId="10" borderId="8" xfId="0" applyNumberFormat="1" applyFont="1" applyFill="1" applyBorder="1" applyAlignment="1">
      <alignment horizontal="center" vertical="center"/>
    </xf>
    <xf numFmtId="49" fontId="14" fillId="10" borderId="8" xfId="0" applyNumberFormat="1" applyFont="1" applyFill="1" applyBorder="1" applyAlignment="1">
      <alignment horizontal="center" vertical="center" wrapText="1"/>
    </xf>
    <xf numFmtId="166" fontId="15" fillId="10" borderId="8" xfId="0" applyNumberFormat="1" applyFont="1" applyFill="1" applyBorder="1" applyAlignment="1">
      <alignment horizontal="center" vertical="center"/>
    </xf>
    <xf numFmtId="0" fontId="13" fillId="10" borderId="8" xfId="0" applyFont="1" applyFill="1" applyBorder="1" applyAlignment="1">
      <alignment horizontal="left" vertical="center" wrapText="1"/>
    </xf>
    <xf numFmtId="166" fontId="15" fillId="0" borderId="8" xfId="0" applyNumberFormat="1" applyFont="1" applyBorder="1" applyAlignment="1">
      <alignment horizontal="center" vertical="center"/>
    </xf>
    <xf numFmtId="167" fontId="15" fillId="0" borderId="8" xfId="0" applyNumberFormat="1" applyFont="1" applyBorder="1" applyAlignment="1">
      <alignment horizontal="center" vertical="center"/>
    </xf>
    <xf numFmtId="9" fontId="14" fillId="10" borderId="8" xfId="0" applyNumberFormat="1" applyFont="1" applyFill="1" applyBorder="1" applyAlignment="1">
      <alignment horizontal="center" vertical="center"/>
    </xf>
    <xf numFmtId="0" fontId="31" fillId="9" borderId="9" xfId="0" applyFont="1" applyFill="1" applyBorder="1" applyAlignment="1">
      <alignment vertical="center" wrapText="1"/>
    </xf>
    <xf numFmtId="0" fontId="19" fillId="9" borderId="12" xfId="0" applyFont="1" applyFill="1" applyBorder="1" applyAlignment="1">
      <alignment vertical="center"/>
    </xf>
    <xf numFmtId="0" fontId="19" fillId="9" borderId="13" xfId="0" applyFont="1" applyFill="1" applyBorder="1" applyAlignment="1">
      <alignment vertical="center"/>
    </xf>
    <xf numFmtId="0" fontId="35" fillId="0" borderId="0" xfId="0" applyFont="1"/>
    <xf numFmtId="0" fontId="31" fillId="9" borderId="9" xfId="0" applyFont="1" applyFill="1" applyBorder="1" applyAlignment="1">
      <alignment horizontal="center" vertical="center" wrapText="1"/>
    </xf>
    <xf numFmtId="3" fontId="14" fillId="5" borderId="8" xfId="0" applyNumberFormat="1" applyFont="1" applyFill="1" applyBorder="1" applyAlignment="1">
      <alignment horizontal="center" vertical="center"/>
    </xf>
    <xf numFmtId="3" fontId="13" fillId="0" borderId="8" xfId="0" applyNumberFormat="1" applyFont="1" applyBorder="1" applyAlignment="1">
      <alignment horizontal="center" vertical="center"/>
    </xf>
    <xf numFmtId="9" fontId="13" fillId="0" borderId="8" xfId="0" applyNumberFormat="1" applyFont="1" applyBorder="1" applyAlignment="1">
      <alignment horizontal="center" vertical="center"/>
    </xf>
    <xf numFmtId="0" fontId="8" fillId="8" borderId="8" xfId="0" applyFont="1" applyFill="1" applyBorder="1" applyAlignment="1">
      <alignment horizontal="center" vertical="center"/>
    </xf>
    <xf numFmtId="0" fontId="9" fillId="11" borderId="8" xfId="0" applyFont="1" applyFill="1" applyBorder="1" applyAlignment="1">
      <alignment vertical="center"/>
    </xf>
    <xf numFmtId="0" fontId="8" fillId="8" borderId="8" xfId="0" applyFont="1" applyFill="1" applyBorder="1" applyAlignment="1">
      <alignment horizontal="left" vertical="center"/>
    </xf>
    <xf numFmtId="0" fontId="19" fillId="9" borderId="14" xfId="0" applyFont="1" applyFill="1" applyBorder="1" applyAlignment="1">
      <alignment vertical="center"/>
    </xf>
    <xf numFmtId="0" fontId="19" fillId="9" borderId="15" xfId="0" applyFont="1" applyFill="1" applyBorder="1" applyAlignment="1">
      <alignment vertical="center"/>
    </xf>
    <xf numFmtId="0" fontId="19" fillId="9" borderId="16" xfId="0" applyFont="1" applyFill="1" applyBorder="1" applyAlignment="1">
      <alignment vertical="center"/>
    </xf>
    <xf numFmtId="0" fontId="8" fillId="8" borderId="8" xfId="0" applyFont="1" applyFill="1" applyBorder="1" applyAlignment="1">
      <alignment horizontal="center" vertical="center" wrapText="1"/>
    </xf>
    <xf numFmtId="0" fontId="19" fillId="9" borderId="18" xfId="0" applyFont="1" applyFill="1" applyBorder="1" applyAlignment="1">
      <alignment vertical="center"/>
    </xf>
    <xf numFmtId="0" fontId="19" fillId="9" borderId="0" xfId="0" applyFont="1" applyFill="1" applyAlignment="1">
      <alignment vertical="center"/>
    </xf>
    <xf numFmtId="0" fontId="43" fillId="11" borderId="34" xfId="0" applyFont="1" applyFill="1" applyBorder="1" applyAlignment="1">
      <alignment horizontal="center" vertical="center" wrapText="1"/>
    </xf>
    <xf numFmtId="0" fontId="49" fillId="0" borderId="0" xfId="0" applyFont="1"/>
    <xf numFmtId="9" fontId="33" fillId="11" borderId="8" xfId="2" applyNumberFormat="1" applyFont="1" applyFill="1" applyBorder="1" applyAlignment="1">
      <alignment horizontal="center" vertical="center"/>
    </xf>
    <xf numFmtId="165" fontId="34" fillId="10" borderId="8" xfId="3" applyNumberFormat="1" applyFont="1" applyFill="1" applyBorder="1" applyAlignment="1">
      <alignment horizontal="center" vertical="center"/>
    </xf>
    <xf numFmtId="1" fontId="34" fillId="10" borderId="8" xfId="3" applyNumberFormat="1" applyFont="1" applyFill="1" applyBorder="1" applyAlignment="1">
      <alignment horizontal="center" vertical="center"/>
    </xf>
    <xf numFmtId="1" fontId="34" fillId="10" borderId="8" xfId="3" applyNumberFormat="1" applyFont="1" applyFill="1" applyBorder="1" applyAlignment="1">
      <alignment horizontal="right" vertical="center"/>
    </xf>
    <xf numFmtId="1" fontId="32" fillId="10" borderId="8" xfId="3" applyNumberFormat="1" applyFont="1" applyFill="1" applyBorder="1" applyAlignment="1">
      <alignment horizontal="right" vertical="center"/>
    </xf>
    <xf numFmtId="0" fontId="14" fillId="11" borderId="8" xfId="0" applyFont="1" applyFill="1" applyBorder="1" applyAlignment="1">
      <alignment vertical="center" wrapText="1"/>
    </xf>
    <xf numFmtId="0" fontId="35" fillId="11" borderId="8" xfId="0" applyFont="1" applyFill="1" applyBorder="1" applyAlignment="1">
      <alignment vertical="center" wrapText="1"/>
    </xf>
    <xf numFmtId="0" fontId="35" fillId="11" borderId="10" xfId="0" applyFont="1" applyFill="1" applyBorder="1" applyAlignment="1">
      <alignment vertical="center" wrapText="1"/>
    </xf>
    <xf numFmtId="0" fontId="13" fillId="10" borderId="47" xfId="0" applyFont="1" applyFill="1" applyBorder="1" applyAlignment="1">
      <alignment horizontal="center" vertical="center" wrapText="1"/>
    </xf>
    <xf numFmtId="0" fontId="53" fillId="0" borderId="0" xfId="5"/>
    <xf numFmtId="0" fontId="54" fillId="0" borderId="0" xfId="0" applyFont="1"/>
    <xf numFmtId="1" fontId="14" fillId="10" borderId="51" xfId="0" applyNumberFormat="1" applyFont="1" applyFill="1" applyBorder="1" applyAlignment="1">
      <alignment horizontal="center" vertical="center" wrapText="1"/>
    </xf>
    <xf numFmtId="1" fontId="13" fillId="10" borderId="51" xfId="0" applyNumberFormat="1" applyFont="1" applyFill="1" applyBorder="1" applyAlignment="1">
      <alignment horizontal="center" vertical="center" wrapText="1"/>
    </xf>
    <xf numFmtId="1" fontId="14" fillId="10" borderId="8" xfId="0" applyNumberFormat="1" applyFont="1" applyFill="1" applyBorder="1" applyAlignment="1">
      <alignment horizontal="left" vertical="center" wrapText="1"/>
    </xf>
    <xf numFmtId="1" fontId="13" fillId="10" borderId="8" xfId="0" applyNumberFormat="1" applyFont="1" applyFill="1" applyBorder="1" applyAlignment="1">
      <alignment horizontal="center" vertical="center" wrapText="1"/>
    </xf>
    <xf numFmtId="0" fontId="35" fillId="10" borderId="8" xfId="0" applyFont="1" applyFill="1" applyBorder="1" applyAlignment="1">
      <alignment horizontal="left" vertical="center" wrapText="1"/>
    </xf>
    <xf numFmtId="0" fontId="35" fillId="0" borderId="0" xfId="0" applyFont="1" applyAlignment="1">
      <alignment vertical="center"/>
    </xf>
    <xf numFmtId="0" fontId="35" fillId="10" borderId="8" xfId="0" applyFont="1" applyFill="1" applyBorder="1" applyAlignment="1">
      <alignment wrapText="1"/>
    </xf>
    <xf numFmtId="0" fontId="35" fillId="10" borderId="8" xfId="0" applyFont="1" applyFill="1" applyBorder="1" applyAlignment="1">
      <alignment horizontal="center" vertical="center" wrapText="1"/>
    </xf>
    <xf numFmtId="0" fontId="13" fillId="10" borderId="8" xfId="0" applyFont="1" applyFill="1" applyBorder="1" applyAlignment="1">
      <alignment wrapText="1"/>
    </xf>
    <xf numFmtId="0" fontId="58" fillId="0" borderId="0" xfId="0" applyFont="1"/>
    <xf numFmtId="0" fontId="60" fillId="0" borderId="0" xfId="0" applyFont="1" applyAlignment="1">
      <alignment horizontal="center" vertical="center"/>
    </xf>
    <xf numFmtId="0" fontId="42" fillId="0" borderId="0" xfId="0" applyFont="1" applyAlignment="1">
      <alignment vertical="center"/>
    </xf>
    <xf numFmtId="1" fontId="42" fillId="0" borderId="0" xfId="0" applyNumberFormat="1" applyFont="1" applyAlignment="1">
      <alignment horizontal="center" vertical="center"/>
    </xf>
    <xf numFmtId="168" fontId="14" fillId="5" borderId="8" xfId="0" applyNumberFormat="1" applyFont="1" applyFill="1" applyBorder="1" applyAlignment="1">
      <alignment horizontal="center" vertical="center"/>
    </xf>
    <xf numFmtId="0" fontId="19" fillId="9" borderId="8" xfId="0" applyFont="1" applyFill="1" applyBorder="1" applyAlignment="1">
      <alignment vertical="center" wrapText="1"/>
    </xf>
    <xf numFmtId="0" fontId="9" fillId="10" borderId="9" xfId="0" applyFont="1" applyFill="1" applyBorder="1" applyAlignment="1">
      <alignment vertical="center" wrapText="1"/>
    </xf>
    <xf numFmtId="0" fontId="14" fillId="11" borderId="6" xfId="0" applyFont="1" applyFill="1" applyBorder="1" applyAlignment="1">
      <alignment horizontal="center" vertical="center"/>
    </xf>
    <xf numFmtId="0" fontId="14" fillId="11" borderId="7" xfId="0" applyFont="1" applyFill="1" applyBorder="1" applyAlignment="1">
      <alignment horizontal="center" vertical="center"/>
    </xf>
    <xf numFmtId="0" fontId="35" fillId="11" borderId="8" xfId="0" applyFont="1" applyFill="1" applyBorder="1" applyAlignment="1">
      <alignment horizontal="center" vertical="center" wrapText="1"/>
    </xf>
    <xf numFmtId="0" fontId="61" fillId="10" borderId="8" xfId="2" applyFont="1" applyFill="1" applyBorder="1" applyAlignment="1">
      <alignment horizontal="left" vertical="center" wrapText="1"/>
    </xf>
    <xf numFmtId="0" fontId="31" fillId="9" borderId="8" xfId="0" applyFont="1" applyFill="1" applyBorder="1" applyAlignment="1">
      <alignment vertical="center" wrapText="1"/>
    </xf>
    <xf numFmtId="0" fontId="32" fillId="14" borderId="2" xfId="0" applyFont="1" applyFill="1" applyBorder="1" applyAlignment="1">
      <alignment horizontal="center" vertical="center" wrapText="1"/>
    </xf>
    <xf numFmtId="165" fontId="15" fillId="14" borderId="2" xfId="3" applyNumberFormat="1" applyFont="1" applyFill="1" applyBorder="1" applyAlignment="1">
      <alignment horizontal="left" vertical="center"/>
    </xf>
    <xf numFmtId="165" fontId="15" fillId="14" borderId="2" xfId="3" applyNumberFormat="1" applyFont="1" applyFill="1" applyBorder="1" applyAlignment="1">
      <alignment horizontal="center" vertical="center"/>
    </xf>
    <xf numFmtId="0" fontId="35" fillId="0" borderId="41" xfId="0" applyFont="1" applyBorder="1" applyAlignment="1">
      <alignment horizontal="center" vertical="center" wrapText="1"/>
    </xf>
    <xf numFmtId="0" fontId="35" fillId="0" borderId="44" xfId="0" applyFont="1" applyBorder="1" applyAlignment="1">
      <alignment horizontal="center" vertical="center" wrapText="1"/>
    </xf>
    <xf numFmtId="0" fontId="35" fillId="0" borderId="43" xfId="0" applyFont="1" applyBorder="1" applyAlignment="1">
      <alignment horizontal="center" vertical="center" wrapText="1"/>
    </xf>
    <xf numFmtId="0" fontId="35" fillId="0" borderId="66" xfId="0" applyFont="1" applyBorder="1" applyAlignment="1">
      <alignment horizontal="center" vertical="center" wrapText="1"/>
    </xf>
    <xf numFmtId="0" fontId="13" fillId="11" borderId="9" xfId="0" applyFont="1" applyFill="1" applyBorder="1" applyAlignment="1">
      <alignment horizontal="center" vertical="center"/>
    </xf>
    <xf numFmtId="0" fontId="14" fillId="5" borderId="8" xfId="0" applyFont="1" applyFill="1" applyBorder="1" applyAlignment="1">
      <alignment horizontal="center" vertical="center"/>
    </xf>
    <xf numFmtId="0" fontId="19" fillId="9" borderId="14" xfId="0" applyFont="1" applyFill="1" applyBorder="1" applyAlignment="1">
      <alignment horizontal="center" vertical="center"/>
    </xf>
    <xf numFmtId="1" fontId="13" fillId="10" borderId="16" xfId="0" applyNumberFormat="1" applyFont="1" applyFill="1" applyBorder="1" applyAlignment="1">
      <alignment vertical="center"/>
    </xf>
    <xf numFmtId="0" fontId="9" fillId="5" borderId="8" xfId="0" applyFont="1" applyFill="1" applyBorder="1" applyAlignment="1">
      <alignment vertical="center" wrapText="1"/>
    </xf>
    <xf numFmtId="0" fontId="9" fillId="5" borderId="8" xfId="0" applyFont="1" applyFill="1" applyBorder="1" applyAlignment="1">
      <alignment horizontal="center" vertical="center" wrapText="1"/>
    </xf>
    <xf numFmtId="9" fontId="14" fillId="5" borderId="8" xfId="0" applyNumberFormat="1" applyFont="1" applyFill="1" applyBorder="1" applyAlignment="1">
      <alignment horizontal="center" vertical="center"/>
    </xf>
    <xf numFmtId="1" fontId="14" fillId="10" borderId="0" xfId="0" applyNumberFormat="1" applyFont="1" applyFill="1" applyAlignment="1">
      <alignment horizontal="left" vertical="center" wrapText="1"/>
    </xf>
    <xf numFmtId="0" fontId="19" fillId="9" borderId="12" xfId="0" applyFont="1" applyFill="1" applyBorder="1" applyAlignment="1">
      <alignment vertical="center" wrapText="1"/>
    </xf>
    <xf numFmtId="1" fontId="13" fillId="10" borderId="8" xfId="0" applyNumberFormat="1" applyFont="1" applyFill="1" applyBorder="1" applyAlignment="1">
      <alignment horizontal="left" vertical="center" wrapText="1"/>
    </xf>
    <xf numFmtId="0" fontId="63" fillId="0" borderId="67" xfId="0" applyFont="1" applyBorder="1" applyAlignment="1">
      <alignment horizontal="center" vertical="center" wrapText="1"/>
    </xf>
    <xf numFmtId="0" fontId="64" fillId="0" borderId="67" xfId="0" applyFont="1" applyBorder="1" applyAlignment="1">
      <alignment horizontal="center" vertical="center" wrapText="1"/>
    </xf>
    <xf numFmtId="0" fontId="64" fillId="0" borderId="27" xfId="0" applyFont="1" applyBorder="1" applyAlignment="1">
      <alignment horizontal="center" vertical="center" wrapText="1"/>
    </xf>
    <xf numFmtId="0" fontId="0" fillId="0" borderId="66" xfId="0" applyBorder="1" applyAlignment="1">
      <alignment vertical="top" wrapText="1"/>
    </xf>
    <xf numFmtId="0" fontId="63" fillId="0" borderId="27" xfId="0" applyFont="1" applyBorder="1" applyAlignment="1">
      <alignment horizontal="center" vertical="center" wrapText="1"/>
    </xf>
    <xf numFmtId="0" fontId="63" fillId="0" borderId="66" xfId="0" applyFont="1" applyBorder="1" applyAlignment="1">
      <alignment horizontal="center" vertical="center" wrapText="1"/>
    </xf>
    <xf numFmtId="0" fontId="65" fillId="0" borderId="27" xfId="0" applyFont="1" applyBorder="1" applyAlignment="1">
      <alignment vertical="center" wrapText="1"/>
    </xf>
    <xf numFmtId="0" fontId="65" fillId="0" borderId="66" xfId="0" applyFont="1" applyBorder="1" applyAlignment="1">
      <alignment vertical="center" wrapText="1"/>
    </xf>
    <xf numFmtId="0" fontId="65" fillId="0" borderId="27" xfId="0" applyFont="1" applyBorder="1" applyAlignment="1">
      <alignment horizontal="justify" vertical="center" wrapText="1"/>
    </xf>
    <xf numFmtId="0" fontId="65" fillId="0" borderId="66" xfId="0" applyFont="1" applyBorder="1" applyAlignment="1">
      <alignment horizontal="justify" vertical="center" wrapText="1"/>
    </xf>
    <xf numFmtId="0" fontId="66" fillId="0" borderId="66" xfId="0" applyFont="1" applyBorder="1" applyAlignment="1">
      <alignment horizontal="center" vertical="center" wrapText="1"/>
    </xf>
    <xf numFmtId="0" fontId="67" fillId="0" borderId="66" xfId="0" applyFont="1" applyBorder="1" applyAlignment="1">
      <alignment horizontal="center" vertical="center" wrapText="1"/>
    </xf>
    <xf numFmtId="3" fontId="66" fillId="0" borderId="66" xfId="0" applyNumberFormat="1" applyFont="1" applyBorder="1" applyAlignment="1">
      <alignment horizontal="center" vertical="center" wrapText="1"/>
    </xf>
    <xf numFmtId="0" fontId="10" fillId="10" borderId="8" xfId="0" applyFont="1" applyFill="1" applyBorder="1" applyAlignment="1">
      <alignment vertical="center" wrapText="1"/>
    </xf>
    <xf numFmtId="0" fontId="13" fillId="0" borderId="0" xfId="0" applyFont="1"/>
    <xf numFmtId="0" fontId="50" fillId="9" borderId="8" xfId="0" applyFont="1" applyFill="1" applyBorder="1" applyAlignment="1">
      <alignment horizontal="center" vertical="center" wrapText="1"/>
    </xf>
    <xf numFmtId="0" fontId="61" fillId="10" borderId="8" xfId="2" applyFont="1" applyFill="1" applyBorder="1" applyAlignment="1">
      <alignment horizontal="center" vertical="center" wrapText="1"/>
    </xf>
    <xf numFmtId="3" fontId="61" fillId="10" borderId="8" xfId="2" applyNumberFormat="1" applyFont="1" applyFill="1" applyBorder="1" applyAlignment="1">
      <alignment horizontal="center" vertical="center" wrapText="1"/>
    </xf>
    <xf numFmtId="1" fontId="61" fillId="10" borderId="8" xfId="2" applyNumberFormat="1" applyFont="1" applyFill="1" applyBorder="1" applyAlignment="1">
      <alignment horizontal="center" vertical="center" wrapText="1"/>
    </xf>
    <xf numFmtId="0" fontId="70" fillId="6" borderId="8" xfId="0" applyFont="1" applyFill="1" applyBorder="1" applyAlignment="1">
      <alignment horizontal="center" vertical="center"/>
    </xf>
    <xf numFmtId="3" fontId="6" fillId="10" borderId="8" xfId="3" applyNumberFormat="1" applyFont="1" applyFill="1" applyBorder="1" applyAlignment="1">
      <alignment horizontal="center" vertical="center"/>
    </xf>
    <xf numFmtId="165" fontId="6" fillId="10" borderId="8" xfId="3" applyNumberFormat="1" applyFont="1" applyFill="1" applyBorder="1" applyAlignment="1">
      <alignment horizontal="center" vertical="center"/>
    </xf>
    <xf numFmtId="168" fontId="6" fillId="10" borderId="8" xfId="3" applyNumberFormat="1" applyFont="1" applyFill="1" applyBorder="1" applyAlignment="1">
      <alignment horizontal="center" vertical="center"/>
    </xf>
    <xf numFmtId="169" fontId="71" fillId="10" borderId="8" xfId="0" applyNumberFormat="1" applyFont="1" applyFill="1" applyBorder="1" applyAlignment="1">
      <alignment horizontal="center" vertical="center"/>
    </xf>
    <xf numFmtId="1" fontId="6" fillId="10" borderId="8" xfId="3" applyNumberFormat="1" applyFont="1" applyFill="1" applyBorder="1" applyAlignment="1">
      <alignment horizontal="center" vertical="center"/>
    </xf>
    <xf numFmtId="0" fontId="26" fillId="10" borderId="8" xfId="0" applyFont="1" applyFill="1" applyBorder="1" applyAlignment="1">
      <alignment horizontal="left" vertical="center" wrapText="1"/>
    </xf>
    <xf numFmtId="2" fontId="26" fillId="10" borderId="8" xfId="0" applyNumberFormat="1" applyFont="1" applyFill="1" applyBorder="1" applyAlignment="1">
      <alignment horizontal="center" vertical="center" wrapText="1"/>
    </xf>
    <xf numFmtId="1" fontId="11" fillId="0" borderId="0" xfId="0" applyNumberFormat="1" applyFont="1"/>
    <xf numFmtId="0" fontId="35" fillId="5" borderId="8" xfId="0" applyFont="1" applyFill="1" applyBorder="1" applyAlignment="1">
      <alignment horizontal="center" vertical="center"/>
    </xf>
    <xf numFmtId="1" fontId="35" fillId="5" borderId="8" xfId="0" applyNumberFormat="1" applyFont="1" applyFill="1" applyBorder="1" applyAlignment="1">
      <alignment horizontal="center" vertical="center"/>
    </xf>
    <xf numFmtId="0" fontId="72" fillId="0" borderId="0" xfId="0" applyFont="1"/>
    <xf numFmtId="0" fontId="73" fillId="6" borderId="69" xfId="0" applyFont="1" applyFill="1" applyBorder="1" applyAlignment="1">
      <alignment horizontal="left" vertical="center"/>
    </xf>
    <xf numFmtId="0" fontId="73" fillId="6" borderId="70" xfId="0" applyFont="1" applyFill="1" applyBorder="1" applyAlignment="1">
      <alignment vertical="center"/>
    </xf>
    <xf numFmtId="0" fontId="73" fillId="6" borderId="26" xfId="0" applyFont="1" applyFill="1" applyBorder="1" applyAlignment="1">
      <alignment horizontal="center" vertical="center"/>
    </xf>
    <xf numFmtId="0" fontId="74" fillId="6" borderId="71" xfId="0" applyFont="1" applyFill="1" applyBorder="1"/>
    <xf numFmtId="0" fontId="0" fillId="6" borderId="4" xfId="0" applyFill="1" applyBorder="1"/>
    <xf numFmtId="0" fontId="0" fillId="6" borderId="5" xfId="0" applyFill="1" applyBorder="1"/>
    <xf numFmtId="0" fontId="0" fillId="6" borderId="28" xfId="0" applyFill="1" applyBorder="1"/>
    <xf numFmtId="165" fontId="14" fillId="5" borderId="34" xfId="0" applyNumberFormat="1" applyFont="1" applyFill="1" applyBorder="1" applyAlignment="1">
      <alignment horizontal="center" vertical="center" wrapText="1"/>
    </xf>
    <xf numFmtId="1" fontId="13" fillId="0" borderId="0" xfId="0" applyNumberFormat="1" applyFont="1" applyAlignment="1">
      <alignment horizontal="center" vertical="center"/>
    </xf>
    <xf numFmtId="0" fontId="75" fillId="11" borderId="8" xfId="0" applyFont="1" applyFill="1" applyBorder="1" applyAlignment="1">
      <alignment horizontal="center" vertical="center"/>
    </xf>
    <xf numFmtId="0" fontId="76" fillId="8" borderId="8" xfId="0" applyFont="1" applyFill="1" applyBorder="1" applyAlignment="1">
      <alignment horizontal="center" vertical="center" wrapText="1"/>
    </xf>
    <xf numFmtId="0" fontId="75" fillId="11" borderId="8" xfId="0" applyFont="1" applyFill="1" applyBorder="1"/>
    <xf numFmtId="0" fontId="78" fillId="11" borderId="8" xfId="0" applyFont="1" applyFill="1" applyBorder="1" applyAlignment="1">
      <alignment vertical="center"/>
    </xf>
    <xf numFmtId="0" fontId="78" fillId="11" borderId="8" xfId="0" applyFont="1" applyFill="1" applyBorder="1" applyAlignment="1">
      <alignment horizontal="center" vertical="center" wrapText="1"/>
    </xf>
    <xf numFmtId="0" fontId="78" fillId="11" borderId="8" xfId="0" applyFont="1" applyFill="1" applyBorder="1" applyAlignment="1">
      <alignment horizontal="center" vertical="center"/>
    </xf>
    <xf numFmtId="0" fontId="78" fillId="10" borderId="8" xfId="0" applyFont="1" applyFill="1" applyBorder="1" applyAlignment="1">
      <alignment horizontal="center" vertical="center" wrapText="1"/>
    </xf>
    <xf numFmtId="1" fontId="78" fillId="10" borderId="8" xfId="0" applyNumberFormat="1" applyFont="1" applyFill="1" applyBorder="1" applyAlignment="1">
      <alignment horizontal="center" vertical="center"/>
    </xf>
    <xf numFmtId="1" fontId="79" fillId="10" borderId="8" xfId="0" applyNumberFormat="1" applyFont="1" applyFill="1" applyBorder="1" applyAlignment="1">
      <alignment horizontal="center" vertical="center"/>
    </xf>
    <xf numFmtId="1" fontId="70" fillId="10" borderId="8" xfId="0" applyNumberFormat="1" applyFont="1" applyFill="1" applyBorder="1" applyAlignment="1">
      <alignment horizontal="center" vertical="center"/>
    </xf>
    <xf numFmtId="0" fontId="70" fillId="11" borderId="8" xfId="0" applyFont="1" applyFill="1" applyBorder="1" applyAlignment="1">
      <alignment horizontal="center" vertical="center"/>
    </xf>
    <xf numFmtId="1" fontId="71" fillId="10" borderId="8" xfId="0" applyNumberFormat="1" applyFont="1" applyFill="1" applyBorder="1" applyAlignment="1">
      <alignment horizontal="center" vertical="center"/>
    </xf>
    <xf numFmtId="0" fontId="75" fillId="5" borderId="8" xfId="0" applyFont="1" applyFill="1" applyBorder="1" applyAlignment="1">
      <alignment horizontal="center" vertical="center"/>
    </xf>
    <xf numFmtId="165" fontId="70" fillId="10" borderId="8" xfId="0" applyNumberFormat="1" applyFont="1" applyFill="1" applyBorder="1" applyAlignment="1">
      <alignment horizontal="center" vertical="center"/>
    </xf>
    <xf numFmtId="1" fontId="26" fillId="10" borderId="8" xfId="0" applyNumberFormat="1" applyFont="1" applyFill="1" applyBorder="1" applyAlignment="1">
      <alignment horizontal="center" vertical="center" wrapText="1"/>
    </xf>
    <xf numFmtId="0" fontId="27" fillId="10" borderId="8" xfId="0" applyFont="1" applyFill="1" applyBorder="1" applyAlignment="1">
      <alignment vertical="center" wrapText="1"/>
    </xf>
    <xf numFmtId="1" fontId="27" fillId="10" borderId="8" xfId="0" applyNumberFormat="1" applyFont="1" applyFill="1" applyBorder="1" applyAlignment="1">
      <alignment horizontal="center" vertical="center" wrapText="1"/>
    </xf>
    <xf numFmtId="0" fontId="48" fillId="0" borderId="0" xfId="0" applyFont="1" applyAlignment="1">
      <alignment vertical="center"/>
    </xf>
    <xf numFmtId="165" fontId="61" fillId="5" borderId="8" xfId="2" applyNumberFormat="1" applyFont="1" applyFill="1" applyBorder="1" applyAlignment="1">
      <alignment horizontal="center" vertical="center" wrapText="1"/>
    </xf>
    <xf numFmtId="0" fontId="61" fillId="5" borderId="8" xfId="2" applyFont="1" applyFill="1" applyBorder="1" applyAlignment="1">
      <alignment horizontal="center" vertical="center" wrapText="1"/>
    </xf>
    <xf numFmtId="1" fontId="61" fillId="5" borderId="8" xfId="2" applyNumberFormat="1" applyFont="1" applyFill="1" applyBorder="1" applyAlignment="1">
      <alignment horizontal="center" vertical="center" wrapText="1"/>
    </xf>
    <xf numFmtId="169" fontId="61" fillId="5" borderId="8" xfId="2" applyNumberFormat="1" applyFont="1" applyFill="1" applyBorder="1" applyAlignment="1">
      <alignment horizontal="center" vertical="center" wrapText="1"/>
    </xf>
    <xf numFmtId="1" fontId="13" fillId="5" borderId="8" xfId="0" applyNumberFormat="1" applyFont="1" applyFill="1" applyBorder="1" applyAlignment="1">
      <alignment horizontal="center" vertical="center"/>
    </xf>
    <xf numFmtId="0" fontId="0" fillId="0" borderId="73" xfId="0" applyBorder="1"/>
    <xf numFmtId="0" fontId="0" fillId="0" borderId="27" xfId="0" applyBorder="1"/>
    <xf numFmtId="0" fontId="0" fillId="0" borderId="2" xfId="0" applyBorder="1"/>
    <xf numFmtId="0" fontId="0" fillId="11" borderId="2" xfId="0" applyFill="1" applyBorder="1"/>
    <xf numFmtId="2" fontId="0" fillId="0" borderId="2" xfId="0" applyNumberFormat="1" applyBorder="1"/>
    <xf numFmtId="0" fontId="0" fillId="0" borderId="2" xfId="0" applyBorder="1" applyAlignment="1">
      <alignment wrapText="1"/>
    </xf>
    <xf numFmtId="0" fontId="0" fillId="5" borderId="2" xfId="0" applyFill="1" applyBorder="1"/>
    <xf numFmtId="164" fontId="0" fillId="5" borderId="2" xfId="0" applyNumberFormat="1" applyFill="1" applyBorder="1"/>
    <xf numFmtId="0" fontId="0" fillId="5" borderId="74" xfId="0" applyFill="1" applyBorder="1"/>
    <xf numFmtId="1" fontId="0" fillId="5" borderId="2" xfId="0" applyNumberFormat="1" applyFill="1" applyBorder="1"/>
    <xf numFmtId="0" fontId="0" fillId="0" borderId="3" xfId="0" applyBorder="1" applyAlignment="1">
      <alignment wrapText="1"/>
    </xf>
    <xf numFmtId="0" fontId="0" fillId="0" borderId="23" xfId="0" applyBorder="1"/>
    <xf numFmtId="0" fontId="0" fillId="0" borderId="23" xfId="0" applyBorder="1" applyAlignment="1">
      <alignment wrapText="1"/>
    </xf>
    <xf numFmtId="0" fontId="0" fillId="0" borderId="28" xfId="0" applyBorder="1" applyAlignment="1">
      <alignment wrapText="1"/>
    </xf>
    <xf numFmtId="0" fontId="0" fillId="0" borderId="24" xfId="0" applyBorder="1"/>
    <xf numFmtId="0" fontId="0" fillId="0" borderId="25" xfId="0" applyBorder="1"/>
    <xf numFmtId="2" fontId="0" fillId="0" borderId="25" xfId="0" applyNumberFormat="1" applyBorder="1"/>
    <xf numFmtId="0" fontId="0" fillId="0" borderId="77" xfId="0" applyBorder="1"/>
    <xf numFmtId="2" fontId="0" fillId="5" borderId="2" xfId="0" applyNumberFormat="1" applyFill="1" applyBorder="1"/>
    <xf numFmtId="2" fontId="0" fillId="5" borderId="25" xfId="0" applyNumberFormat="1" applyFill="1" applyBorder="1"/>
    <xf numFmtId="165" fontId="0" fillId="5" borderId="2" xfId="0" applyNumberFormat="1" applyFill="1" applyBorder="1"/>
    <xf numFmtId="165" fontId="0" fillId="5" borderId="25" xfId="0" applyNumberFormat="1" applyFill="1" applyBorder="1"/>
    <xf numFmtId="1" fontId="0" fillId="5" borderId="25" xfId="0" applyNumberFormat="1" applyFill="1" applyBorder="1"/>
    <xf numFmtId="164" fontId="0" fillId="5" borderId="3" xfId="0" applyNumberFormat="1" applyFill="1" applyBorder="1"/>
    <xf numFmtId="1" fontId="0" fillId="5" borderId="28" xfId="0" applyNumberFormat="1" applyFill="1" applyBorder="1"/>
    <xf numFmtId="1" fontId="0" fillId="5" borderId="78" xfId="0" applyNumberFormat="1" applyFill="1" applyBorder="1"/>
    <xf numFmtId="1" fontId="0" fillId="15" borderId="41" xfId="0" applyNumberFormat="1" applyFill="1" applyBorder="1"/>
    <xf numFmtId="2" fontId="0" fillId="0" borderId="0" xfId="0" applyNumberFormat="1"/>
    <xf numFmtId="165" fontId="0" fillId="0" borderId="0" xfId="0" applyNumberFormat="1"/>
    <xf numFmtId="1" fontId="0" fillId="0" borderId="67" xfId="0" applyNumberFormat="1" applyBorder="1"/>
    <xf numFmtId="0" fontId="13" fillId="10" borderId="12" xfId="0" applyFont="1" applyFill="1" applyBorder="1" applyAlignment="1">
      <alignment horizontal="left" vertical="center"/>
    </xf>
    <xf numFmtId="0" fontId="13" fillId="10" borderId="14" xfId="0" applyFont="1" applyFill="1" applyBorder="1" applyAlignment="1">
      <alignment horizontal="left" vertical="center"/>
    </xf>
    <xf numFmtId="1" fontId="9" fillId="5" borderId="8" xfId="0" applyNumberFormat="1" applyFont="1" applyFill="1" applyBorder="1" applyAlignment="1">
      <alignment horizontal="center" vertical="center" wrapText="1"/>
    </xf>
    <xf numFmtId="0" fontId="9" fillId="11" borderId="8" xfId="0" applyFont="1" applyFill="1" applyBorder="1" applyAlignment="1">
      <alignment vertical="center" wrapText="1"/>
    </xf>
    <xf numFmtId="1" fontId="58" fillId="10" borderId="12" xfId="0" applyNumberFormat="1" applyFont="1" applyFill="1" applyBorder="1" applyAlignment="1">
      <alignment horizontal="center" vertical="center"/>
    </xf>
    <xf numFmtId="0" fontId="13" fillId="0" borderId="12" xfId="0" applyFont="1" applyBorder="1" applyAlignment="1">
      <alignment horizontal="left" vertical="center"/>
    </xf>
    <xf numFmtId="0" fontId="13" fillId="0" borderId="14" xfId="0" applyFont="1" applyBorder="1" applyAlignment="1">
      <alignment horizontal="left" vertical="center"/>
    </xf>
    <xf numFmtId="0" fontId="15" fillId="0" borderId="23" xfId="0" applyFont="1" applyBorder="1" applyAlignment="1">
      <alignment horizontal="left" vertical="center"/>
    </xf>
    <xf numFmtId="0" fontId="15" fillId="0" borderId="2" xfId="0" applyFont="1" applyBorder="1" applyAlignment="1">
      <alignment horizontal="left" vertical="center"/>
    </xf>
    <xf numFmtId="0" fontId="19" fillId="9" borderId="22" xfId="0" applyFont="1" applyFill="1" applyBorder="1" applyAlignment="1">
      <alignment horizontal="center" vertical="center"/>
    </xf>
    <xf numFmtId="0" fontId="19" fillId="9" borderId="2" xfId="0" applyFont="1" applyFill="1" applyBorder="1" applyAlignment="1">
      <alignment horizontal="center" vertical="center"/>
    </xf>
    <xf numFmtId="0" fontId="19" fillId="9" borderId="26" xfId="0" applyFont="1" applyFill="1" applyBorder="1" applyAlignment="1">
      <alignment horizontal="center" vertical="center"/>
    </xf>
    <xf numFmtId="0" fontId="19" fillId="9" borderId="28" xfId="0" applyFont="1" applyFill="1" applyBorder="1" applyAlignment="1">
      <alignment horizontal="center" vertical="center"/>
    </xf>
    <xf numFmtId="0" fontId="19" fillId="9" borderId="21" xfId="0" applyFont="1" applyFill="1" applyBorder="1" applyAlignment="1">
      <alignment horizontal="center" vertical="center"/>
    </xf>
    <xf numFmtId="0" fontId="19" fillId="9" borderId="23" xfId="0" applyFont="1" applyFill="1" applyBorder="1" applyAlignment="1">
      <alignment horizontal="center" vertical="center"/>
    </xf>
    <xf numFmtId="0" fontId="19" fillId="9" borderId="8" xfId="0" applyFont="1" applyFill="1" applyBorder="1" applyAlignment="1">
      <alignment horizontal="center" vertical="center" textRotation="90"/>
    </xf>
    <xf numFmtId="0" fontId="19" fillId="9" borderId="8" xfId="0" applyFont="1" applyFill="1" applyBorder="1" applyAlignment="1">
      <alignment horizontal="center" vertical="center" textRotation="90" wrapText="1"/>
    </xf>
    <xf numFmtId="0" fontId="15" fillId="11" borderId="2" xfId="0" applyFont="1" applyFill="1" applyBorder="1" applyAlignment="1">
      <alignment horizontal="center" vertical="center"/>
    </xf>
    <xf numFmtId="165" fontId="15" fillId="11" borderId="2" xfId="0" applyNumberFormat="1" applyFont="1" applyFill="1" applyBorder="1" applyAlignment="1">
      <alignment horizontal="center" vertical="center"/>
    </xf>
    <xf numFmtId="0" fontId="9" fillId="5" borderId="8" xfId="0" applyFont="1" applyFill="1" applyBorder="1" applyAlignment="1">
      <alignment horizontal="center" vertical="center"/>
    </xf>
    <xf numFmtId="1" fontId="13" fillId="0" borderId="12" xfId="0" applyNumberFormat="1" applyFont="1" applyBorder="1" applyAlignment="1">
      <alignment horizontal="center" vertical="center"/>
    </xf>
    <xf numFmtId="1" fontId="13" fillId="0" borderId="13" xfId="0" applyNumberFormat="1" applyFont="1" applyBorder="1" applyAlignment="1">
      <alignment horizontal="center" vertical="center"/>
    </xf>
    <xf numFmtId="1" fontId="13" fillId="0" borderId="14" xfId="0" applyNumberFormat="1" applyFont="1" applyBorder="1" applyAlignment="1">
      <alignment horizontal="center" vertical="center"/>
    </xf>
    <xf numFmtId="0" fontId="13" fillId="12" borderId="0" xfId="0" applyFont="1" applyFill="1" applyAlignment="1">
      <alignment horizontal="left" vertical="center"/>
    </xf>
    <xf numFmtId="1" fontId="13" fillId="12" borderId="0" xfId="0" applyNumberFormat="1" applyFont="1" applyFill="1" applyAlignment="1">
      <alignment horizontal="center" vertical="center"/>
    </xf>
    <xf numFmtId="0" fontId="14" fillId="12" borderId="0" xfId="0" applyFont="1" applyFill="1" applyAlignment="1">
      <alignment horizontal="center" vertical="center"/>
    </xf>
    <xf numFmtId="0" fontId="13" fillId="12" borderId="0" xfId="0" applyFont="1" applyFill="1" applyAlignment="1">
      <alignment horizontal="center" vertical="center"/>
    </xf>
    <xf numFmtId="0" fontId="13" fillId="10" borderId="8" xfId="0" applyFont="1" applyFill="1" applyBorder="1" applyAlignment="1">
      <alignment horizontal="center" vertical="center" wrapText="1"/>
    </xf>
    <xf numFmtId="0" fontId="13" fillId="11" borderId="9" xfId="0" applyFont="1" applyFill="1" applyBorder="1" applyAlignment="1">
      <alignment horizontal="center" vertical="center" wrapText="1"/>
    </xf>
    <xf numFmtId="0" fontId="0" fillId="0" borderId="0" xfId="0" applyAlignment="1">
      <alignment horizontal="center" vertical="center"/>
    </xf>
    <xf numFmtId="165" fontId="26" fillId="10" borderId="8" xfId="0" applyNumberFormat="1" applyFont="1" applyFill="1" applyBorder="1" applyAlignment="1">
      <alignment horizontal="center" vertical="center" wrapText="1"/>
    </xf>
    <xf numFmtId="0" fontId="70" fillId="9" borderId="8" xfId="0" applyFont="1" applyFill="1" applyBorder="1"/>
    <xf numFmtId="1" fontId="9" fillId="11" borderId="8" xfId="0" applyNumberFormat="1" applyFont="1" applyFill="1" applyBorder="1" applyAlignment="1">
      <alignment horizontal="center" vertical="center" wrapText="1"/>
    </xf>
    <xf numFmtId="2" fontId="9" fillId="11" borderId="8" xfId="0" applyNumberFormat="1" applyFont="1" applyFill="1" applyBorder="1" applyAlignment="1">
      <alignment horizontal="center" vertical="center" wrapText="1"/>
    </xf>
    <xf numFmtId="1" fontId="14" fillId="16" borderId="8" xfId="0" applyNumberFormat="1" applyFont="1" applyFill="1" applyBorder="1" applyAlignment="1">
      <alignment horizontal="center" vertical="center" wrapText="1"/>
    </xf>
    <xf numFmtId="1" fontId="78" fillId="11" borderId="8" xfId="0" applyNumberFormat="1" applyFont="1" applyFill="1" applyBorder="1" applyAlignment="1">
      <alignment horizontal="center" vertical="center"/>
    </xf>
    <xf numFmtId="0" fontId="78" fillId="5" borderId="8" xfId="0" applyFont="1" applyFill="1" applyBorder="1" applyAlignment="1">
      <alignment horizontal="center" vertical="center"/>
    </xf>
    <xf numFmtId="9" fontId="33" fillId="11" borderId="8" xfId="2" applyNumberFormat="1" applyFont="1" applyFill="1" applyBorder="1" applyAlignment="1">
      <alignment horizontal="left" vertical="center"/>
    </xf>
    <xf numFmtId="1" fontId="33" fillId="11" borderId="8" xfId="2" applyNumberFormat="1" applyFont="1" applyFill="1" applyBorder="1" applyAlignment="1">
      <alignment horizontal="center" vertical="center"/>
    </xf>
    <xf numFmtId="1" fontId="35" fillId="10" borderId="8" xfId="0" applyNumberFormat="1" applyFont="1" applyFill="1" applyBorder="1" applyAlignment="1">
      <alignment horizontal="center" vertical="center" wrapText="1"/>
    </xf>
    <xf numFmtId="0" fontId="65" fillId="0" borderId="43" xfId="0" applyFont="1" applyBorder="1" applyAlignment="1">
      <alignment horizontal="center" vertical="center" wrapText="1"/>
    </xf>
    <xf numFmtId="0" fontId="19" fillId="9" borderId="9"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6" fillId="0" borderId="8" xfId="0" applyFont="1" applyBorder="1" applyAlignment="1">
      <alignment horizontal="center" vertical="center" wrapText="1"/>
    </xf>
    <xf numFmtId="0" fontId="70" fillId="0" borderId="0" xfId="0" applyFont="1"/>
    <xf numFmtId="0" fontId="91" fillId="0" borderId="0" xfId="5" applyFont="1"/>
    <xf numFmtId="0" fontId="70" fillId="0" borderId="0" xfId="0" applyFont="1" applyAlignment="1">
      <alignment horizontal="center" vertical="center"/>
    </xf>
    <xf numFmtId="0" fontId="70" fillId="0" borderId="0" xfId="0" applyFont="1" applyAlignment="1">
      <alignment wrapText="1"/>
    </xf>
    <xf numFmtId="0" fontId="9" fillId="10" borderId="79" xfId="0" applyFont="1" applyFill="1" applyBorder="1" applyAlignment="1">
      <alignment vertical="center" wrapText="1"/>
    </xf>
    <xf numFmtId="1" fontId="9" fillId="11" borderId="13" xfId="0" applyNumberFormat="1" applyFont="1" applyFill="1" applyBorder="1" applyAlignment="1">
      <alignment horizontal="center" vertical="center" wrapText="1"/>
    </xf>
    <xf numFmtId="0" fontId="9" fillId="10" borderId="13" xfId="0" applyFont="1" applyFill="1" applyBorder="1" applyAlignment="1">
      <alignment horizontal="center" vertical="center" wrapText="1"/>
    </xf>
    <xf numFmtId="1" fontId="9" fillId="11" borderId="14" xfId="0" applyNumberFormat="1" applyFont="1" applyFill="1" applyBorder="1" applyAlignment="1">
      <alignment horizontal="center" vertical="center" wrapText="1"/>
    </xf>
    <xf numFmtId="0" fontId="0" fillId="0" borderId="10" xfId="0" applyBorder="1"/>
    <xf numFmtId="0" fontId="0" fillId="0" borderId="16" xfId="0" applyBorder="1"/>
    <xf numFmtId="0" fontId="9" fillId="10" borderId="15" xfId="0" applyFont="1" applyFill="1" applyBorder="1" applyAlignment="1">
      <alignment vertical="center" wrapText="1"/>
    </xf>
    <xf numFmtId="0" fontId="9" fillId="10" borderId="18" xfId="0" applyFont="1" applyFill="1" applyBorder="1" applyAlignment="1">
      <alignment vertical="center" wrapText="1"/>
    </xf>
    <xf numFmtId="1" fontId="75" fillId="5" borderId="8" xfId="0" applyNumberFormat="1" applyFont="1" applyFill="1" applyBorder="1" applyAlignment="1">
      <alignment horizontal="center" vertical="center"/>
    </xf>
    <xf numFmtId="1" fontId="75" fillId="10" borderId="8" xfId="0" applyNumberFormat="1" applyFont="1" applyFill="1" applyBorder="1" applyAlignment="1">
      <alignment horizontal="left" vertical="center" wrapText="1"/>
    </xf>
    <xf numFmtId="1" fontId="75" fillId="10" borderId="8" xfId="0" applyNumberFormat="1" applyFont="1" applyFill="1" applyBorder="1" applyAlignment="1">
      <alignment horizontal="center" vertical="center" wrapText="1"/>
    </xf>
    <xf numFmtId="1" fontId="71" fillId="10" borderId="8" xfId="0" applyNumberFormat="1" applyFont="1" applyFill="1" applyBorder="1" applyAlignment="1">
      <alignment horizontal="center" vertical="center" wrapText="1"/>
    </xf>
    <xf numFmtId="0" fontId="75" fillId="11" borderId="8" xfId="0" applyFont="1" applyFill="1" applyBorder="1" applyAlignment="1">
      <alignment vertical="center"/>
    </xf>
    <xf numFmtId="0" fontId="75" fillId="11" borderId="8" xfId="0" applyFont="1" applyFill="1" applyBorder="1" applyAlignment="1">
      <alignment horizontal="left" vertical="center"/>
    </xf>
    <xf numFmtId="0" fontId="19" fillId="9" borderId="8" xfId="0" applyFont="1" applyFill="1" applyBorder="1" applyAlignment="1">
      <alignment vertical="center"/>
    </xf>
    <xf numFmtId="0" fontId="96" fillId="9" borderId="8" xfId="0" applyFont="1" applyFill="1" applyBorder="1" applyAlignment="1">
      <alignment vertical="center"/>
    </xf>
    <xf numFmtId="1" fontId="75" fillId="11" borderId="8" xfId="0" applyNumberFormat="1" applyFont="1" applyFill="1" applyBorder="1" applyAlignment="1">
      <alignment horizontal="center" vertical="center"/>
    </xf>
    <xf numFmtId="1" fontId="78" fillId="5" borderId="8" xfId="0" applyNumberFormat="1" applyFont="1" applyFill="1" applyBorder="1" applyAlignment="1">
      <alignment horizontal="center" vertical="center"/>
    </xf>
    <xf numFmtId="0" fontId="33" fillId="11" borderId="8" xfId="2" applyFont="1" applyFill="1" applyBorder="1" applyAlignment="1">
      <alignment horizontal="center" vertical="center" wrapText="1"/>
    </xf>
    <xf numFmtId="1" fontId="13" fillId="10" borderId="14" xfId="0" applyNumberFormat="1" applyFont="1" applyFill="1" applyBorder="1" applyAlignment="1">
      <alignment horizontal="center" vertical="center"/>
    </xf>
    <xf numFmtId="0" fontId="33" fillId="11" borderId="8" xfId="2" applyFont="1" applyFill="1" applyBorder="1" applyAlignment="1">
      <alignment horizontal="left" vertical="center"/>
    </xf>
    <xf numFmtId="1" fontId="90" fillId="11" borderId="8" xfId="2" applyNumberFormat="1" applyFont="1" applyFill="1" applyBorder="1" applyAlignment="1">
      <alignment horizontal="center" vertical="center"/>
    </xf>
    <xf numFmtId="0" fontId="31" fillId="9" borderId="10" xfId="0" applyFont="1" applyFill="1" applyBorder="1" applyAlignment="1">
      <alignment horizontal="center" vertical="center" wrapText="1"/>
    </xf>
    <xf numFmtId="0" fontId="0" fillId="17" borderId="0" xfId="0" applyFill="1"/>
    <xf numFmtId="1" fontId="0" fillId="17" borderId="0" xfId="0" applyNumberFormat="1" applyFill="1"/>
    <xf numFmtId="1" fontId="0" fillId="17" borderId="2" xfId="0" applyNumberFormat="1" applyFill="1" applyBorder="1"/>
    <xf numFmtId="0" fontId="0" fillId="17" borderId="76" xfId="0" applyFill="1" applyBorder="1"/>
    <xf numFmtId="9" fontId="14" fillId="11" borderId="8" xfId="6" applyFont="1" applyFill="1" applyBorder="1" applyAlignment="1">
      <alignment horizontal="center" vertical="center"/>
    </xf>
    <xf numFmtId="0" fontId="0" fillId="0" borderId="0" xfId="0" applyAlignment="1">
      <alignment horizontal="right"/>
    </xf>
    <xf numFmtId="164" fontId="15" fillId="0" borderId="25" xfId="0" applyNumberFormat="1" applyFont="1" applyBorder="1" applyAlignment="1">
      <alignment horizontal="center"/>
    </xf>
    <xf numFmtId="1" fontId="13" fillId="10" borderId="8" xfId="0" applyNumberFormat="1" applyFont="1" applyFill="1" applyBorder="1"/>
    <xf numFmtId="0" fontId="9" fillId="11" borderId="9" xfId="0" applyFont="1" applyFill="1" applyBorder="1" applyAlignment="1">
      <alignment vertical="center"/>
    </xf>
    <xf numFmtId="0" fontId="9" fillId="11" borderId="10" xfId="0" applyFont="1" applyFill="1" applyBorder="1" applyAlignment="1">
      <alignment vertical="center"/>
    </xf>
    <xf numFmtId="0" fontId="9" fillId="11" borderId="11" xfId="0" applyFont="1" applyFill="1" applyBorder="1" applyAlignment="1">
      <alignment vertical="center"/>
    </xf>
    <xf numFmtId="0" fontId="19" fillId="9" borderId="8" xfId="0" applyFont="1" applyFill="1" applyBorder="1" applyAlignment="1">
      <alignment horizontal="left" vertical="center"/>
    </xf>
    <xf numFmtId="0" fontId="86" fillId="10" borderId="50" xfId="0" applyFont="1" applyFill="1" applyBorder="1" applyAlignment="1">
      <alignment horizontal="center" vertical="center" wrapText="1"/>
    </xf>
    <xf numFmtId="0" fontId="86" fillId="10" borderId="60" xfId="0" applyFont="1" applyFill="1" applyBorder="1" applyAlignment="1">
      <alignment horizontal="center" vertical="center" wrapText="1"/>
    </xf>
    <xf numFmtId="1" fontId="14" fillId="11" borderId="34" xfId="0" applyNumberFormat="1" applyFont="1" applyFill="1" applyBorder="1" applyAlignment="1">
      <alignment horizontal="center" vertical="center" wrapText="1"/>
    </xf>
    <xf numFmtId="2" fontId="34" fillId="10" borderId="8" xfId="3" applyNumberFormat="1" applyFont="1" applyFill="1" applyBorder="1" applyAlignment="1">
      <alignment horizontal="center" vertical="center"/>
    </xf>
    <xf numFmtId="0" fontId="94" fillId="0" borderId="7" xfId="0" applyFont="1" applyBorder="1" applyAlignment="1">
      <alignment vertical="center" wrapText="1"/>
    </xf>
    <xf numFmtId="0" fontId="94" fillId="0" borderId="6" xfId="0" applyFont="1" applyBorder="1" applyAlignment="1">
      <alignment horizontal="center" vertical="center" wrapText="1"/>
    </xf>
    <xf numFmtId="2" fontId="94" fillId="0" borderId="6" xfId="0" applyNumberFormat="1" applyFont="1" applyBorder="1" applyAlignment="1">
      <alignment horizontal="center" vertical="center" wrapText="1"/>
    </xf>
    <xf numFmtId="0" fontId="94" fillId="13" borderId="68" xfId="0" applyFont="1" applyFill="1" applyBorder="1" applyAlignment="1">
      <alignment horizontal="center" vertical="center" wrapText="1"/>
    </xf>
    <xf numFmtId="1" fontId="0" fillId="0" borderId="2" xfId="0" applyNumberFormat="1" applyBorder="1"/>
    <xf numFmtId="9" fontId="0" fillId="0" borderId="2" xfId="0" applyNumberFormat="1" applyBorder="1"/>
    <xf numFmtId="0" fontId="0" fillId="17" borderId="0" xfId="0" applyFill="1" applyAlignment="1">
      <alignment horizontal="left"/>
    </xf>
    <xf numFmtId="1" fontId="54" fillId="17" borderId="0" xfId="0" applyNumberFormat="1" applyFont="1" applyFill="1"/>
    <xf numFmtId="0" fontId="54" fillId="17" borderId="0" xfId="0" applyFont="1" applyFill="1" applyAlignment="1">
      <alignment horizontal="right"/>
    </xf>
    <xf numFmtId="0" fontId="98" fillId="0" borderId="0" xfId="0" applyFont="1"/>
    <xf numFmtId="1" fontId="7" fillId="0" borderId="0" xfId="0" applyNumberFormat="1" applyFont="1"/>
    <xf numFmtId="0" fontId="87" fillId="5" borderId="8" xfId="2" applyFont="1" applyFill="1" applyBorder="1"/>
    <xf numFmtId="0" fontId="87" fillId="11" borderId="8" xfId="2" applyFont="1" applyFill="1" applyBorder="1" applyAlignment="1">
      <alignment horizontal="left" vertical="center" wrapText="1"/>
    </xf>
    <xf numFmtId="0" fontId="87" fillId="11" borderId="8" xfId="2" applyFont="1" applyFill="1" applyBorder="1" applyAlignment="1">
      <alignment horizontal="center" vertical="center"/>
    </xf>
    <xf numFmtId="1" fontId="87" fillId="10" borderId="8" xfId="0" applyNumberFormat="1" applyFont="1" applyFill="1" applyBorder="1" applyAlignment="1">
      <alignment horizontal="right" vertical="center"/>
    </xf>
    <xf numFmtId="0" fontId="15" fillId="11" borderId="8" xfId="0" applyFont="1" applyFill="1" applyBorder="1" applyAlignment="1">
      <alignment vertical="center" wrapText="1"/>
    </xf>
    <xf numFmtId="1" fontId="13" fillId="10" borderId="12" xfId="0" applyNumberFormat="1" applyFont="1" applyFill="1" applyBorder="1" applyAlignment="1">
      <alignment horizontal="center" vertical="center"/>
    </xf>
    <xf numFmtId="1" fontId="13" fillId="10" borderId="13" xfId="0" applyNumberFormat="1" applyFont="1" applyFill="1" applyBorder="1" applyAlignment="1">
      <alignment horizontal="center" vertical="center"/>
    </xf>
    <xf numFmtId="0" fontId="14" fillId="10" borderId="8" xfId="0" applyFont="1" applyFill="1" applyBorder="1" applyAlignment="1">
      <alignment vertical="center"/>
    </xf>
    <xf numFmtId="0" fontId="13" fillId="12" borderId="8" xfId="0" applyFont="1" applyFill="1" applyBorder="1" applyAlignment="1">
      <alignment vertical="center"/>
    </xf>
    <xf numFmtId="0" fontId="86" fillId="11" borderId="8" xfId="0" applyFont="1" applyFill="1" applyBorder="1" applyAlignment="1">
      <alignment vertical="center"/>
    </xf>
    <xf numFmtId="0" fontId="86" fillId="11" borderId="8" xfId="0" applyFont="1" applyFill="1" applyBorder="1" applyAlignment="1">
      <alignment horizontal="center" vertical="center" wrapText="1"/>
    </xf>
    <xf numFmtId="1" fontId="86" fillId="11" borderId="8" xfId="0" applyNumberFormat="1" applyFont="1" applyFill="1" applyBorder="1" applyAlignment="1">
      <alignment horizontal="center" vertical="center" wrapText="1"/>
    </xf>
    <xf numFmtId="1" fontId="0" fillId="17" borderId="0" xfId="0" applyNumberFormat="1" applyFill="1" applyAlignment="1">
      <alignment vertical="center"/>
    </xf>
    <xf numFmtId="0" fontId="14" fillId="0" borderId="8" xfId="0" applyFont="1" applyBorder="1" applyAlignment="1">
      <alignment vertical="center"/>
    </xf>
    <xf numFmtId="0" fontId="11" fillId="0" borderId="0" xfId="0" applyFont="1" applyAlignment="1">
      <alignment vertical="center"/>
    </xf>
    <xf numFmtId="0" fontId="0" fillId="0" borderId="0" xfId="0" applyAlignment="1">
      <alignment vertical="center"/>
    </xf>
    <xf numFmtId="0" fontId="14" fillId="12" borderId="8" xfId="0" applyFont="1" applyFill="1" applyBorder="1" applyAlignment="1">
      <alignment vertical="center"/>
    </xf>
    <xf numFmtId="0" fontId="14" fillId="12" borderId="0" xfId="0" applyFont="1" applyFill="1" applyAlignment="1">
      <alignment vertical="center"/>
    </xf>
    <xf numFmtId="0" fontId="13" fillId="12" borderId="0" xfId="0" applyFont="1" applyFill="1" applyAlignment="1">
      <alignment vertical="center"/>
    </xf>
    <xf numFmtId="1" fontId="0" fillId="0" borderId="0" xfId="0" applyNumberFormat="1" applyAlignment="1">
      <alignment vertical="center"/>
    </xf>
    <xf numFmtId="0" fontId="15" fillId="11" borderId="8" xfId="0" applyFont="1" applyFill="1" applyBorder="1" applyAlignment="1">
      <alignment horizontal="center" vertical="center"/>
    </xf>
    <xf numFmtId="165" fontId="15" fillId="11" borderId="8" xfId="0" applyNumberFormat="1" applyFont="1" applyFill="1" applyBorder="1" applyAlignment="1">
      <alignment horizontal="center" vertical="center"/>
    </xf>
    <xf numFmtId="165" fontId="86" fillId="11" borderId="8" xfId="0" applyNumberFormat="1" applyFont="1" applyFill="1" applyBorder="1" applyAlignment="1">
      <alignment horizontal="center" vertical="center"/>
    </xf>
    <xf numFmtId="0" fontId="32" fillId="11" borderId="9" xfId="0" applyFont="1" applyFill="1" applyBorder="1" applyAlignment="1">
      <alignment horizontal="center" vertical="center"/>
    </xf>
    <xf numFmtId="0" fontId="32" fillId="11" borderId="9" xfId="0" applyFont="1" applyFill="1" applyBorder="1" applyAlignment="1">
      <alignment horizontal="center" vertical="center" wrapText="1"/>
    </xf>
    <xf numFmtId="0" fontId="45" fillId="11" borderId="23" xfId="0" applyFont="1" applyFill="1" applyBorder="1" applyAlignment="1">
      <alignment horizontal="center" vertical="center" wrapText="1"/>
    </xf>
    <xf numFmtId="0" fontId="35" fillId="11" borderId="65" xfId="0" applyFont="1" applyFill="1" applyBorder="1" applyAlignment="1">
      <alignment horizontal="center" vertical="center"/>
    </xf>
    <xf numFmtId="9" fontId="34" fillId="11" borderId="8" xfId="2" applyNumberFormat="1" applyFont="1" applyFill="1" applyBorder="1" applyAlignment="1">
      <alignment horizontal="left" vertical="center"/>
    </xf>
    <xf numFmtId="1" fontId="34" fillId="11" borderId="8" xfId="2" applyNumberFormat="1" applyFont="1" applyFill="1" applyBorder="1" applyAlignment="1">
      <alignment horizontal="center" vertical="center"/>
    </xf>
    <xf numFmtId="9" fontId="34" fillId="11" borderId="8" xfId="2" applyNumberFormat="1" applyFont="1" applyFill="1" applyBorder="1" applyAlignment="1">
      <alignment horizontal="center" vertical="center"/>
    </xf>
    <xf numFmtId="0" fontId="88" fillId="10" borderId="79" xfId="0" applyFont="1" applyFill="1" applyBorder="1" applyAlignment="1">
      <alignment vertical="center" wrapText="1"/>
    </xf>
    <xf numFmtId="0" fontId="88" fillId="10" borderId="80" xfId="0" applyFont="1" applyFill="1" applyBorder="1" applyAlignment="1">
      <alignment vertical="center" wrapText="1"/>
    </xf>
    <xf numFmtId="0" fontId="87" fillId="5" borderId="12" xfId="2" applyFont="1" applyFill="1" applyBorder="1"/>
    <xf numFmtId="1" fontId="87" fillId="10" borderId="14" xfId="0" applyNumberFormat="1" applyFont="1" applyFill="1" applyBorder="1" applyAlignment="1">
      <alignment horizontal="right" vertical="center"/>
    </xf>
    <xf numFmtId="0" fontId="88" fillId="10" borderId="0" xfId="0" applyFont="1" applyFill="1" applyAlignment="1">
      <alignment vertical="center" wrapText="1"/>
    </xf>
    <xf numFmtId="0" fontId="87" fillId="11" borderId="11" xfId="2" applyFont="1" applyFill="1" applyBorder="1" applyAlignment="1">
      <alignment horizontal="left" vertical="center" wrapText="1"/>
    </xf>
    <xf numFmtId="0" fontId="87" fillId="11" borderId="11" xfId="2" applyFont="1" applyFill="1" applyBorder="1" applyAlignment="1">
      <alignment horizontal="center" vertical="center"/>
    </xf>
    <xf numFmtId="0" fontId="88" fillId="10" borderId="12" xfId="0" applyFont="1" applyFill="1" applyBorder="1" applyAlignment="1">
      <alignment vertical="center" wrapText="1"/>
    </xf>
    <xf numFmtId="0" fontId="88" fillId="10" borderId="13" xfId="0" applyFont="1" applyFill="1" applyBorder="1" applyAlignment="1">
      <alignment vertical="center" wrapText="1"/>
    </xf>
    <xf numFmtId="0" fontId="87" fillId="11" borderId="9" xfId="2" applyFont="1" applyFill="1" applyBorder="1" applyAlignment="1">
      <alignment horizontal="left" vertical="center" wrapText="1"/>
    </xf>
    <xf numFmtId="0" fontId="87" fillId="11" borderId="9" xfId="2" applyFont="1" applyFill="1" applyBorder="1" applyAlignment="1">
      <alignment horizontal="center" vertical="center"/>
    </xf>
    <xf numFmtId="0" fontId="87" fillId="11" borderId="13" xfId="2" applyFont="1" applyFill="1" applyBorder="1" applyAlignment="1">
      <alignment horizontal="center" vertical="center"/>
    </xf>
    <xf numFmtId="0" fontId="87" fillId="11" borderId="14" xfId="2" applyFont="1" applyFill="1" applyBorder="1" applyAlignment="1">
      <alignment horizontal="center" vertical="center"/>
    </xf>
    <xf numFmtId="0" fontId="99" fillId="11" borderId="13" xfId="2" applyFont="1" applyFill="1" applyBorder="1" applyAlignment="1">
      <alignment horizontal="center" vertical="center"/>
    </xf>
    <xf numFmtId="0" fontId="99" fillId="11" borderId="14" xfId="2" applyFont="1" applyFill="1" applyBorder="1" applyAlignment="1">
      <alignment horizontal="center" vertical="center"/>
    </xf>
    <xf numFmtId="0" fontId="101" fillId="11" borderId="12" xfId="2" applyFont="1" applyFill="1" applyBorder="1" applyAlignment="1">
      <alignment horizontal="left" vertical="center" wrapText="1"/>
    </xf>
    <xf numFmtId="0" fontId="101" fillId="11" borderId="8" xfId="2" applyFont="1" applyFill="1" applyBorder="1" applyAlignment="1">
      <alignment horizontal="left" vertical="center" wrapText="1"/>
    </xf>
    <xf numFmtId="0" fontId="87" fillId="10" borderId="8" xfId="0" applyFont="1" applyFill="1" applyBorder="1" applyAlignment="1">
      <alignment vertical="center" wrapText="1"/>
    </xf>
    <xf numFmtId="0" fontId="87" fillId="10" borderId="8" xfId="0" applyFont="1" applyFill="1" applyBorder="1" applyAlignment="1">
      <alignment horizontal="center" vertical="center" wrapText="1"/>
    </xf>
    <xf numFmtId="0" fontId="102" fillId="10" borderId="0" xfId="0" applyFont="1" applyFill="1" applyAlignment="1">
      <alignment vertical="center" wrapText="1"/>
    </xf>
    <xf numFmtId="0" fontId="102" fillId="10" borderId="13" xfId="0" applyFont="1" applyFill="1" applyBorder="1" applyAlignment="1">
      <alignment vertical="center" wrapText="1"/>
    </xf>
    <xf numFmtId="0" fontId="20" fillId="9" borderId="8" xfId="0" applyFont="1" applyFill="1" applyBorder="1" applyAlignment="1">
      <alignment horizontal="center" vertical="center"/>
    </xf>
    <xf numFmtId="1" fontId="14" fillId="5" borderId="8" xfId="0" applyNumberFormat="1" applyFont="1" applyFill="1" applyBorder="1" applyAlignment="1">
      <alignment horizontal="center" vertical="center"/>
    </xf>
    <xf numFmtId="1" fontId="14" fillId="11" borderId="16" xfId="0" applyNumberFormat="1" applyFont="1" applyFill="1" applyBorder="1" applyAlignment="1">
      <alignment horizontal="center" vertical="center"/>
    </xf>
    <xf numFmtId="0" fontId="87" fillId="11" borderId="8" xfId="0" applyFont="1" applyFill="1" applyBorder="1" applyAlignment="1">
      <alignment vertical="center" wrapText="1"/>
    </xf>
    <xf numFmtId="0" fontId="75" fillId="0" borderId="0" xfId="0" applyFont="1"/>
    <xf numFmtId="3" fontId="70" fillId="0" borderId="8" xfId="0" applyNumberFormat="1" applyFont="1" applyBorder="1" applyAlignment="1">
      <alignment vertical="center" wrapText="1"/>
    </xf>
    <xf numFmtId="0" fontId="103" fillId="9" borderId="8" xfId="0" applyFont="1" applyFill="1" applyBorder="1" applyAlignment="1">
      <alignment vertical="center" wrapText="1"/>
    </xf>
    <xf numFmtId="49" fontId="103" fillId="9" borderId="8" xfId="0" applyNumberFormat="1" applyFont="1" applyFill="1" applyBorder="1" applyAlignment="1">
      <alignment horizontal="center" vertical="center"/>
    </xf>
    <xf numFmtId="0" fontId="103" fillId="9" borderId="8" xfId="0" applyFont="1" applyFill="1" applyBorder="1" applyAlignment="1">
      <alignment horizontal="center" vertical="center"/>
    </xf>
    <xf numFmtId="49" fontId="63" fillId="10" borderId="8" xfId="0" applyNumberFormat="1" applyFont="1" applyFill="1" applyBorder="1" applyAlignment="1">
      <alignment horizontal="center" vertical="center"/>
    </xf>
    <xf numFmtId="0" fontId="63" fillId="10" borderId="8" xfId="0" applyFont="1" applyFill="1" applyBorder="1" applyAlignment="1">
      <alignment horizontal="left" vertical="center"/>
    </xf>
    <xf numFmtId="3" fontId="104" fillId="0" borderId="8" xfId="0" applyNumberFormat="1" applyFont="1" applyBorder="1" applyAlignment="1">
      <alignment horizontal="center" vertical="center"/>
    </xf>
    <xf numFmtId="0" fontId="104" fillId="0" borderId="8" xfId="0" applyFont="1" applyBorder="1" applyAlignment="1">
      <alignment horizontal="center" vertical="center"/>
    </xf>
    <xf numFmtId="49" fontId="104" fillId="10" borderId="8" xfId="0" applyNumberFormat="1" applyFont="1" applyFill="1" applyBorder="1" applyAlignment="1">
      <alignment horizontal="center" vertical="center"/>
    </xf>
    <xf numFmtId="0" fontId="104" fillId="10" borderId="8" xfId="0" applyFont="1" applyFill="1" applyBorder="1" applyAlignment="1">
      <alignment horizontal="left" vertical="center"/>
    </xf>
    <xf numFmtId="3" fontId="104" fillId="10" borderId="8" xfId="0" applyNumberFormat="1" applyFont="1" applyFill="1" applyBorder="1" applyAlignment="1">
      <alignment horizontal="center" vertical="center"/>
    </xf>
    <xf numFmtId="49" fontId="104" fillId="10" borderId="8" xfId="0" applyNumberFormat="1" applyFont="1" applyFill="1" applyBorder="1" applyAlignment="1">
      <alignment horizontal="center" vertical="center" wrapText="1"/>
    </xf>
    <xf numFmtId="0" fontId="104" fillId="10" borderId="8" xfId="0" applyFont="1" applyFill="1" applyBorder="1" applyAlignment="1">
      <alignment horizontal="left" vertical="center" wrapText="1"/>
    </xf>
    <xf numFmtId="166" fontId="38" fillId="10" borderId="8" xfId="0" applyNumberFormat="1" applyFont="1" applyFill="1" applyBorder="1" applyAlignment="1">
      <alignment horizontal="center" vertical="center"/>
    </xf>
    <xf numFmtId="0" fontId="63" fillId="10" borderId="8" xfId="0" applyFont="1" applyFill="1" applyBorder="1" applyAlignment="1">
      <alignment horizontal="left" vertical="center" wrapText="1"/>
    </xf>
    <xf numFmtId="166" fontId="38" fillId="0" borderId="8" xfId="0" applyNumberFormat="1" applyFont="1" applyBorder="1" applyAlignment="1">
      <alignment horizontal="center" vertical="center"/>
    </xf>
    <xf numFmtId="3" fontId="104" fillId="5" borderId="8" xfId="0" applyNumberFormat="1" applyFont="1" applyFill="1" applyBorder="1" applyAlignment="1">
      <alignment horizontal="center" vertical="center"/>
    </xf>
    <xf numFmtId="3" fontId="63" fillId="0" borderId="8" xfId="0" applyNumberFormat="1" applyFont="1" applyBorder="1" applyAlignment="1">
      <alignment horizontal="center" vertical="center"/>
    </xf>
    <xf numFmtId="167" fontId="38" fillId="0" borderId="8" xfId="0" applyNumberFormat="1" applyFont="1" applyBorder="1" applyAlignment="1">
      <alignment horizontal="center" vertical="center"/>
    </xf>
    <xf numFmtId="168" fontId="104" fillId="5" borderId="8" xfId="0" applyNumberFormat="1" applyFont="1" applyFill="1" applyBorder="1" applyAlignment="1">
      <alignment horizontal="center" vertical="center"/>
    </xf>
    <xf numFmtId="9" fontId="104" fillId="10" borderId="8" xfId="0" applyNumberFormat="1" applyFont="1" applyFill="1" applyBorder="1" applyAlignment="1">
      <alignment horizontal="center" vertical="center"/>
    </xf>
    <xf numFmtId="9" fontId="63" fillId="0" borderId="8" xfId="0" applyNumberFormat="1" applyFont="1" applyBorder="1" applyAlignment="1">
      <alignment horizontal="center" vertical="center"/>
    </xf>
    <xf numFmtId="0" fontId="13" fillId="18" borderId="9" xfId="0" applyFont="1" applyFill="1" applyBorder="1" applyAlignment="1">
      <alignment horizontal="center" vertical="center"/>
    </xf>
    <xf numFmtId="165" fontId="15" fillId="18" borderId="8" xfId="0" applyNumberFormat="1" applyFont="1" applyFill="1" applyBorder="1" applyAlignment="1">
      <alignment horizontal="center" vertical="center"/>
    </xf>
    <xf numFmtId="165" fontId="86" fillId="18" borderId="8" xfId="0" applyNumberFormat="1" applyFont="1" applyFill="1" applyBorder="1" applyAlignment="1">
      <alignment horizontal="center" vertical="center"/>
    </xf>
    <xf numFmtId="165" fontId="14" fillId="18" borderId="8" xfId="0" applyNumberFormat="1" applyFont="1" applyFill="1" applyBorder="1" applyAlignment="1">
      <alignment horizontal="center" vertical="center" wrapText="1"/>
    </xf>
    <xf numFmtId="1" fontId="14" fillId="18" borderId="8" xfId="0" applyNumberFormat="1" applyFont="1" applyFill="1" applyBorder="1" applyAlignment="1">
      <alignment horizontal="center" vertical="center" wrapText="1"/>
    </xf>
    <xf numFmtId="165" fontId="15" fillId="18" borderId="8" xfId="0" applyNumberFormat="1" applyFont="1" applyFill="1" applyBorder="1" applyAlignment="1">
      <alignment horizontal="center" vertical="center" wrapText="1"/>
    </xf>
    <xf numFmtId="1" fontId="15" fillId="18" borderId="8" xfId="0" applyNumberFormat="1" applyFont="1" applyFill="1" applyBorder="1" applyAlignment="1">
      <alignment horizontal="center" vertical="center" wrapText="1"/>
    </xf>
    <xf numFmtId="0" fontId="13" fillId="18" borderId="9" xfId="0" applyFont="1" applyFill="1" applyBorder="1" applyAlignment="1">
      <alignment horizontal="center" vertical="center" wrapText="1"/>
    </xf>
    <xf numFmtId="165" fontId="86" fillId="18" borderId="8" xfId="0" applyNumberFormat="1" applyFont="1" applyFill="1" applyBorder="1" applyAlignment="1">
      <alignment horizontal="center" vertical="center" wrapText="1"/>
    </xf>
    <xf numFmtId="1" fontId="86" fillId="18" borderId="8" xfId="0" applyNumberFormat="1" applyFont="1" applyFill="1" applyBorder="1" applyAlignment="1">
      <alignment horizontal="center" vertical="center" wrapText="1"/>
    </xf>
    <xf numFmtId="0" fontId="14" fillId="18" borderId="8" xfId="0" applyFont="1" applyFill="1" applyBorder="1" applyAlignment="1">
      <alignment horizontal="center" vertical="center"/>
    </xf>
    <xf numFmtId="0" fontId="45" fillId="18" borderId="23" xfId="0" applyFont="1" applyFill="1" applyBorder="1" applyAlignment="1">
      <alignment horizontal="center" vertical="center" wrapText="1"/>
    </xf>
    <xf numFmtId="0" fontId="15" fillId="18" borderId="2" xfId="0" applyFont="1" applyFill="1" applyBorder="1" applyAlignment="1">
      <alignment horizontal="center" vertical="center"/>
    </xf>
    <xf numFmtId="0" fontId="14" fillId="18" borderId="2" xfId="0" applyFont="1" applyFill="1" applyBorder="1" applyAlignment="1">
      <alignment horizontal="center" vertical="center"/>
    </xf>
    <xf numFmtId="0" fontId="14" fillId="18" borderId="7" xfId="0" applyFont="1" applyFill="1" applyBorder="1" applyAlignment="1">
      <alignment horizontal="center" vertical="center"/>
    </xf>
    <xf numFmtId="0" fontId="14" fillId="18" borderId="6" xfId="0" applyFont="1" applyFill="1" applyBorder="1" applyAlignment="1">
      <alignment horizontal="center" vertical="center"/>
    </xf>
    <xf numFmtId="165" fontId="15" fillId="18" borderId="2" xfId="0" applyNumberFormat="1" applyFont="1" applyFill="1" applyBorder="1" applyAlignment="1">
      <alignment horizontal="center" vertical="center"/>
    </xf>
    <xf numFmtId="1" fontId="26" fillId="18" borderId="8" xfId="0" applyNumberFormat="1" applyFont="1" applyFill="1" applyBorder="1" applyAlignment="1">
      <alignment horizontal="center" vertical="center" wrapText="1"/>
    </xf>
    <xf numFmtId="0" fontId="87" fillId="11" borderId="8" xfId="2" applyFont="1" applyFill="1" applyBorder="1" applyAlignment="1">
      <alignment horizontal="center" vertical="center" wrapText="1"/>
    </xf>
    <xf numFmtId="0" fontId="25" fillId="8" borderId="9" xfId="0" applyFont="1" applyFill="1" applyBorder="1" applyAlignment="1">
      <alignment horizontal="center" vertical="center" wrapText="1"/>
    </xf>
    <xf numFmtId="0" fontId="61" fillId="18" borderId="8" xfId="2" applyFont="1" applyFill="1" applyBorder="1" applyAlignment="1">
      <alignment horizontal="left" vertical="center" wrapText="1"/>
    </xf>
    <xf numFmtId="0" fontId="0" fillId="10" borderId="8" xfId="0" applyFill="1" applyBorder="1" applyAlignment="1">
      <alignment horizontal="center" vertical="center"/>
    </xf>
    <xf numFmtId="0" fontId="0" fillId="19" borderId="0" xfId="0" applyFill="1"/>
    <xf numFmtId="0" fontId="18" fillId="0" borderId="7" xfId="0" applyFont="1" applyBorder="1" applyAlignment="1">
      <alignment vertical="center" wrapText="1"/>
    </xf>
    <xf numFmtId="0" fontId="18" fillId="0" borderId="6" xfId="0" applyFont="1" applyBorder="1" applyAlignment="1">
      <alignment horizontal="center" vertical="center" wrapText="1"/>
    </xf>
    <xf numFmtId="0" fontId="107" fillId="0" borderId="3" xfId="0" applyFont="1" applyBorder="1" applyAlignment="1">
      <alignment horizontal="center" vertical="center" wrapText="1"/>
    </xf>
    <xf numFmtId="0" fontId="107" fillId="0" borderId="7" xfId="0" applyFont="1" applyBorder="1" applyAlignment="1">
      <alignment vertical="center" wrapText="1"/>
    </xf>
    <xf numFmtId="0" fontId="107" fillId="0" borderId="6" xfId="0" applyFont="1" applyBorder="1" applyAlignment="1">
      <alignment horizontal="center" vertical="center" wrapText="1"/>
    </xf>
    <xf numFmtId="1" fontId="15" fillId="11" borderId="8" xfId="0" applyNumberFormat="1" applyFont="1" applyFill="1" applyBorder="1" applyAlignment="1">
      <alignment horizontal="center" vertical="center"/>
    </xf>
    <xf numFmtId="0" fontId="109" fillId="0" borderId="0" xfId="0" applyFont="1"/>
    <xf numFmtId="4" fontId="14" fillId="10" borderId="8" xfId="0" applyNumberFormat="1" applyFont="1" applyFill="1" applyBorder="1" applyAlignment="1">
      <alignment horizontal="center" vertical="center"/>
    </xf>
    <xf numFmtId="0" fontId="110" fillId="20" borderId="0" xfId="0" applyFont="1" applyFill="1" applyAlignment="1">
      <alignment horizontal="left" vertical="center" wrapText="1" indent="1"/>
    </xf>
    <xf numFmtId="0" fontId="108" fillId="20" borderId="0" xfId="0" applyFont="1" applyFill="1" applyAlignment="1">
      <alignment horizontal="left" vertical="center" wrapText="1" indent="1"/>
    </xf>
    <xf numFmtId="3" fontId="61" fillId="21" borderId="8" xfId="2" applyNumberFormat="1" applyFont="1" applyFill="1" applyBorder="1" applyAlignment="1">
      <alignment horizontal="center" vertical="center" wrapText="1"/>
    </xf>
    <xf numFmtId="1" fontId="61" fillId="21" borderId="8" xfId="2" applyNumberFormat="1" applyFont="1" applyFill="1" applyBorder="1" applyAlignment="1">
      <alignment horizontal="center" vertical="center" wrapText="1"/>
    </xf>
    <xf numFmtId="0" fontId="107" fillId="0" borderId="5" xfId="0" applyFont="1" applyBorder="1" applyAlignment="1">
      <alignment vertical="center" wrapText="1"/>
    </xf>
    <xf numFmtId="1" fontId="14" fillId="19" borderId="8" xfId="0" applyNumberFormat="1" applyFont="1" applyFill="1" applyBorder="1" applyAlignment="1">
      <alignment horizontal="center" vertical="center" wrapText="1"/>
    </xf>
    <xf numFmtId="164" fontId="70" fillId="0" borderId="0" xfId="0" applyNumberFormat="1" applyFont="1" applyAlignment="1">
      <alignment horizontal="center" vertical="center"/>
    </xf>
    <xf numFmtId="164" fontId="26" fillId="10" borderId="8" xfId="0" applyNumberFormat="1" applyFont="1" applyFill="1" applyBorder="1" applyAlignment="1">
      <alignment horizontal="center" vertical="center" wrapText="1"/>
    </xf>
    <xf numFmtId="170" fontId="26" fillId="10" borderId="8" xfId="0" applyNumberFormat="1" applyFont="1" applyFill="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vertical="center" wrapText="1"/>
    </xf>
    <xf numFmtId="1" fontId="26" fillId="0" borderId="0" xfId="0" applyNumberFormat="1" applyFont="1" applyAlignment="1">
      <alignment horizontal="center" vertical="center" wrapText="1"/>
    </xf>
    <xf numFmtId="165" fontId="26" fillId="0" borderId="0" xfId="0" applyNumberFormat="1" applyFont="1" applyAlignment="1">
      <alignment horizontal="center" vertical="center" wrapText="1"/>
    </xf>
    <xf numFmtId="2" fontId="26" fillId="0" borderId="0" xfId="0" applyNumberFormat="1" applyFont="1" applyAlignment="1">
      <alignment horizontal="center" vertical="center" wrapText="1"/>
    </xf>
    <xf numFmtId="0" fontId="27" fillId="0" borderId="0" xfId="0" applyFont="1" applyAlignment="1">
      <alignment horizontal="center" vertical="center" wrapText="1"/>
    </xf>
    <xf numFmtId="1" fontId="27" fillId="0" borderId="0" xfId="0" applyNumberFormat="1" applyFont="1" applyAlignment="1">
      <alignment horizontal="center" vertical="center" wrapText="1"/>
    </xf>
    <xf numFmtId="3" fontId="14" fillId="19" borderId="8" xfId="0" applyNumberFormat="1" applyFont="1" applyFill="1" applyBorder="1" applyAlignment="1">
      <alignment horizontal="center" vertical="center"/>
    </xf>
    <xf numFmtId="1" fontId="87" fillId="11" borderId="8" xfId="2" applyNumberFormat="1" applyFont="1" applyFill="1" applyBorder="1" applyAlignment="1">
      <alignment horizontal="center" vertical="center"/>
    </xf>
    <xf numFmtId="49" fontId="86" fillId="10" borderId="8" xfId="0" applyNumberFormat="1" applyFont="1" applyFill="1" applyBorder="1" applyAlignment="1">
      <alignment horizontal="center" vertical="center" wrapText="1"/>
    </xf>
    <xf numFmtId="0" fontId="86" fillId="10" borderId="8" xfId="0" applyFont="1" applyFill="1" applyBorder="1" applyAlignment="1">
      <alignment horizontal="left" vertical="center" wrapText="1"/>
    </xf>
    <xf numFmtId="9" fontId="86" fillId="10" borderId="8" xfId="0" applyNumberFormat="1" applyFont="1" applyFill="1" applyBorder="1" applyAlignment="1">
      <alignment horizontal="center" vertical="center"/>
    </xf>
    <xf numFmtId="167" fontId="86" fillId="0" borderId="8" xfId="0" applyNumberFormat="1" applyFont="1" applyBorder="1" applyAlignment="1">
      <alignment horizontal="center" vertical="center"/>
    </xf>
    <xf numFmtId="3" fontId="86" fillId="19" borderId="8" xfId="0" applyNumberFormat="1" applyFont="1" applyFill="1" applyBorder="1" applyAlignment="1">
      <alignment horizontal="center" vertical="center"/>
    </xf>
    <xf numFmtId="166" fontId="86" fillId="10" borderId="8" xfId="0" applyNumberFormat="1" applyFont="1" applyFill="1" applyBorder="1" applyAlignment="1">
      <alignment horizontal="center" vertical="center"/>
    </xf>
    <xf numFmtId="0" fontId="86" fillId="0" borderId="0" xfId="0" applyFont="1"/>
    <xf numFmtId="0" fontId="114" fillId="0" borderId="0" xfId="0" applyFont="1"/>
    <xf numFmtId="168" fontId="86" fillId="5" borderId="8" xfId="0" applyNumberFormat="1" applyFont="1" applyFill="1" applyBorder="1" applyAlignment="1">
      <alignment horizontal="center" vertical="center"/>
    </xf>
    <xf numFmtId="0" fontId="116" fillId="0" borderId="2" xfId="0" applyFont="1" applyBorder="1" applyAlignment="1">
      <alignment horizontal="center" vertical="center" wrapText="1"/>
    </xf>
    <xf numFmtId="0" fontId="115" fillId="0" borderId="2" xfId="0" applyFont="1" applyBorder="1" applyAlignment="1">
      <alignment horizontal="center" vertical="center" wrapText="1"/>
    </xf>
    <xf numFmtId="0" fontId="116" fillId="19" borderId="2" xfId="0" applyFont="1" applyFill="1" applyBorder="1" applyAlignment="1">
      <alignment horizontal="center" vertical="center" wrapText="1"/>
    </xf>
    <xf numFmtId="0" fontId="115" fillId="19" borderId="2" xfId="0" applyFont="1" applyFill="1" applyBorder="1" applyAlignment="1">
      <alignment horizontal="center" vertical="center" wrapText="1"/>
    </xf>
    <xf numFmtId="0" fontId="0" fillId="19" borderId="0" xfId="0" applyFill="1" applyAlignment="1">
      <alignment horizontal="center" vertical="center"/>
    </xf>
    <xf numFmtId="2" fontId="70" fillId="0" borderId="0" xfId="0" applyNumberFormat="1" applyFont="1" applyAlignment="1">
      <alignment horizontal="center" vertical="center"/>
    </xf>
    <xf numFmtId="3" fontId="61" fillId="19" borderId="8" xfId="2" applyNumberFormat="1" applyFont="1" applyFill="1" applyBorder="1" applyAlignment="1">
      <alignment horizontal="center" vertical="center" wrapText="1"/>
    </xf>
    <xf numFmtId="0" fontId="50" fillId="9" borderId="8" xfId="0" applyFont="1" applyFill="1" applyBorder="1" applyAlignment="1">
      <alignment horizontal="center" vertical="center" wrapText="1"/>
    </xf>
    <xf numFmtId="0" fontId="50" fillId="9" borderId="8" xfId="2" applyFont="1" applyFill="1" applyBorder="1" applyAlignment="1">
      <alignment horizontal="left" vertical="center"/>
    </xf>
    <xf numFmtId="0" fontId="71" fillId="10" borderId="8" xfId="0" applyFont="1" applyFill="1" applyBorder="1" applyAlignment="1">
      <alignment horizontal="center" vertical="center"/>
    </xf>
    <xf numFmtId="165" fontId="70" fillId="5" borderId="8" xfId="0" applyNumberFormat="1" applyFont="1" applyFill="1" applyBorder="1" applyAlignment="1">
      <alignment horizontal="center" vertical="center" wrapText="1"/>
    </xf>
    <xf numFmtId="0" fontId="50" fillId="9" borderId="8" xfId="0" applyFont="1" applyFill="1" applyBorder="1" applyAlignment="1">
      <alignment horizontal="left" vertical="center"/>
    </xf>
    <xf numFmtId="0" fontId="21" fillId="14" borderId="0" xfId="0" applyFont="1" applyFill="1" applyAlignment="1">
      <alignment horizontal="left" vertical="center" wrapText="1"/>
    </xf>
    <xf numFmtId="0" fontId="0" fillId="14" borderId="0" xfId="0" applyFill="1" applyAlignment="1">
      <alignment horizontal="left" vertical="center" wrapText="1"/>
    </xf>
    <xf numFmtId="0" fontId="48" fillId="14" borderId="0" xfId="0" applyFont="1" applyFill="1" applyAlignment="1">
      <alignment horizontal="left" vertical="center" wrapText="1"/>
    </xf>
    <xf numFmtId="0" fontId="117" fillId="0" borderId="2" xfId="0" applyFont="1" applyBorder="1" applyAlignment="1">
      <alignment horizontal="center" vertical="center" wrapText="1"/>
    </xf>
    <xf numFmtId="0" fontId="116" fillId="0" borderId="2" xfId="0" applyFont="1" applyBorder="1" applyAlignment="1">
      <alignment horizontal="center" vertical="center" wrapText="1"/>
    </xf>
    <xf numFmtId="0" fontId="115" fillId="0" borderId="2" xfId="0" applyFont="1" applyBorder="1" applyAlignment="1">
      <alignment horizontal="center" vertical="center" wrapText="1"/>
    </xf>
    <xf numFmtId="0" fontId="58" fillId="11" borderId="9" xfId="0" applyFont="1" applyFill="1" applyBorder="1" applyAlignment="1">
      <alignment horizontal="center" vertical="center"/>
    </xf>
    <xf numFmtId="0" fontId="58" fillId="11" borderId="10" xfId="0" applyFont="1" applyFill="1" applyBorder="1" applyAlignment="1">
      <alignment horizontal="center" vertical="center"/>
    </xf>
    <xf numFmtId="0" fontId="58" fillId="11" borderId="11" xfId="0" applyFont="1" applyFill="1" applyBorder="1" applyAlignment="1">
      <alignment horizontal="center" vertical="center"/>
    </xf>
    <xf numFmtId="0" fontId="58" fillId="18" borderId="9" xfId="0" applyFont="1" applyFill="1" applyBorder="1" applyAlignment="1">
      <alignment horizontal="center" vertical="center"/>
    </xf>
    <xf numFmtId="0" fontId="58" fillId="18" borderId="10" xfId="0" applyFont="1" applyFill="1" applyBorder="1" applyAlignment="1">
      <alignment horizontal="center" vertical="center"/>
    </xf>
    <xf numFmtId="0" fontId="58" fillId="18" borderId="11" xfId="0" applyFont="1" applyFill="1" applyBorder="1" applyAlignment="1">
      <alignment horizontal="center" vertical="center"/>
    </xf>
    <xf numFmtId="0" fontId="58" fillId="18" borderId="9" xfId="0" applyFont="1" applyFill="1" applyBorder="1" applyAlignment="1">
      <alignment horizontal="center" vertical="center" wrapText="1"/>
    </xf>
    <xf numFmtId="0" fontId="58" fillId="18" borderId="11"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9"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8" xfId="0" applyFont="1" applyFill="1" applyBorder="1" applyAlignment="1">
      <alignment horizontal="center" vertical="center" wrapText="1"/>
    </xf>
    <xf numFmtId="0" fontId="13" fillId="9" borderId="38" xfId="0" applyFont="1" applyFill="1" applyBorder="1" applyAlignment="1">
      <alignment horizontal="center"/>
    </xf>
    <xf numFmtId="0" fontId="13" fillId="9" borderId="39" xfId="0" applyFont="1" applyFill="1" applyBorder="1" applyAlignment="1">
      <alignment horizontal="center"/>
    </xf>
    <xf numFmtId="0" fontId="13" fillId="9" borderId="40" xfId="0" applyFont="1" applyFill="1" applyBorder="1" applyAlignment="1">
      <alignment horizontal="center"/>
    </xf>
    <xf numFmtId="0" fontId="13" fillId="12" borderId="12" xfId="0" applyFont="1" applyFill="1" applyBorder="1" applyAlignment="1">
      <alignment horizontal="left" vertical="center"/>
    </xf>
    <xf numFmtId="0" fontId="13" fillId="12" borderId="14" xfId="0" applyFont="1" applyFill="1" applyBorder="1" applyAlignment="1">
      <alignment horizontal="left" vertical="center"/>
    </xf>
    <xf numFmtId="0" fontId="14" fillId="9" borderId="38" xfId="0" applyFont="1" applyFill="1" applyBorder="1" applyAlignment="1">
      <alignment horizontal="center"/>
    </xf>
    <xf numFmtId="0" fontId="14" fillId="9" borderId="40" xfId="0" applyFont="1" applyFill="1" applyBorder="1" applyAlignment="1">
      <alignment horizontal="center"/>
    </xf>
    <xf numFmtId="0" fontId="13" fillId="0" borderId="12" xfId="0" applyFont="1" applyBorder="1" applyAlignment="1">
      <alignment horizontal="left" vertical="center"/>
    </xf>
    <xf numFmtId="0" fontId="13" fillId="0" borderId="14" xfId="0" applyFont="1" applyBorder="1" applyAlignment="1">
      <alignment horizontal="left" vertical="center"/>
    </xf>
    <xf numFmtId="0" fontId="13" fillId="10" borderId="17" xfId="0" applyFont="1" applyFill="1" applyBorder="1" applyAlignment="1">
      <alignment horizontal="center" vertical="center"/>
    </xf>
    <xf numFmtId="0" fontId="13" fillId="10" borderId="19" xfId="0" applyFont="1" applyFill="1" applyBorder="1" applyAlignment="1">
      <alignment horizontal="center" vertical="center"/>
    </xf>
    <xf numFmtId="0" fontId="14" fillId="10" borderId="16" xfId="0" applyFont="1" applyFill="1" applyBorder="1" applyAlignment="1">
      <alignment horizontal="center" vertical="center"/>
    </xf>
    <xf numFmtId="0" fontId="14" fillId="10" borderId="17" xfId="0" applyFont="1" applyFill="1" applyBorder="1" applyAlignment="1">
      <alignment horizontal="center" vertical="center"/>
    </xf>
    <xf numFmtId="0" fontId="14" fillId="10" borderId="0" xfId="0" applyFont="1" applyFill="1" applyAlignment="1">
      <alignment horizontal="center" vertical="center"/>
    </xf>
    <xf numFmtId="0" fontId="14" fillId="10" borderId="19" xfId="0" applyFont="1" applyFill="1" applyBorder="1" applyAlignment="1">
      <alignment horizontal="center" vertical="center"/>
    </xf>
    <xf numFmtId="0" fontId="13" fillId="10" borderId="12" xfId="0" applyFont="1" applyFill="1" applyBorder="1" applyAlignment="1">
      <alignment horizontal="left" vertical="center"/>
    </xf>
    <xf numFmtId="0" fontId="13" fillId="10" borderId="14" xfId="0" applyFont="1" applyFill="1" applyBorder="1" applyAlignment="1">
      <alignment horizontal="left" vertical="center"/>
    </xf>
    <xf numFmtId="0" fontId="8" fillId="8" borderId="9" xfId="0" applyFont="1" applyFill="1" applyBorder="1" applyAlignment="1">
      <alignment vertical="center" wrapText="1"/>
    </xf>
    <xf numFmtId="0" fontId="8" fillId="8" borderId="11" xfId="0" applyFont="1" applyFill="1" applyBorder="1" applyAlignment="1">
      <alignment vertical="center" wrapText="1"/>
    </xf>
    <xf numFmtId="0" fontId="9" fillId="10" borderId="17"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10" borderId="20" xfId="0" applyFont="1" applyFill="1" applyBorder="1" applyAlignment="1">
      <alignment horizontal="center" vertical="center" wrapText="1"/>
    </xf>
    <xf numFmtId="1" fontId="13" fillId="10" borderId="12" xfId="0" applyNumberFormat="1" applyFont="1" applyFill="1" applyBorder="1" applyAlignment="1">
      <alignment horizontal="center" vertical="center"/>
    </xf>
    <xf numFmtId="1" fontId="13" fillId="10" borderId="13" xfId="0" applyNumberFormat="1" applyFont="1" applyFill="1" applyBorder="1" applyAlignment="1">
      <alignment horizontal="center" vertical="center"/>
    </xf>
    <xf numFmtId="1" fontId="13" fillId="10" borderId="14" xfId="0" applyNumberFormat="1" applyFont="1" applyFill="1" applyBorder="1" applyAlignment="1">
      <alignment horizontal="center" vertical="center"/>
    </xf>
    <xf numFmtId="0" fontId="12" fillId="9" borderId="8" xfId="0" applyFont="1" applyFill="1" applyBorder="1" applyAlignment="1">
      <alignment horizontal="center" vertical="center"/>
    </xf>
    <xf numFmtId="0" fontId="12" fillId="9" borderId="8" xfId="0" applyFont="1" applyFill="1" applyBorder="1" applyAlignment="1">
      <alignment horizontal="center" vertical="center" wrapText="1"/>
    </xf>
    <xf numFmtId="0" fontId="58" fillId="11" borderId="9" xfId="0" applyFont="1" applyFill="1" applyBorder="1" applyAlignment="1">
      <alignment horizontal="center" vertical="center" wrapText="1"/>
    </xf>
    <xf numFmtId="0" fontId="58" fillId="11" borderId="10" xfId="0" applyFont="1" applyFill="1" applyBorder="1" applyAlignment="1">
      <alignment horizontal="center" vertical="center" wrapText="1"/>
    </xf>
    <xf numFmtId="0" fontId="12" fillId="9" borderId="9"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25" fillId="0" borderId="0" xfId="0" applyFont="1" applyAlignment="1">
      <alignment horizontal="center" vertical="center" wrapText="1"/>
    </xf>
    <xf numFmtId="0" fontId="27" fillId="0" borderId="0" xfId="0" applyFont="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8" fillId="0" borderId="0" xfId="0" applyFont="1" applyAlignment="1">
      <alignment horizontal="center" vertical="center" wrapText="1"/>
    </xf>
    <xf numFmtId="0" fontId="24" fillId="8" borderId="8" xfId="0" applyFont="1" applyFill="1" applyBorder="1" applyAlignment="1">
      <alignment horizontal="center" vertical="center" wrapText="1"/>
    </xf>
    <xf numFmtId="0" fontId="25" fillId="8" borderId="8" xfId="0" applyFont="1" applyFill="1" applyBorder="1" applyAlignment="1">
      <alignment horizontal="center" vertical="center" wrapText="1"/>
    </xf>
    <xf numFmtId="0" fontId="24" fillId="8" borderId="8" xfId="0" applyFont="1" applyFill="1" applyBorder="1" applyAlignment="1">
      <alignment horizontal="center" vertical="center"/>
    </xf>
    <xf numFmtId="0" fontId="27" fillId="10" borderId="8" xfId="0" applyFont="1" applyFill="1" applyBorder="1" applyAlignment="1">
      <alignment horizontal="center" vertical="center" wrapText="1"/>
    </xf>
    <xf numFmtId="0" fontId="28" fillId="8" borderId="8" xfId="0" applyFont="1" applyFill="1" applyBorder="1" applyAlignment="1">
      <alignment horizontal="center" vertical="center" wrapText="1"/>
    </xf>
    <xf numFmtId="0" fontId="0" fillId="10" borderId="8" xfId="0" applyFill="1" applyBorder="1" applyAlignment="1">
      <alignment horizontal="center" vertical="center"/>
    </xf>
    <xf numFmtId="0" fontId="14" fillId="10" borderId="8" xfId="0" applyFont="1" applyFill="1" applyBorder="1" applyAlignment="1">
      <alignment horizontal="center" vertical="center"/>
    </xf>
    <xf numFmtId="0" fontId="15" fillId="0" borderId="23" xfId="0" applyFont="1" applyBorder="1" applyAlignment="1">
      <alignment horizontal="left" vertical="center"/>
    </xf>
    <xf numFmtId="0" fontId="15" fillId="0" borderId="2" xfId="0" applyFont="1" applyBorder="1" applyAlignment="1">
      <alignment horizontal="left" vertical="center"/>
    </xf>
    <xf numFmtId="0" fontId="15" fillId="0" borderId="81" xfId="0" applyFont="1" applyBorder="1" applyAlignment="1">
      <alignment horizontal="left" vertical="center"/>
    </xf>
    <xf numFmtId="0" fontId="15" fillId="0" borderId="39" xfId="0" applyFont="1" applyBorder="1" applyAlignment="1">
      <alignment horizontal="left" vertical="center"/>
    </xf>
    <xf numFmtId="0" fontId="15" fillId="0" borderId="40" xfId="0" applyFont="1" applyBorder="1" applyAlignment="1">
      <alignment horizontal="left" vertical="center"/>
    </xf>
    <xf numFmtId="0" fontId="19" fillId="9" borderId="30" xfId="0" applyFont="1" applyFill="1" applyBorder="1" applyAlignment="1">
      <alignment horizontal="center" vertical="center"/>
    </xf>
    <xf numFmtId="0" fontId="19" fillId="9" borderId="31" xfId="0" applyFont="1" applyFill="1" applyBorder="1" applyAlignment="1">
      <alignment horizontal="center" vertical="center"/>
    </xf>
    <xf numFmtId="0" fontId="19" fillId="9" borderId="33" xfId="0" applyFont="1" applyFill="1" applyBorder="1" applyAlignment="1">
      <alignment horizontal="center" vertical="center"/>
    </xf>
    <xf numFmtId="0" fontId="19" fillId="9" borderId="8" xfId="0" applyFont="1" applyFill="1" applyBorder="1" applyAlignment="1">
      <alignment horizontal="center" vertical="center"/>
    </xf>
    <xf numFmtId="0" fontId="19" fillId="9" borderId="31" xfId="0" applyFont="1" applyFill="1" applyBorder="1" applyAlignment="1">
      <alignment horizontal="center" vertical="center" wrapText="1"/>
    </xf>
    <xf numFmtId="0" fontId="19" fillId="9" borderId="8" xfId="0" applyFont="1" applyFill="1" applyBorder="1" applyAlignment="1">
      <alignment horizontal="center" vertical="center" wrapText="1"/>
    </xf>
    <xf numFmtId="0" fontId="13" fillId="0" borderId="33" xfId="0" applyFont="1" applyBorder="1" applyAlignment="1">
      <alignment horizontal="left" vertical="center"/>
    </xf>
    <xf numFmtId="0" fontId="13" fillId="0" borderId="8" xfId="0" applyFont="1" applyBorder="1" applyAlignment="1">
      <alignment horizontal="left" vertical="center"/>
    </xf>
    <xf numFmtId="0" fontId="14" fillId="0" borderId="33" xfId="0" applyFont="1" applyBorder="1" applyAlignment="1">
      <alignment horizontal="left" vertical="center"/>
    </xf>
    <xf numFmtId="0" fontId="14" fillId="0" borderId="8" xfId="0" applyFont="1" applyBorder="1" applyAlignment="1">
      <alignment horizontal="left" vertical="center"/>
    </xf>
    <xf numFmtId="0" fontId="13" fillId="0" borderId="35" xfId="0" applyFont="1" applyBorder="1" applyAlignment="1">
      <alignment horizontal="left" vertical="center"/>
    </xf>
    <xf numFmtId="0" fontId="13" fillId="0" borderId="36" xfId="0" applyFont="1" applyBorder="1" applyAlignment="1">
      <alignment horizontal="left" vertical="center"/>
    </xf>
    <xf numFmtId="0" fontId="19" fillId="9" borderId="32" xfId="0" applyFont="1" applyFill="1" applyBorder="1" applyAlignment="1">
      <alignment horizontal="center" vertical="center" wrapText="1"/>
    </xf>
    <xf numFmtId="0" fontId="19" fillId="9" borderId="34" xfId="0" applyFont="1" applyFill="1" applyBorder="1" applyAlignment="1">
      <alignment horizontal="center" vertical="center" wrapText="1"/>
    </xf>
    <xf numFmtId="0" fontId="20" fillId="9" borderId="8" xfId="0" applyFont="1" applyFill="1" applyBorder="1" applyAlignment="1">
      <alignment horizontal="center" vertical="center"/>
    </xf>
    <xf numFmtId="0" fontId="14" fillId="5" borderId="8" xfId="0" applyFont="1" applyFill="1" applyBorder="1" applyAlignment="1">
      <alignment horizontal="center" vertical="center"/>
    </xf>
    <xf numFmtId="0" fontId="0" fillId="10" borderId="12" xfId="0" applyFill="1" applyBorder="1" applyAlignment="1">
      <alignment horizontal="center" vertical="center"/>
    </xf>
    <xf numFmtId="0" fontId="0" fillId="10" borderId="14" xfId="0" applyFill="1" applyBorder="1" applyAlignment="1">
      <alignment horizontal="center" vertical="center"/>
    </xf>
    <xf numFmtId="0" fontId="14" fillId="10" borderId="12" xfId="0" applyFont="1" applyFill="1" applyBorder="1" applyAlignment="1">
      <alignment horizontal="center" vertical="center"/>
    </xf>
    <xf numFmtId="0" fontId="14" fillId="10" borderId="14" xfId="0" applyFont="1" applyFill="1" applyBorder="1" applyAlignment="1">
      <alignment horizontal="center" vertical="center"/>
    </xf>
    <xf numFmtId="0" fontId="8" fillId="8" borderId="8" xfId="0" applyFont="1" applyFill="1" applyBorder="1" applyAlignment="1">
      <alignment horizontal="center" vertical="center"/>
    </xf>
    <xf numFmtId="0" fontId="19" fillId="9" borderId="15" xfId="0" applyFont="1" applyFill="1" applyBorder="1" applyAlignment="1">
      <alignment horizontal="left" vertical="center"/>
    </xf>
    <xf numFmtId="0" fontId="19" fillId="9" borderId="16" xfId="0" applyFont="1" applyFill="1" applyBorder="1" applyAlignment="1">
      <alignment horizontal="left" vertical="center"/>
    </xf>
    <xf numFmtId="0" fontId="19" fillId="9" borderId="17" xfId="0" applyFont="1" applyFill="1" applyBorder="1" applyAlignment="1">
      <alignment horizontal="left" vertical="center"/>
    </xf>
    <xf numFmtId="0" fontId="19" fillId="9" borderId="8" xfId="0" applyFont="1" applyFill="1" applyBorder="1" applyAlignment="1">
      <alignment horizontal="center" vertical="center" textRotation="90" wrapText="1"/>
    </xf>
    <xf numFmtId="0" fontId="19" fillId="9" borderId="18" xfId="0" applyFont="1" applyFill="1" applyBorder="1" applyAlignment="1">
      <alignment horizontal="left" vertical="center"/>
    </xf>
    <xf numFmtId="0" fontId="19" fillId="9" borderId="0" xfId="0" applyFont="1" applyFill="1" applyAlignment="1">
      <alignment horizontal="left" vertical="center"/>
    </xf>
    <xf numFmtId="0" fontId="19" fillId="9" borderId="19" xfId="0" applyFont="1" applyFill="1" applyBorder="1" applyAlignment="1">
      <alignment horizontal="left" vertical="center"/>
    </xf>
    <xf numFmtId="0" fontId="19" fillId="9" borderId="8" xfId="0" applyFont="1" applyFill="1" applyBorder="1" applyAlignment="1">
      <alignment horizontal="center" vertical="center" textRotation="90"/>
    </xf>
    <xf numFmtId="0" fontId="9" fillId="11" borderId="8" xfId="0" applyFont="1" applyFill="1" applyBorder="1" applyAlignment="1">
      <alignment vertical="center"/>
    </xf>
    <xf numFmtId="0" fontId="19" fillId="9" borderId="9" xfId="0" applyFont="1" applyFill="1" applyBorder="1" applyAlignment="1">
      <alignment horizontal="center" vertical="center" textRotation="90" wrapText="1"/>
    </xf>
    <xf numFmtId="0" fontId="19" fillId="9" borderId="10" xfId="0" applyFont="1" applyFill="1" applyBorder="1" applyAlignment="1">
      <alignment horizontal="center" vertical="center" textRotation="90" wrapText="1"/>
    </xf>
    <xf numFmtId="0" fontId="19" fillId="9" borderId="11" xfId="0" applyFont="1" applyFill="1" applyBorder="1" applyAlignment="1">
      <alignment horizontal="center" vertical="center" textRotation="90" wrapText="1"/>
    </xf>
    <xf numFmtId="0" fontId="9" fillId="11" borderId="9" xfId="0" applyFont="1" applyFill="1" applyBorder="1" applyAlignment="1">
      <alignment horizontal="center" vertical="center"/>
    </xf>
    <xf numFmtId="0" fontId="9" fillId="11" borderId="10" xfId="0" applyFont="1" applyFill="1" applyBorder="1" applyAlignment="1">
      <alignment horizontal="center" vertical="center"/>
    </xf>
    <xf numFmtId="0" fontId="19" fillId="9" borderId="9" xfId="0" applyFont="1" applyFill="1" applyBorder="1" applyAlignment="1">
      <alignment horizontal="center" vertical="center" textRotation="90"/>
    </xf>
    <xf numFmtId="0" fontId="19" fillId="9" borderId="10" xfId="0" applyFont="1" applyFill="1" applyBorder="1" applyAlignment="1">
      <alignment horizontal="center" vertical="center" textRotation="90"/>
    </xf>
    <xf numFmtId="0" fontId="19" fillId="9" borderId="11" xfId="0" applyFont="1" applyFill="1" applyBorder="1" applyAlignment="1">
      <alignment horizontal="center" vertical="center" textRotation="90"/>
    </xf>
    <xf numFmtId="0" fontId="9" fillId="11" borderId="11" xfId="0" applyFont="1" applyFill="1" applyBorder="1" applyAlignment="1">
      <alignment horizontal="center" vertical="center"/>
    </xf>
    <xf numFmtId="0" fontId="10" fillId="10" borderId="12" xfId="0" applyFont="1" applyFill="1" applyBorder="1" applyAlignment="1">
      <alignment horizontal="left" vertical="center" wrapText="1"/>
    </xf>
    <xf numFmtId="0" fontId="10" fillId="10" borderId="80" xfId="0" applyFont="1" applyFill="1" applyBorder="1" applyAlignment="1">
      <alignment horizontal="left" vertical="center" wrapText="1"/>
    </xf>
    <xf numFmtId="0" fontId="10" fillId="10" borderId="13" xfId="0" applyFont="1" applyFill="1" applyBorder="1" applyAlignment="1">
      <alignment horizontal="left" vertical="center" wrapText="1"/>
    </xf>
    <xf numFmtId="0" fontId="10" fillId="10" borderId="14" xfId="0" applyFont="1" applyFill="1" applyBorder="1" applyAlignment="1">
      <alignment horizontal="left" vertical="center" wrapText="1"/>
    </xf>
    <xf numFmtId="0" fontId="9" fillId="10" borderId="8" xfId="0" applyFont="1" applyFill="1" applyBorder="1" applyAlignment="1">
      <alignment horizontal="left" vertical="center" wrapText="1"/>
    </xf>
    <xf numFmtId="0" fontId="9" fillId="10" borderId="9" xfId="0" applyFont="1" applyFill="1" applyBorder="1" applyAlignment="1">
      <alignment horizontal="left" vertical="center" wrapText="1"/>
    </xf>
    <xf numFmtId="0" fontId="9" fillId="10" borderId="11" xfId="0" applyFont="1" applyFill="1" applyBorder="1" applyAlignment="1">
      <alignment horizontal="left" vertical="center" wrapText="1"/>
    </xf>
    <xf numFmtId="0" fontId="9" fillId="10" borderId="9"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19" fillId="9" borderId="9" xfId="0" applyFont="1" applyFill="1" applyBorder="1" applyAlignment="1">
      <alignment horizontal="center" vertical="center" wrapText="1"/>
    </xf>
    <xf numFmtId="0" fontId="19" fillId="9" borderId="11" xfId="0" applyFont="1" applyFill="1" applyBorder="1" applyAlignment="1">
      <alignment horizontal="center" vertical="center" wrapText="1"/>
    </xf>
    <xf numFmtId="0" fontId="0" fillId="9" borderId="8" xfId="0" applyFill="1" applyBorder="1" applyAlignment="1">
      <alignment horizontal="center" vertical="center"/>
    </xf>
    <xf numFmtId="0" fontId="30" fillId="9" borderId="8" xfId="0" applyFont="1" applyFill="1" applyBorder="1" applyAlignment="1">
      <alignment horizontal="center" vertical="center" textRotation="90"/>
    </xf>
    <xf numFmtId="0" fontId="19" fillId="9" borderId="15"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19" fillId="9" borderId="12" xfId="0" applyFont="1" applyFill="1" applyBorder="1" applyAlignment="1">
      <alignment horizontal="left" vertical="center"/>
    </xf>
    <xf numFmtId="0" fontId="19" fillId="9" borderId="13" xfId="0" applyFont="1" applyFill="1" applyBorder="1" applyAlignment="1">
      <alignment horizontal="left" vertical="center"/>
    </xf>
    <xf numFmtId="0" fontId="19" fillId="9" borderId="14" xfId="0" applyFont="1" applyFill="1" applyBorder="1" applyAlignment="1">
      <alignment horizontal="left" vertical="center"/>
    </xf>
    <xf numFmtId="0" fontId="30" fillId="9" borderId="9" xfId="0" applyFont="1" applyFill="1" applyBorder="1" applyAlignment="1">
      <alignment horizontal="center" vertical="center" textRotation="90"/>
    </xf>
    <xf numFmtId="0" fontId="30" fillId="9" borderId="10" xfId="0" applyFont="1" applyFill="1" applyBorder="1" applyAlignment="1">
      <alignment horizontal="center" vertical="center" textRotation="90"/>
    </xf>
    <xf numFmtId="0" fontId="30" fillId="9" borderId="11" xfId="0" applyFont="1" applyFill="1" applyBorder="1" applyAlignment="1">
      <alignment horizontal="center" vertical="center" textRotation="90"/>
    </xf>
    <xf numFmtId="0" fontId="30" fillId="9" borderId="15" xfId="0" applyFont="1" applyFill="1" applyBorder="1" applyAlignment="1">
      <alignment horizontal="center" vertical="center" textRotation="90"/>
    </xf>
    <xf numFmtId="0" fontId="30" fillId="9" borderId="18" xfId="0" applyFont="1" applyFill="1" applyBorder="1" applyAlignment="1">
      <alignment horizontal="center" vertical="center" textRotation="90"/>
    </xf>
    <xf numFmtId="0" fontId="30" fillId="9" borderId="79" xfId="0" applyFont="1" applyFill="1" applyBorder="1" applyAlignment="1">
      <alignment horizontal="center" vertical="center" textRotation="90"/>
    </xf>
    <xf numFmtId="0" fontId="19" fillId="9" borderId="8" xfId="0" applyFont="1" applyFill="1" applyBorder="1" applyAlignment="1">
      <alignment horizontal="left" vertical="center"/>
    </xf>
    <xf numFmtId="0" fontId="19" fillId="9" borderId="80" xfId="0" applyFont="1" applyFill="1" applyBorder="1" applyAlignment="1">
      <alignment horizontal="left" vertical="center"/>
    </xf>
    <xf numFmtId="0" fontId="19" fillId="9" borderId="20" xfId="0" applyFont="1" applyFill="1" applyBorder="1" applyAlignment="1">
      <alignment horizontal="left" vertical="center"/>
    </xf>
    <xf numFmtId="0" fontId="49" fillId="0" borderId="0" xfId="0" applyFont="1" applyAlignment="1">
      <alignment horizontal="left" vertical="center" wrapText="1"/>
    </xf>
    <xf numFmtId="0" fontId="14" fillId="14" borderId="0" xfId="0" applyFont="1" applyFill="1" applyAlignment="1">
      <alignment horizontal="left" vertical="center" wrapText="1"/>
    </xf>
    <xf numFmtId="0" fontId="44" fillId="9" borderId="9" xfId="0" applyFont="1" applyFill="1" applyBorder="1" applyAlignment="1">
      <alignment horizontal="center" vertical="center" wrapText="1"/>
    </xf>
    <xf numFmtId="0" fontId="44" fillId="9" borderId="11" xfId="0" applyFont="1" applyFill="1" applyBorder="1" applyAlignment="1">
      <alignment horizontal="center" vertical="center" wrapText="1"/>
    </xf>
    <xf numFmtId="0" fontId="0" fillId="0" borderId="23" xfId="0" applyBorder="1" applyAlignment="1">
      <alignment horizontal="center"/>
    </xf>
    <xf numFmtId="0" fontId="0" fillId="0" borderId="2" xfId="0" applyBorder="1" applyAlignment="1">
      <alignment horizontal="center"/>
    </xf>
    <xf numFmtId="0" fontId="0" fillId="0" borderId="72" xfId="0" applyBorder="1" applyAlignment="1">
      <alignment horizontal="center"/>
    </xf>
    <xf numFmtId="0" fontId="0" fillId="0" borderId="75" xfId="0" applyBorder="1" applyAlignment="1">
      <alignment horizontal="center"/>
    </xf>
    <xf numFmtId="0" fontId="0" fillId="0" borderId="67" xfId="0" applyBorder="1" applyAlignment="1">
      <alignment horizontal="center"/>
    </xf>
    <xf numFmtId="0" fontId="0" fillId="9" borderId="8" xfId="0" applyFill="1" applyBorder="1" applyAlignment="1">
      <alignment horizontal="center"/>
    </xf>
    <xf numFmtId="0" fontId="14" fillId="11" borderId="9" xfId="0" applyFont="1" applyFill="1" applyBorder="1" applyAlignment="1">
      <alignment horizontal="center" vertical="center" wrapText="1"/>
    </xf>
    <xf numFmtId="0" fontId="14" fillId="11" borderId="11" xfId="0" applyFont="1" applyFill="1" applyBorder="1" applyAlignment="1">
      <alignment horizontal="center" vertical="center" wrapText="1"/>
    </xf>
    <xf numFmtId="0" fontId="13" fillId="10" borderId="47" xfId="0" applyFont="1" applyFill="1" applyBorder="1" applyAlignment="1">
      <alignment horizontal="center" vertical="center" wrapText="1"/>
    </xf>
    <xf numFmtId="0" fontId="13" fillId="10" borderId="48" xfId="0" applyFont="1" applyFill="1" applyBorder="1" applyAlignment="1">
      <alignment horizontal="center" vertical="center" wrapText="1"/>
    </xf>
    <xf numFmtId="0" fontId="13" fillId="10" borderId="49" xfId="0" applyFont="1" applyFill="1" applyBorder="1" applyAlignment="1">
      <alignment horizontal="center" vertical="center" wrapText="1"/>
    </xf>
    <xf numFmtId="0" fontId="13" fillId="10" borderId="21" xfId="0" applyFont="1" applyFill="1" applyBorder="1" applyAlignment="1">
      <alignment horizontal="center" vertical="center" wrapText="1"/>
    </xf>
    <xf numFmtId="0" fontId="13" fillId="10" borderId="22" xfId="0" applyFont="1" applyFill="1" applyBorder="1" applyAlignment="1">
      <alignment horizontal="center" vertical="center" wrapText="1"/>
    </xf>
    <xf numFmtId="0" fontId="13" fillId="10" borderId="26" xfId="0" applyFont="1" applyFill="1" applyBorder="1" applyAlignment="1">
      <alignment horizontal="center" vertical="center" wrapText="1"/>
    </xf>
    <xf numFmtId="0" fontId="13" fillId="10" borderId="23"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13" fillId="10" borderId="28" xfId="0" applyFont="1" applyFill="1" applyBorder="1" applyAlignment="1">
      <alignment horizontal="center" vertical="center" wrapText="1"/>
    </xf>
    <xf numFmtId="0" fontId="13" fillId="10" borderId="24" xfId="0" applyFont="1" applyFill="1" applyBorder="1" applyAlignment="1">
      <alignment horizontal="center" vertical="center" wrapText="1"/>
    </xf>
    <xf numFmtId="0" fontId="13" fillId="10" borderId="25" xfId="0" applyFont="1" applyFill="1" applyBorder="1" applyAlignment="1">
      <alignment horizontal="center" vertical="center" wrapText="1"/>
    </xf>
    <xf numFmtId="0" fontId="13" fillId="10" borderId="29" xfId="0" applyFont="1" applyFill="1" applyBorder="1" applyAlignment="1">
      <alignment horizontal="center" vertical="center" wrapText="1"/>
    </xf>
    <xf numFmtId="0" fontId="19" fillId="9" borderId="10"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32" fillId="10" borderId="42" xfId="0" applyFont="1" applyFill="1" applyBorder="1" applyAlignment="1">
      <alignment horizontal="center" vertical="center" wrapText="1"/>
    </xf>
    <xf numFmtId="0" fontId="32" fillId="10" borderId="43" xfId="0" applyFont="1" applyFill="1" applyBorder="1" applyAlignment="1">
      <alignment horizontal="center" vertical="center" wrapText="1"/>
    </xf>
    <xf numFmtId="0" fontId="8" fillId="8" borderId="12"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8" fillId="8" borderId="12" xfId="0" applyFont="1" applyFill="1" applyBorder="1" applyAlignment="1">
      <alignment horizontal="center" vertical="center"/>
    </xf>
    <xf numFmtId="0" fontId="8" fillId="8" borderId="14" xfId="0" applyFont="1" applyFill="1" applyBorder="1" applyAlignment="1">
      <alignment horizontal="center" vertical="center"/>
    </xf>
    <xf numFmtId="0" fontId="0" fillId="0" borderId="16" xfId="0" applyBorder="1" applyAlignment="1">
      <alignment horizontal="center"/>
    </xf>
    <xf numFmtId="0" fontId="35" fillId="10" borderId="8" xfId="0" applyFont="1" applyFill="1" applyBorder="1" applyAlignment="1">
      <alignment horizontal="left" vertical="center"/>
    </xf>
    <xf numFmtId="0" fontId="31" fillId="9" borderId="8" xfId="0" applyFont="1" applyFill="1" applyBorder="1" applyAlignment="1">
      <alignment horizontal="left" vertical="center"/>
    </xf>
    <xf numFmtId="0" fontId="14" fillId="11" borderId="8" xfId="0" applyFont="1" applyFill="1" applyBorder="1" applyAlignment="1">
      <alignment horizontal="left" vertical="center" wrapText="1"/>
    </xf>
    <xf numFmtId="1" fontId="14" fillId="10" borderId="13" xfId="0" applyNumberFormat="1" applyFont="1" applyFill="1" applyBorder="1" applyAlignment="1">
      <alignment horizontal="left" vertical="center" wrapText="1"/>
    </xf>
    <xf numFmtId="1" fontId="14" fillId="10" borderId="14" xfId="0" applyNumberFormat="1" applyFont="1" applyFill="1" applyBorder="1" applyAlignment="1">
      <alignment horizontal="left" vertical="center" wrapText="1"/>
    </xf>
    <xf numFmtId="0" fontId="0" fillId="0" borderId="77" xfId="0" applyBorder="1" applyAlignment="1">
      <alignment horizontal="center"/>
    </xf>
    <xf numFmtId="0" fontId="65" fillId="0" borderId="42" xfId="0" applyFont="1" applyBorder="1" applyAlignment="1">
      <alignment horizontal="center" vertical="center" wrapText="1"/>
    </xf>
    <xf numFmtId="0" fontId="65" fillId="0" borderId="68" xfId="0" applyFont="1" applyBorder="1" applyAlignment="1">
      <alignment horizontal="center" vertical="center" wrapText="1"/>
    </xf>
    <xf numFmtId="0" fontId="65" fillId="0" borderId="43" xfId="0" applyFont="1" applyBorder="1" applyAlignment="1">
      <alignment horizontal="center" vertical="center" wrapText="1"/>
    </xf>
    <xf numFmtId="0" fontId="66" fillId="0" borderId="42" xfId="0" applyFont="1" applyBorder="1" applyAlignment="1">
      <alignment horizontal="center" vertical="center" wrapText="1"/>
    </xf>
    <xf numFmtId="0" fontId="66" fillId="0" borderId="68" xfId="0" applyFont="1" applyBorder="1" applyAlignment="1">
      <alignment horizontal="center" vertical="center" wrapText="1"/>
    </xf>
    <xf numFmtId="0" fontId="66" fillId="0" borderId="43"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68" xfId="0" applyFont="1" applyBorder="1" applyAlignment="1">
      <alignment horizontal="center" vertical="center" wrapText="1"/>
    </xf>
    <xf numFmtId="0" fontId="5" fillId="0" borderId="43" xfId="0" applyFont="1" applyBorder="1" applyAlignment="1">
      <alignment horizontal="center" vertical="center" wrapText="1"/>
    </xf>
    <xf numFmtId="0" fontId="65" fillId="0" borderId="42" xfId="0" applyFont="1" applyBorder="1" applyAlignment="1">
      <alignment vertical="center" wrapText="1"/>
    </xf>
    <xf numFmtId="0" fontId="65" fillId="0" borderId="43" xfId="0" applyFont="1" applyBorder="1" applyAlignment="1">
      <alignment vertical="center" wrapText="1"/>
    </xf>
    <xf numFmtId="0" fontId="67" fillId="0" borderId="42" xfId="0" applyFont="1" applyBorder="1" applyAlignment="1">
      <alignment horizontal="center" vertical="center" wrapText="1"/>
    </xf>
    <xf numFmtId="0" fontId="67" fillId="0" borderId="43" xfId="0" applyFont="1" applyBorder="1" applyAlignment="1">
      <alignment horizontal="center" vertical="center" wrapText="1"/>
    </xf>
    <xf numFmtId="0" fontId="67" fillId="0" borderId="68" xfId="0" applyFont="1" applyBorder="1" applyAlignment="1">
      <alignment horizontal="center" vertical="center" wrapText="1"/>
    </xf>
    <xf numFmtId="0" fontId="68" fillId="0" borderId="42" xfId="0" applyFont="1" applyBorder="1" applyAlignment="1">
      <alignment horizontal="center" vertical="center" wrapText="1"/>
    </xf>
    <xf numFmtId="0" fontId="68" fillId="0" borderId="68" xfId="0" applyFont="1" applyBorder="1" applyAlignment="1">
      <alignment horizontal="center" vertical="center" wrapText="1"/>
    </xf>
    <xf numFmtId="0" fontId="68" fillId="0" borderId="43" xfId="0" applyFont="1" applyBorder="1" applyAlignment="1">
      <alignment horizontal="center" vertical="center" wrapText="1"/>
    </xf>
    <xf numFmtId="0" fontId="63" fillId="0" borderId="42" xfId="0" applyFont="1" applyBorder="1" applyAlignment="1">
      <alignment horizontal="center" vertical="center" wrapText="1"/>
    </xf>
    <xf numFmtId="0" fontId="63" fillId="0" borderId="68" xfId="0" applyFont="1" applyBorder="1" applyAlignment="1">
      <alignment horizontal="center" vertical="center" wrapText="1"/>
    </xf>
    <xf numFmtId="0" fontId="63" fillId="0" borderId="43" xfId="0" applyFont="1" applyBorder="1" applyAlignment="1">
      <alignment horizontal="center" vertical="center" wrapText="1"/>
    </xf>
    <xf numFmtId="0" fontId="31" fillId="9" borderId="8" xfId="0" applyFont="1" applyFill="1" applyBorder="1" applyAlignment="1">
      <alignment horizontal="center" vertical="center" wrapText="1"/>
    </xf>
    <xf numFmtId="0" fontId="52" fillId="9" borderId="8" xfId="0" applyFont="1" applyFill="1" applyBorder="1" applyAlignment="1">
      <alignment horizontal="center" vertical="center" textRotation="90" wrapText="1"/>
    </xf>
    <xf numFmtId="0" fontId="31" fillId="9" borderId="9" xfId="0" applyFont="1" applyFill="1" applyBorder="1" applyAlignment="1">
      <alignment horizontal="center" vertical="center" wrapText="1"/>
    </xf>
    <xf numFmtId="0" fontId="31" fillId="9" borderId="11" xfId="0" applyFont="1" applyFill="1" applyBorder="1" applyAlignment="1">
      <alignment horizontal="center" vertical="center" wrapText="1"/>
    </xf>
    <xf numFmtId="0" fontId="89" fillId="9" borderId="12" xfId="0" applyFont="1" applyFill="1" applyBorder="1" applyAlignment="1">
      <alignment horizontal="left" vertical="center"/>
    </xf>
    <xf numFmtId="0" fontId="89" fillId="9" borderId="13" xfId="0" applyFont="1" applyFill="1" applyBorder="1" applyAlignment="1">
      <alignment horizontal="left" vertical="center"/>
    </xf>
    <xf numFmtId="0" fontId="75" fillId="9" borderId="19" xfId="0" applyFont="1" applyFill="1" applyBorder="1" applyAlignment="1">
      <alignment horizontal="center"/>
    </xf>
    <xf numFmtId="0" fontId="75" fillId="9" borderId="20" xfId="0" applyFont="1" applyFill="1" applyBorder="1" applyAlignment="1">
      <alignment horizontal="center"/>
    </xf>
    <xf numFmtId="0" fontId="50" fillId="9" borderId="15" xfId="0" applyFont="1" applyFill="1" applyBorder="1" applyAlignment="1">
      <alignment horizontal="left" vertical="center" wrapText="1"/>
    </xf>
    <xf numFmtId="0" fontId="50" fillId="9" borderId="16" xfId="0" applyFont="1" applyFill="1" applyBorder="1" applyAlignment="1">
      <alignment horizontal="left" vertical="center" wrapText="1"/>
    </xf>
    <xf numFmtId="0" fontId="77" fillId="9" borderId="19" xfId="0" applyFont="1" applyFill="1" applyBorder="1" applyAlignment="1">
      <alignment horizontal="center" vertical="center" textRotation="90"/>
    </xf>
    <xf numFmtId="0" fontId="77" fillId="9" borderId="20" xfId="0" applyFont="1" applyFill="1" applyBorder="1" applyAlignment="1">
      <alignment horizontal="center" vertical="center" textRotation="90"/>
    </xf>
    <xf numFmtId="0" fontId="77" fillId="9" borderId="10" xfId="0" applyFont="1" applyFill="1" applyBorder="1" applyAlignment="1">
      <alignment horizontal="center" vertical="center" textRotation="90"/>
    </xf>
    <xf numFmtId="0" fontId="77" fillId="9" borderId="11" xfId="0" applyFont="1" applyFill="1" applyBorder="1" applyAlignment="1">
      <alignment horizontal="center" vertical="center" textRotation="90"/>
    </xf>
    <xf numFmtId="0" fontId="90" fillId="11" borderId="12" xfId="2" applyFont="1" applyFill="1" applyBorder="1" applyAlignment="1">
      <alignment horizontal="left" vertical="center"/>
    </xf>
    <xf numFmtId="0" fontId="90" fillId="11" borderId="13" xfId="2" applyFont="1" applyFill="1" applyBorder="1" applyAlignment="1">
      <alignment horizontal="left" vertical="center"/>
    </xf>
    <xf numFmtId="0" fontId="90" fillId="11" borderId="14" xfId="2" applyFont="1" applyFill="1" applyBorder="1" applyAlignment="1">
      <alignment horizontal="left" vertical="center"/>
    </xf>
    <xf numFmtId="0" fontId="13" fillId="10" borderId="61" xfId="0" applyFont="1" applyFill="1" applyBorder="1" applyAlignment="1">
      <alignment horizontal="center" vertical="center" wrapText="1"/>
    </xf>
    <xf numFmtId="0" fontId="13" fillId="10" borderId="62" xfId="0" applyFont="1" applyFill="1" applyBorder="1" applyAlignment="1">
      <alignment horizontal="center" vertical="center" wrapText="1"/>
    </xf>
    <xf numFmtId="0" fontId="76" fillId="8" borderId="8" xfId="0" applyFont="1" applyFill="1" applyBorder="1" applyAlignment="1">
      <alignment horizontal="center" vertical="center" wrapText="1"/>
    </xf>
    <xf numFmtId="0" fontId="77" fillId="9" borderId="8" xfId="0" applyFont="1" applyFill="1" applyBorder="1" applyAlignment="1">
      <alignment horizontal="left" vertical="center" wrapText="1"/>
    </xf>
    <xf numFmtId="0" fontId="76" fillId="8" borderId="9" xfId="0" applyFont="1" applyFill="1" applyBorder="1" applyAlignment="1">
      <alignment horizontal="center" vertical="center" wrapText="1"/>
    </xf>
    <xf numFmtId="0" fontId="76" fillId="8" borderId="10" xfId="0" applyFont="1" applyFill="1" applyBorder="1" applyAlignment="1">
      <alignment horizontal="center" vertical="center" wrapText="1"/>
    </xf>
    <xf numFmtId="0" fontId="76" fillId="8" borderId="11" xfId="0" applyFont="1" applyFill="1" applyBorder="1" applyAlignment="1">
      <alignment horizontal="center" vertical="center" wrapText="1"/>
    </xf>
    <xf numFmtId="1" fontId="14" fillId="10" borderId="15" xfId="0" applyNumberFormat="1" applyFont="1" applyFill="1" applyBorder="1" applyAlignment="1">
      <alignment horizontal="left" vertical="center" wrapText="1"/>
    </xf>
    <xf numFmtId="1" fontId="14" fillId="10" borderId="16" xfId="0" applyNumberFormat="1" applyFont="1" applyFill="1" applyBorder="1" applyAlignment="1">
      <alignment horizontal="left" vertical="center" wrapText="1"/>
    </xf>
    <xf numFmtId="0" fontId="8" fillId="8" borderId="10" xfId="0" applyFont="1" applyFill="1" applyBorder="1" applyAlignment="1">
      <alignment horizontal="center" vertical="center" wrapText="1"/>
    </xf>
    <xf numFmtId="0" fontId="19" fillId="9" borderId="8" xfId="0" applyFont="1" applyFill="1" applyBorder="1" applyAlignment="1">
      <alignment horizontal="left" vertical="center" wrapText="1"/>
    </xf>
    <xf numFmtId="0" fontId="0" fillId="9" borderId="19" xfId="0" applyFill="1" applyBorder="1" applyAlignment="1">
      <alignment horizontal="center"/>
    </xf>
    <xf numFmtId="0" fontId="0" fillId="9" borderId="20" xfId="0" applyFill="1" applyBorder="1" applyAlignment="1">
      <alignment horizontal="center"/>
    </xf>
    <xf numFmtId="0" fontId="19" fillId="9" borderId="15" xfId="0" applyFont="1" applyFill="1" applyBorder="1" applyAlignment="1">
      <alignment horizontal="left" vertical="center" wrapText="1"/>
    </xf>
    <xf numFmtId="0" fontId="19" fillId="9" borderId="16" xfId="0" applyFont="1" applyFill="1" applyBorder="1" applyAlignment="1">
      <alignment horizontal="left" vertical="center" wrapText="1"/>
    </xf>
    <xf numFmtId="0" fontId="19" fillId="9" borderId="12" xfId="0" applyFont="1" applyFill="1" applyBorder="1" applyAlignment="1">
      <alignment horizontal="left" vertical="center" wrapText="1"/>
    </xf>
    <xf numFmtId="0" fontId="19" fillId="9" borderId="13" xfId="0" applyFont="1" applyFill="1" applyBorder="1" applyAlignment="1">
      <alignment horizontal="left" vertical="center" wrapText="1"/>
    </xf>
    <xf numFmtId="0" fontId="19" fillId="9" borderId="14" xfId="0" applyFont="1" applyFill="1" applyBorder="1" applyAlignment="1">
      <alignment horizontal="left" vertical="center" wrapText="1"/>
    </xf>
    <xf numFmtId="0" fontId="80" fillId="10" borderId="12" xfId="0" applyFont="1" applyFill="1" applyBorder="1" applyAlignment="1">
      <alignment horizontal="left" vertical="center" wrapText="1"/>
    </xf>
    <xf numFmtId="0" fontId="80" fillId="10" borderId="13" xfId="0" applyFont="1" applyFill="1" applyBorder="1" applyAlignment="1">
      <alignment horizontal="left" vertical="center" wrapText="1"/>
    </xf>
    <xf numFmtId="0" fontId="80" fillId="10" borderId="14" xfId="0" applyFont="1" applyFill="1" applyBorder="1" applyAlignment="1">
      <alignment horizontal="left" vertical="center" wrapText="1"/>
    </xf>
    <xf numFmtId="0" fontId="80" fillId="10" borderId="12" xfId="0" applyFont="1" applyFill="1" applyBorder="1" applyAlignment="1">
      <alignment horizontal="left" vertical="center"/>
    </xf>
    <xf numFmtId="0" fontId="80" fillId="10" borderId="13" xfId="0" applyFont="1" applyFill="1" applyBorder="1" applyAlignment="1">
      <alignment horizontal="left" vertical="center"/>
    </xf>
    <xf numFmtId="0" fontId="80" fillId="10" borderId="14" xfId="0" applyFont="1" applyFill="1" applyBorder="1" applyAlignment="1">
      <alignment horizontal="left" vertical="center"/>
    </xf>
    <xf numFmtId="0" fontId="6" fillId="10" borderId="12" xfId="0" applyFont="1" applyFill="1" applyBorder="1" applyAlignment="1">
      <alignment horizontal="left" vertical="center" wrapText="1"/>
    </xf>
    <xf numFmtId="0" fontId="6" fillId="10" borderId="13" xfId="0" applyFont="1" applyFill="1" applyBorder="1" applyAlignment="1">
      <alignment horizontal="left" vertical="center" wrapText="1"/>
    </xf>
    <xf numFmtId="0" fontId="6" fillId="10" borderId="14" xfId="0" applyFont="1" applyFill="1" applyBorder="1" applyAlignment="1">
      <alignment horizontal="left" vertical="center" wrapText="1"/>
    </xf>
    <xf numFmtId="0" fontId="13" fillId="10" borderId="15" xfId="0" applyFont="1" applyFill="1" applyBorder="1" applyAlignment="1">
      <alignment horizontal="left" vertical="center"/>
    </xf>
    <xf numFmtId="0" fontId="13" fillId="10" borderId="16" xfId="0" applyFont="1" applyFill="1" applyBorder="1" applyAlignment="1">
      <alignment horizontal="left" vertical="center"/>
    </xf>
    <xf numFmtId="0" fontId="13" fillId="10" borderId="18" xfId="0" applyFont="1" applyFill="1" applyBorder="1" applyAlignment="1">
      <alignment horizontal="left" vertical="center"/>
    </xf>
    <xf numFmtId="0" fontId="13" fillId="10" borderId="0" xfId="0" applyFont="1" applyFill="1" applyAlignment="1">
      <alignment horizontal="left" vertical="center"/>
    </xf>
    <xf numFmtId="0" fontId="31" fillId="9" borderId="8" xfId="0" applyFont="1" applyFill="1" applyBorder="1" applyAlignment="1">
      <alignment horizontal="center" vertical="center"/>
    </xf>
    <xf numFmtId="0" fontId="31" fillId="9" borderId="9" xfId="0" applyFont="1" applyFill="1" applyBorder="1" applyAlignment="1">
      <alignment horizontal="center" vertical="center"/>
    </xf>
    <xf numFmtId="0" fontId="31" fillId="9" borderId="11" xfId="0" applyFont="1" applyFill="1" applyBorder="1" applyAlignment="1">
      <alignment horizontal="center" vertical="center"/>
    </xf>
    <xf numFmtId="0" fontId="35" fillId="10" borderId="9" xfId="0" applyFont="1" applyFill="1" applyBorder="1" applyAlignment="1">
      <alignment horizontal="center" vertical="center"/>
    </xf>
    <xf numFmtId="0" fontId="35" fillId="10" borderId="10" xfId="0" applyFont="1" applyFill="1" applyBorder="1" applyAlignment="1">
      <alignment horizontal="center" vertical="center"/>
    </xf>
    <xf numFmtId="0" fontId="35" fillId="10" borderId="11" xfId="0" applyFont="1" applyFill="1" applyBorder="1" applyAlignment="1">
      <alignment horizontal="center" vertical="center"/>
    </xf>
    <xf numFmtId="0" fontId="13" fillId="10" borderId="12" xfId="0" applyFont="1" applyFill="1" applyBorder="1" applyAlignment="1">
      <alignment horizontal="center" vertical="center"/>
    </xf>
    <xf numFmtId="0" fontId="13" fillId="10" borderId="14" xfId="0" applyFont="1" applyFill="1" applyBorder="1" applyAlignment="1">
      <alignment horizontal="center" vertical="center"/>
    </xf>
    <xf numFmtId="0" fontId="19" fillId="9" borderId="13" xfId="0" applyFont="1" applyFill="1" applyBorder="1" applyAlignment="1">
      <alignment horizontal="center" vertical="center"/>
    </xf>
    <xf numFmtId="0" fontId="19" fillId="9" borderId="14" xfId="0" applyFont="1" applyFill="1" applyBorder="1" applyAlignment="1">
      <alignment horizontal="center" vertical="center"/>
    </xf>
    <xf numFmtId="0" fontId="19" fillId="9" borderId="9" xfId="0" applyFont="1" applyFill="1" applyBorder="1" applyAlignment="1">
      <alignment horizontal="center" vertical="center"/>
    </xf>
    <xf numFmtId="0" fontId="19" fillId="9" borderId="10" xfId="0" applyFont="1" applyFill="1" applyBorder="1" applyAlignment="1">
      <alignment horizontal="center" vertical="center"/>
    </xf>
    <xf numFmtId="0" fontId="19" fillId="9" borderId="11" xfId="0" applyFont="1" applyFill="1" applyBorder="1" applyAlignment="1">
      <alignment horizontal="center" vertical="center"/>
    </xf>
    <xf numFmtId="0" fontId="35" fillId="10" borderId="9" xfId="0" applyFont="1" applyFill="1" applyBorder="1" applyAlignment="1">
      <alignment horizontal="center" vertical="center" textRotation="90"/>
    </xf>
    <xf numFmtId="0" fontId="35" fillId="10" borderId="10" xfId="0" applyFont="1" applyFill="1" applyBorder="1" applyAlignment="1">
      <alignment horizontal="center" vertical="center" textRotation="90"/>
    </xf>
    <xf numFmtId="0" fontId="35" fillId="10" borderId="11" xfId="0" applyFont="1" applyFill="1" applyBorder="1" applyAlignment="1">
      <alignment horizontal="center" vertical="center" textRotation="90"/>
    </xf>
    <xf numFmtId="49" fontId="14" fillId="10" borderId="8" xfId="0" applyNumberFormat="1" applyFont="1" applyFill="1" applyBorder="1" applyAlignment="1">
      <alignment horizontal="left" vertical="center" wrapText="1"/>
    </xf>
    <xf numFmtId="0" fontId="103" fillId="9" borderId="12" xfId="0" applyFont="1" applyFill="1" applyBorder="1" applyAlignment="1">
      <alignment horizontal="left" vertical="center"/>
    </xf>
    <xf numFmtId="0" fontId="103" fillId="9" borderId="13" xfId="0" applyFont="1" applyFill="1" applyBorder="1" applyAlignment="1">
      <alignment horizontal="left" vertical="center"/>
    </xf>
    <xf numFmtId="0" fontId="103" fillId="9" borderId="14" xfId="0" applyFont="1" applyFill="1" applyBorder="1" applyAlignment="1">
      <alignment horizontal="left" vertical="center"/>
    </xf>
    <xf numFmtId="49" fontId="104" fillId="10" borderId="8" xfId="0" applyNumberFormat="1" applyFont="1" applyFill="1" applyBorder="1" applyAlignment="1">
      <alignment horizontal="left" vertical="center" wrapText="1"/>
    </xf>
  </cellXfs>
  <cellStyles count="8">
    <cellStyle name="Calculation" xfId="3" builtinId="22"/>
    <cellStyle name="Good" xfId="1" builtinId="26"/>
    <cellStyle name="Hyperlink" xfId="5" builtinId="8"/>
    <cellStyle name="Input" xfId="2" builtinId="20"/>
    <cellStyle name="Normal" xfId="0" builtinId="0"/>
    <cellStyle name="Normal 2" xfId="7" xr:uid="{00000000-0005-0000-0000-000005000000}"/>
    <cellStyle name="Percent" xfId="6" builtinId="5"/>
    <cellStyle name="Standard_HWB Kurzverf. Formular" xfId="4" xr:uid="{00000000-0005-0000-0000-000007000000}"/>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8"/>
        <color theme="1"/>
        <name val="Times New Roman"/>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Times New Roman"/>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8"/>
        <color theme="1"/>
        <name val="Times New Roman"/>
        <scheme val="none"/>
      </font>
      <fill>
        <patternFill patternType="solid">
          <fgColor indexed="64"/>
          <bgColor rgb="FFFFF2C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GAS Consumption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1"/>
          <c:order val="0"/>
          <c:tx>
            <c:strRef>
              <c:f>Consumption!$D$4</c:f>
              <c:strCache>
                <c:ptCount val="1"/>
                <c:pt idx="0">
                  <c:v>Anul 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Consumption!$C$7:$C$18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Consumption!$D$7:$D$18</c:f>
              <c:numCache>
                <c:formatCode>0</c:formatCode>
                <c:ptCount val="12"/>
                <c:pt idx="0">
                  <c:v>7274</c:v>
                </c:pt>
                <c:pt idx="1">
                  <c:v>5399</c:v>
                </c:pt>
                <c:pt idx="2">
                  <c:v>1710</c:v>
                </c:pt>
                <c:pt idx="3">
                  <c:v>645</c:v>
                </c:pt>
                <c:pt idx="4">
                  <c:v>564</c:v>
                </c:pt>
                <c:pt idx="5">
                  <c:v>609</c:v>
                </c:pt>
                <c:pt idx="6">
                  <c:v>614</c:v>
                </c:pt>
                <c:pt idx="7">
                  <c:v>571</c:v>
                </c:pt>
                <c:pt idx="8">
                  <c:v>205</c:v>
                </c:pt>
                <c:pt idx="9">
                  <c:v>1138</c:v>
                </c:pt>
                <c:pt idx="10">
                  <c:v>3196</c:v>
                </c:pt>
                <c:pt idx="11">
                  <c:v>4965</c:v>
                </c:pt>
              </c:numCache>
            </c:numRef>
          </c:val>
          <c:extLst>
            <c:ext xmlns:c16="http://schemas.microsoft.com/office/drawing/2014/chart" uri="{C3380CC4-5D6E-409C-BE32-E72D297353CC}">
              <c16:uniqueId val="{00000000-6DBC-4502-B5BD-279D00192EFD}"/>
            </c:ext>
          </c:extLst>
        </c:ser>
        <c:ser>
          <c:idx val="0"/>
          <c:order val="1"/>
          <c:tx>
            <c:strRef>
              <c:f>Consumption!$G$4</c:f>
              <c:strCache>
                <c:ptCount val="1"/>
                <c:pt idx="0">
                  <c:v>Anul 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Consumption!$C$7:$C$18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Consumption!$G$7:$G$18</c:f>
              <c:numCache>
                <c:formatCode>0</c:formatCode>
                <c:ptCount val="12"/>
                <c:pt idx="0">
                  <c:v>5691</c:v>
                </c:pt>
                <c:pt idx="1">
                  <c:v>5304</c:v>
                </c:pt>
                <c:pt idx="2">
                  <c:v>3218</c:v>
                </c:pt>
                <c:pt idx="3">
                  <c:v>514</c:v>
                </c:pt>
                <c:pt idx="4">
                  <c:v>557</c:v>
                </c:pt>
                <c:pt idx="5">
                  <c:v>519</c:v>
                </c:pt>
                <c:pt idx="6">
                  <c:v>526</c:v>
                </c:pt>
                <c:pt idx="7">
                  <c:v>106</c:v>
                </c:pt>
                <c:pt idx="8">
                  <c:v>95</c:v>
                </c:pt>
                <c:pt idx="9">
                  <c:v>1062</c:v>
                </c:pt>
                <c:pt idx="10">
                  <c:v>1609</c:v>
                </c:pt>
                <c:pt idx="11">
                  <c:v>5476</c:v>
                </c:pt>
              </c:numCache>
            </c:numRef>
          </c:val>
          <c:extLst>
            <c:ext xmlns:c16="http://schemas.microsoft.com/office/drawing/2014/chart" uri="{C3380CC4-5D6E-409C-BE32-E72D297353CC}">
              <c16:uniqueId val="{00000001-6DBC-4502-B5BD-279D00192EFD}"/>
            </c:ext>
          </c:extLst>
        </c:ser>
        <c:ser>
          <c:idx val="2"/>
          <c:order val="2"/>
          <c:tx>
            <c:strRef>
              <c:f>Consumption!$J$4</c:f>
              <c:strCache>
                <c:ptCount val="1"/>
                <c:pt idx="0">
                  <c:v>Anul 2025</c:v>
                </c:pt>
              </c:strCache>
            </c:strRef>
          </c:tx>
          <c:spPr>
            <a:solidFill>
              <a:schemeClr val="accent6"/>
            </a:solidFill>
            <a:ln>
              <a:noFill/>
            </a:ln>
            <a:effectLst/>
          </c:spPr>
          <c:invertIfNegative val="0"/>
          <c:cat>
            <c:strRef>
              <c:f>Consumption!$C$7:$C$18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Consumption!$J$7:$J$18</c:f>
              <c:numCache>
                <c:formatCode>0</c:formatCode>
                <c:ptCount val="12"/>
                <c:pt idx="0">
                  <c:v>6976</c:v>
                </c:pt>
                <c:pt idx="1">
                  <c:v>5774</c:v>
                </c:pt>
                <c:pt idx="2">
                  <c:v>2989</c:v>
                </c:pt>
                <c:pt idx="3">
                  <c:v>79</c:v>
                </c:pt>
                <c:pt idx="4">
                  <c:v>66</c:v>
                </c:pt>
                <c:pt idx="5">
                  <c:v>54</c:v>
                </c:pt>
                <c:pt idx="6">
                  <c:v>47</c:v>
                </c:pt>
                <c:pt idx="7">
                  <c:v>1054</c:v>
                </c:pt>
                <c:pt idx="8">
                  <c:v>62</c:v>
                </c:pt>
                <c:pt idx="9">
                  <c:v>65</c:v>
                </c:pt>
                <c:pt idx="10">
                  <c:v>2933</c:v>
                </c:pt>
                <c:pt idx="11">
                  <c:v>4239</c:v>
                </c:pt>
              </c:numCache>
            </c:numRef>
          </c:val>
          <c:extLst>
            <c:ext xmlns:c16="http://schemas.microsoft.com/office/drawing/2014/chart" uri="{C3380CC4-5D6E-409C-BE32-E72D297353CC}">
              <c16:uniqueId val="{00000002-6DBC-4502-B5BD-279D00192EFD}"/>
            </c:ext>
          </c:extLst>
        </c:ser>
        <c:dLbls>
          <c:showLegendKey val="0"/>
          <c:showVal val="0"/>
          <c:showCatName val="0"/>
          <c:showSerName val="0"/>
          <c:showPercent val="0"/>
          <c:showBubbleSize val="0"/>
        </c:dLbls>
        <c:gapWidth val="100"/>
        <c:overlap val="-24"/>
        <c:axId val="1379768543"/>
        <c:axId val="1379779775"/>
      </c:barChart>
      <c:catAx>
        <c:axId val="13797685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9779775"/>
        <c:crosses val="autoZero"/>
        <c:auto val="1"/>
        <c:lblAlgn val="ctr"/>
        <c:lblOffset val="100"/>
        <c:noMultiLvlLbl val="0"/>
      </c:catAx>
      <c:valAx>
        <c:axId val="137977977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Gcal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9768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Electrical Energy Consumption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1"/>
          <c:order val="0"/>
          <c:tx>
            <c:strRef>
              <c:f>Consumption!$D$22</c:f>
              <c:strCache>
                <c:ptCount val="1"/>
                <c:pt idx="0">
                  <c:v>Anul 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Consumption!$C$25:$C$36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Consumption!$D$25:$D$36</c:f>
              <c:numCache>
                <c:formatCode>0</c:formatCode>
                <c:ptCount val="12"/>
                <c:pt idx="0">
                  <c:v>4211</c:v>
                </c:pt>
                <c:pt idx="1">
                  <c:v>4389</c:v>
                </c:pt>
                <c:pt idx="2">
                  <c:v>3633</c:v>
                </c:pt>
                <c:pt idx="3">
                  <c:v>6111</c:v>
                </c:pt>
                <c:pt idx="4">
                  <c:v>4095</c:v>
                </c:pt>
                <c:pt idx="5">
                  <c:v>2604</c:v>
                </c:pt>
                <c:pt idx="6">
                  <c:v>2900</c:v>
                </c:pt>
                <c:pt idx="7">
                  <c:v>2770</c:v>
                </c:pt>
                <c:pt idx="8">
                  <c:v>3780</c:v>
                </c:pt>
                <c:pt idx="9">
                  <c:v>3507</c:v>
                </c:pt>
                <c:pt idx="10">
                  <c:v>5607</c:v>
                </c:pt>
                <c:pt idx="11">
                  <c:v>5586</c:v>
                </c:pt>
              </c:numCache>
            </c:numRef>
          </c:val>
          <c:extLst>
            <c:ext xmlns:c16="http://schemas.microsoft.com/office/drawing/2014/chart" uri="{C3380CC4-5D6E-409C-BE32-E72D297353CC}">
              <c16:uniqueId val="{00000000-0B43-46EF-89C2-D5422E44EDC2}"/>
            </c:ext>
          </c:extLst>
        </c:ser>
        <c:ser>
          <c:idx val="0"/>
          <c:order val="1"/>
          <c:tx>
            <c:strRef>
              <c:f>Consumption!$G$22</c:f>
              <c:strCache>
                <c:ptCount val="1"/>
                <c:pt idx="0">
                  <c:v>Anul 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Consumption!$C$25:$C$36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Consumption!$G$25:$G$36</c:f>
              <c:numCache>
                <c:formatCode>0</c:formatCode>
                <c:ptCount val="12"/>
                <c:pt idx="0">
                  <c:v>7119</c:v>
                </c:pt>
                <c:pt idx="1">
                  <c:v>6447</c:v>
                </c:pt>
                <c:pt idx="2">
                  <c:v>5439</c:v>
                </c:pt>
                <c:pt idx="3">
                  <c:v>4641</c:v>
                </c:pt>
                <c:pt idx="4">
                  <c:v>4630</c:v>
                </c:pt>
                <c:pt idx="5">
                  <c:v>3620</c:v>
                </c:pt>
                <c:pt idx="6">
                  <c:v>3499</c:v>
                </c:pt>
                <c:pt idx="7">
                  <c:v>4157</c:v>
                </c:pt>
                <c:pt idx="8">
                  <c:v>4296</c:v>
                </c:pt>
                <c:pt idx="9">
                  <c:v>5124</c:v>
                </c:pt>
                <c:pt idx="10">
                  <c:v>5565</c:v>
                </c:pt>
                <c:pt idx="11">
                  <c:v>6111</c:v>
                </c:pt>
              </c:numCache>
            </c:numRef>
          </c:val>
          <c:extLst>
            <c:ext xmlns:c16="http://schemas.microsoft.com/office/drawing/2014/chart" uri="{C3380CC4-5D6E-409C-BE32-E72D297353CC}">
              <c16:uniqueId val="{00000001-0B43-46EF-89C2-D5422E44EDC2}"/>
            </c:ext>
          </c:extLst>
        </c:ser>
        <c:ser>
          <c:idx val="2"/>
          <c:order val="2"/>
          <c:tx>
            <c:strRef>
              <c:f>Consumption!$J$22</c:f>
              <c:strCache>
                <c:ptCount val="1"/>
                <c:pt idx="0">
                  <c:v>Anul 2025</c:v>
                </c:pt>
              </c:strCache>
            </c:strRef>
          </c:tx>
          <c:spPr>
            <a:solidFill>
              <a:schemeClr val="accent6"/>
            </a:solidFill>
            <a:ln>
              <a:noFill/>
            </a:ln>
            <a:effectLst/>
          </c:spPr>
          <c:invertIfNegative val="0"/>
          <c:cat>
            <c:strRef>
              <c:f>Consumption!$C$25:$C$36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Consumption!$J$25:$J$36</c:f>
              <c:numCache>
                <c:formatCode>0</c:formatCode>
                <c:ptCount val="12"/>
                <c:pt idx="0">
                  <c:v>6699</c:v>
                </c:pt>
                <c:pt idx="1">
                  <c:v>5964</c:v>
                </c:pt>
                <c:pt idx="2">
                  <c:v>4893</c:v>
                </c:pt>
                <c:pt idx="3">
                  <c:v>4473</c:v>
                </c:pt>
                <c:pt idx="4">
                  <c:v>4059</c:v>
                </c:pt>
                <c:pt idx="5">
                  <c:v>4000</c:v>
                </c:pt>
                <c:pt idx="6">
                  <c:v>4138</c:v>
                </c:pt>
                <c:pt idx="7">
                  <c:v>3964</c:v>
                </c:pt>
                <c:pt idx="8">
                  <c:v>3663</c:v>
                </c:pt>
                <c:pt idx="9">
                  <c:v>4486</c:v>
                </c:pt>
                <c:pt idx="10">
                  <c:v>5751</c:v>
                </c:pt>
                <c:pt idx="11">
                  <c:v>6204</c:v>
                </c:pt>
              </c:numCache>
            </c:numRef>
          </c:val>
          <c:extLst>
            <c:ext xmlns:c16="http://schemas.microsoft.com/office/drawing/2014/chart" uri="{C3380CC4-5D6E-409C-BE32-E72D297353CC}">
              <c16:uniqueId val="{00000002-0B43-46EF-89C2-D5422E44EDC2}"/>
            </c:ext>
          </c:extLst>
        </c:ser>
        <c:dLbls>
          <c:showLegendKey val="0"/>
          <c:showVal val="0"/>
          <c:showCatName val="0"/>
          <c:showSerName val="0"/>
          <c:showPercent val="0"/>
          <c:showBubbleSize val="0"/>
        </c:dLbls>
        <c:gapWidth val="100"/>
        <c:overlap val="-24"/>
        <c:axId val="1379768543"/>
        <c:axId val="1379779775"/>
      </c:barChart>
      <c:catAx>
        <c:axId val="13797685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9779775"/>
        <c:crosses val="autoZero"/>
        <c:auto val="1"/>
        <c:lblAlgn val="ctr"/>
        <c:lblOffset val="100"/>
        <c:noMultiLvlLbl val="0"/>
      </c:catAx>
      <c:valAx>
        <c:axId val="137977977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9768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Energy</a:t>
            </a:r>
            <a:r>
              <a:rPr lang="en-US" baseline="0"/>
              <a:t> Consumed for DHW</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1"/>
          <c:order val="0"/>
          <c:tx>
            <c:strRef>
              <c:f>Consumption!$D$40</c:f>
              <c:strCache>
                <c:ptCount val="1"/>
                <c:pt idx="0">
                  <c:v>Anul 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Consumption!$C$43:$C$54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Consumption!$D$43:$D$54</c:f>
              <c:numCache>
                <c:formatCode>0</c:formatCode>
                <c:ptCount val="12"/>
              </c:numCache>
            </c:numRef>
          </c:val>
          <c:extLst>
            <c:ext xmlns:c16="http://schemas.microsoft.com/office/drawing/2014/chart" uri="{C3380CC4-5D6E-409C-BE32-E72D297353CC}">
              <c16:uniqueId val="{00000000-9DC3-4CF8-B645-362CE2A48039}"/>
            </c:ext>
          </c:extLst>
        </c:ser>
        <c:ser>
          <c:idx val="0"/>
          <c:order val="1"/>
          <c:tx>
            <c:strRef>
              <c:f>Consumption!$G$40</c:f>
              <c:strCache>
                <c:ptCount val="1"/>
                <c:pt idx="0">
                  <c:v>Anul 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Consumption!$C$43:$C$54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Consumption!$G$43:$G$54</c:f>
              <c:numCache>
                <c:formatCode>0</c:formatCode>
                <c:ptCount val="12"/>
              </c:numCache>
            </c:numRef>
          </c:val>
          <c:extLst>
            <c:ext xmlns:c16="http://schemas.microsoft.com/office/drawing/2014/chart" uri="{C3380CC4-5D6E-409C-BE32-E72D297353CC}">
              <c16:uniqueId val="{00000001-9DC3-4CF8-B645-362CE2A48039}"/>
            </c:ext>
          </c:extLst>
        </c:ser>
        <c:ser>
          <c:idx val="2"/>
          <c:order val="2"/>
          <c:tx>
            <c:strRef>
              <c:f>Consumption!$J$40</c:f>
              <c:strCache>
                <c:ptCount val="1"/>
                <c:pt idx="0">
                  <c:v>Anul 2025</c:v>
                </c:pt>
              </c:strCache>
            </c:strRef>
          </c:tx>
          <c:spPr>
            <a:solidFill>
              <a:schemeClr val="accent6"/>
            </a:solidFill>
            <a:ln>
              <a:noFill/>
            </a:ln>
            <a:effectLst/>
          </c:spPr>
          <c:invertIfNegative val="0"/>
          <c:cat>
            <c:strRef>
              <c:f>Consumption!$C$43:$C$54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Consumption!$J$43:$J$54</c:f>
              <c:numCache>
                <c:formatCode>0</c:formatCode>
                <c:ptCount val="12"/>
              </c:numCache>
            </c:numRef>
          </c:val>
          <c:extLst>
            <c:ext xmlns:c16="http://schemas.microsoft.com/office/drawing/2014/chart" uri="{C3380CC4-5D6E-409C-BE32-E72D297353CC}">
              <c16:uniqueId val="{00000002-9DC3-4CF8-B645-362CE2A48039}"/>
            </c:ext>
          </c:extLst>
        </c:ser>
        <c:dLbls>
          <c:showLegendKey val="0"/>
          <c:showVal val="0"/>
          <c:showCatName val="0"/>
          <c:showSerName val="0"/>
          <c:showPercent val="0"/>
          <c:showBubbleSize val="0"/>
        </c:dLbls>
        <c:gapWidth val="100"/>
        <c:overlap val="-24"/>
        <c:axId val="1379768543"/>
        <c:axId val="1379779775"/>
      </c:barChart>
      <c:catAx>
        <c:axId val="13797685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9779775"/>
        <c:crosses val="autoZero"/>
        <c:auto val="1"/>
        <c:lblAlgn val="ctr"/>
        <c:lblOffset val="100"/>
        <c:noMultiLvlLbl val="0"/>
      </c:catAx>
      <c:valAx>
        <c:axId val="137977977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Gcal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9768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Thermal energy needs before &amp; after renovation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'Breakdown Baseline &amp; Balance'!$D$2:$F$2</c:f>
              <c:strCache>
                <c:ptCount val="1"/>
                <c:pt idx="0">
                  <c:v>Before renovation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'Breakdown Baseline &amp; Balance'!$C$4:$C$14</c:f>
              <c:strCache>
                <c:ptCount val="11"/>
                <c:pt idx="0">
                  <c:v>Walls</c:v>
                </c:pt>
                <c:pt idx="1">
                  <c:v>Roof</c:v>
                </c:pt>
                <c:pt idx="2">
                  <c:v>Floor</c:v>
                </c:pt>
                <c:pt idx="3">
                  <c:v>Windows and Doors</c:v>
                </c:pt>
                <c:pt idx="4">
                  <c:v>Ventilation</c:v>
                </c:pt>
                <c:pt idx="5">
                  <c:v>DHW needs and distribution</c:v>
                </c:pt>
                <c:pt idx="6">
                  <c:v>Heat Distribution</c:v>
                </c:pt>
                <c:pt idx="7">
                  <c:v>Generation Heating +DHW</c:v>
                </c:pt>
                <c:pt idx="8">
                  <c:v>Gains heating season</c:v>
                </c:pt>
                <c:pt idx="9">
                  <c:v>Solar DHW</c:v>
                </c:pt>
                <c:pt idx="10">
                  <c:v>EMS</c:v>
                </c:pt>
              </c:strCache>
            </c:strRef>
          </c:cat>
          <c:val>
            <c:numRef>
              <c:f>'Breakdown Baseline &amp; Balance'!$D$4:$D$14</c:f>
              <c:numCache>
                <c:formatCode>0</c:formatCode>
                <c:ptCount val="11"/>
                <c:pt idx="0">
                  <c:v>95776.559094885961</c:v>
                </c:pt>
                <c:pt idx="1">
                  <c:v>123019.042303176</c:v>
                </c:pt>
                <c:pt idx="2">
                  <c:v>14809.505287799559</c:v>
                </c:pt>
                <c:pt idx="3">
                  <c:v>26215.378779800005</c:v>
                </c:pt>
                <c:pt idx="4">
                  <c:v>141332.45127883821</c:v>
                </c:pt>
                <c:pt idx="5">
                  <c:v>0</c:v>
                </c:pt>
                <c:pt idx="6">
                  <c:v>36772.800000000003</c:v>
                </c:pt>
                <c:pt idx="7">
                  <c:v>183928.80943268989</c:v>
                </c:pt>
                <c:pt idx="8">
                  <c:v>-59041.820879999999</c:v>
                </c:pt>
              </c:numCache>
            </c:numRef>
          </c:val>
          <c:extLst>
            <c:ext xmlns:c16="http://schemas.microsoft.com/office/drawing/2014/chart" uri="{C3380CC4-5D6E-409C-BE32-E72D297353CC}">
              <c16:uniqueId val="{00000000-9CC4-4006-A10D-F89F6979B1ED}"/>
            </c:ext>
          </c:extLst>
        </c:ser>
        <c:ser>
          <c:idx val="1"/>
          <c:order val="1"/>
          <c:tx>
            <c:strRef>
              <c:f>'Breakdown Baseline &amp; Balance'!$G$2:$I$2</c:f>
              <c:strCache>
                <c:ptCount val="1"/>
                <c:pt idx="0">
                  <c:v>After renovation</c:v>
                </c:pt>
              </c:strCache>
            </c:strRef>
          </c:tx>
          <c:spPr>
            <a:solidFill>
              <a:srgbClr val="92D050"/>
            </a:solidFill>
            <a:ln>
              <a:solidFill>
                <a:srgbClr val="92D050"/>
              </a:solidFill>
            </a:ln>
            <a:effectLst/>
          </c:spPr>
          <c:invertIfNegative val="0"/>
          <c:cat>
            <c:strRef>
              <c:f>'Breakdown Baseline &amp; Balance'!$C$4:$C$14</c:f>
              <c:strCache>
                <c:ptCount val="11"/>
                <c:pt idx="0">
                  <c:v>Walls</c:v>
                </c:pt>
                <c:pt idx="1">
                  <c:v>Roof</c:v>
                </c:pt>
                <c:pt idx="2">
                  <c:v>Floor</c:v>
                </c:pt>
                <c:pt idx="3">
                  <c:v>Windows and Doors</c:v>
                </c:pt>
                <c:pt idx="4">
                  <c:v>Ventilation</c:v>
                </c:pt>
                <c:pt idx="5">
                  <c:v>DHW needs and distribution</c:v>
                </c:pt>
                <c:pt idx="6">
                  <c:v>Heat Distribution</c:v>
                </c:pt>
                <c:pt idx="7">
                  <c:v>Generation Heating +DHW</c:v>
                </c:pt>
                <c:pt idx="8">
                  <c:v>Gains heating season</c:v>
                </c:pt>
                <c:pt idx="9">
                  <c:v>Solar DHW</c:v>
                </c:pt>
                <c:pt idx="10">
                  <c:v>EMS</c:v>
                </c:pt>
              </c:strCache>
            </c:strRef>
          </c:cat>
          <c:val>
            <c:numRef>
              <c:f>'Breakdown Baseline &amp; Balance'!$G$4:$G$14</c:f>
              <c:numCache>
                <c:formatCode>0</c:formatCode>
                <c:ptCount val="11"/>
                <c:pt idx="0">
                  <c:v>20512.709716444806</c:v>
                </c:pt>
                <c:pt idx="1">
                  <c:v>18573.721488132695</c:v>
                </c:pt>
                <c:pt idx="2">
                  <c:v>14809.505287799559</c:v>
                </c:pt>
                <c:pt idx="3">
                  <c:v>13398.923664</c:v>
                </c:pt>
                <c:pt idx="4">
                  <c:v>68770.080182039441</c:v>
                </c:pt>
                <c:pt idx="5">
                  <c:v>4094.6031750000002</c:v>
                </c:pt>
                <c:pt idx="6">
                  <c:v>8606.4</c:v>
                </c:pt>
                <c:pt idx="7">
                  <c:v>4081.9482101524982</c:v>
                </c:pt>
                <c:pt idx="8">
                  <c:v>-59041.820879999999</c:v>
                </c:pt>
                <c:pt idx="9">
                  <c:v>-7927.7999999999993</c:v>
                </c:pt>
                <c:pt idx="10">
                  <c:v>-4470.3444164570701</c:v>
                </c:pt>
              </c:numCache>
            </c:numRef>
          </c:val>
          <c:extLst>
            <c:ext xmlns:c16="http://schemas.microsoft.com/office/drawing/2014/chart" uri="{C3380CC4-5D6E-409C-BE32-E72D297353CC}">
              <c16:uniqueId val="{00000001-9CC4-4006-A10D-F89F6979B1ED}"/>
            </c:ext>
          </c:extLst>
        </c:ser>
        <c:dLbls>
          <c:showLegendKey val="0"/>
          <c:showVal val="0"/>
          <c:showCatName val="0"/>
          <c:showSerName val="0"/>
          <c:showPercent val="0"/>
          <c:showBubbleSize val="0"/>
        </c:dLbls>
        <c:gapWidth val="100"/>
        <c:overlap val="-24"/>
        <c:axId val="604562976"/>
        <c:axId val="604569632"/>
      </c:barChart>
      <c:catAx>
        <c:axId val="6045629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569632"/>
        <c:crosses val="autoZero"/>
        <c:auto val="1"/>
        <c:lblAlgn val="ctr"/>
        <c:lblOffset val="100"/>
        <c:noMultiLvlLbl val="0"/>
      </c:catAx>
      <c:valAx>
        <c:axId val="60456963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56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Electrical energy needs before &amp; after renovation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'Breakdown Baseline &amp; Balance'!$D$2:$F$2</c:f>
              <c:strCache>
                <c:ptCount val="1"/>
                <c:pt idx="0">
                  <c:v>Before renovation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extLst>
                <c:ext xmlns:c15="http://schemas.microsoft.com/office/drawing/2012/chart" uri="{02D57815-91ED-43cb-92C2-25804820EDAC}">
                  <c15:fullRef>
                    <c15:sqref>'Breakdown Baseline &amp; Balance'!$C$16:$C$24</c15:sqref>
                  </c15:fullRef>
                </c:ext>
              </c:extLst>
              <c:f>('Breakdown Baseline &amp; Balance'!$C$16:$C$17,'Breakdown Baseline &amp; Balance'!$C$19,'Breakdown Baseline &amp; Balance'!$C$21,'Breakdown Baseline &amp; Balance'!$C$23:$C$24)</c:f>
              <c:strCache>
                <c:ptCount val="6"/>
                <c:pt idx="0">
                  <c:v>Lighting</c:v>
                </c:pt>
                <c:pt idx="1">
                  <c:v>Equipment</c:v>
                </c:pt>
                <c:pt idx="2">
                  <c:v>DHW</c:v>
                </c:pt>
                <c:pt idx="3">
                  <c:v>Ventilation</c:v>
                </c:pt>
                <c:pt idx="4">
                  <c:v>Gains cooling season</c:v>
                </c:pt>
                <c:pt idx="5">
                  <c:v>EMS</c:v>
                </c:pt>
              </c:strCache>
            </c:strRef>
          </c:cat>
          <c:val>
            <c:numRef>
              <c:extLst>
                <c:ext xmlns:c15="http://schemas.microsoft.com/office/drawing/2012/chart" uri="{02D57815-91ED-43cb-92C2-25804820EDAC}">
                  <c15:fullRef>
                    <c15:sqref>'Breakdown Baseline &amp; Balance'!$D$16:$D$24</c15:sqref>
                  </c15:fullRef>
                </c:ext>
              </c:extLst>
              <c:f>('Breakdown Baseline &amp; Balance'!$D$16:$D$17,'Breakdown Baseline &amp; Balance'!$D$19,'Breakdown Baseline &amp; Balance'!$D$21,'Breakdown Baseline &amp; Balance'!$D$23:$D$24)</c:f>
              <c:numCache>
                <c:formatCode>0</c:formatCode>
                <c:ptCount val="6"/>
                <c:pt idx="0">
                  <c:v>40068.075719980006</c:v>
                </c:pt>
                <c:pt idx="1">
                  <c:v>21651.579000000002</c:v>
                </c:pt>
                <c:pt idx="2">
                  <c:v>4778.4019052250005</c:v>
                </c:pt>
                <c:pt idx="3">
                  <c:v>0</c:v>
                </c:pt>
              </c:numCache>
            </c:numRef>
          </c:val>
          <c:extLst>
            <c:ext xmlns:c16="http://schemas.microsoft.com/office/drawing/2014/chart" uri="{C3380CC4-5D6E-409C-BE32-E72D297353CC}">
              <c16:uniqueId val="{00000000-4858-4212-8BB0-5F1FE9E20464}"/>
            </c:ext>
          </c:extLst>
        </c:ser>
        <c:ser>
          <c:idx val="1"/>
          <c:order val="1"/>
          <c:tx>
            <c:strRef>
              <c:f>'Breakdown Baseline &amp; Balance'!$G$2:$I$2</c:f>
              <c:strCache>
                <c:ptCount val="1"/>
                <c:pt idx="0">
                  <c:v>After renovation</c:v>
                </c:pt>
              </c:strCache>
            </c:strRef>
          </c:tx>
          <c:spPr>
            <a:solidFill>
              <a:srgbClr val="92D050"/>
            </a:solidFill>
            <a:ln>
              <a:solidFill>
                <a:srgbClr val="92D050"/>
              </a:solidFill>
            </a:ln>
            <a:effectLst/>
          </c:spPr>
          <c:invertIfNegative val="0"/>
          <c:cat>
            <c:strRef>
              <c:extLst>
                <c:ext xmlns:c15="http://schemas.microsoft.com/office/drawing/2012/chart" uri="{02D57815-91ED-43cb-92C2-25804820EDAC}">
                  <c15:fullRef>
                    <c15:sqref>'Breakdown Baseline &amp; Balance'!$C$16:$C$24</c15:sqref>
                  </c15:fullRef>
                </c:ext>
              </c:extLst>
              <c:f>('Breakdown Baseline &amp; Balance'!$C$16:$C$17,'Breakdown Baseline &amp; Balance'!$C$19,'Breakdown Baseline &amp; Balance'!$C$21,'Breakdown Baseline &amp; Balance'!$C$23:$C$24)</c:f>
              <c:strCache>
                <c:ptCount val="6"/>
                <c:pt idx="0">
                  <c:v>Lighting</c:v>
                </c:pt>
                <c:pt idx="1">
                  <c:v>Equipment</c:v>
                </c:pt>
                <c:pt idx="2">
                  <c:v>DHW</c:v>
                </c:pt>
                <c:pt idx="3">
                  <c:v>Ventilation</c:v>
                </c:pt>
                <c:pt idx="4">
                  <c:v>Gains cooling season</c:v>
                </c:pt>
                <c:pt idx="5">
                  <c:v>EMS</c:v>
                </c:pt>
              </c:strCache>
            </c:strRef>
          </c:cat>
          <c:val>
            <c:numRef>
              <c:extLst>
                <c:ext xmlns:c15="http://schemas.microsoft.com/office/drawing/2012/chart" uri="{02D57815-91ED-43cb-92C2-25804820EDAC}">
                  <c15:fullRef>
                    <c15:sqref>'Breakdown Baseline &amp; Balance'!$G$16:$G$24</c15:sqref>
                  </c15:fullRef>
                </c:ext>
              </c:extLst>
              <c:f>('Breakdown Baseline &amp; Balance'!$G$16:$G$17,'Breakdown Baseline &amp; Balance'!$G$19,'Breakdown Baseline &amp; Balance'!$G$21,'Breakdown Baseline &amp; Balance'!$G$23:$G$24)</c:f>
              <c:numCache>
                <c:formatCode>0</c:formatCode>
                <c:ptCount val="6"/>
                <c:pt idx="0">
                  <c:v>16186.889211955002</c:v>
                </c:pt>
                <c:pt idx="1">
                  <c:v>15698.183199999999</c:v>
                </c:pt>
                <c:pt idx="2">
                  <c:v>0</c:v>
                </c:pt>
                <c:pt idx="3">
                  <c:v>3424.2560000000003</c:v>
                </c:pt>
                <c:pt idx="5">
                  <c:v>-500.62543954500001</c:v>
                </c:pt>
              </c:numCache>
            </c:numRef>
          </c:val>
          <c:extLst>
            <c:ext xmlns:c16="http://schemas.microsoft.com/office/drawing/2014/chart" uri="{C3380CC4-5D6E-409C-BE32-E72D297353CC}">
              <c16:uniqueId val="{00000001-4858-4212-8BB0-5F1FE9E20464}"/>
            </c:ext>
          </c:extLst>
        </c:ser>
        <c:dLbls>
          <c:showLegendKey val="0"/>
          <c:showVal val="0"/>
          <c:showCatName val="0"/>
          <c:showSerName val="0"/>
          <c:showPercent val="0"/>
          <c:showBubbleSize val="0"/>
        </c:dLbls>
        <c:gapWidth val="100"/>
        <c:overlap val="-24"/>
        <c:axId val="604562976"/>
        <c:axId val="604569632"/>
      </c:barChart>
      <c:catAx>
        <c:axId val="6045629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569632"/>
        <c:crosses val="autoZero"/>
        <c:auto val="1"/>
        <c:lblAlgn val="ctr"/>
        <c:lblOffset val="100"/>
        <c:noMultiLvlLbl val="0"/>
      </c:catAx>
      <c:valAx>
        <c:axId val="60456963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56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Potential Electrical</a:t>
            </a:r>
            <a:r>
              <a:rPr lang="en-US" sz="1200" baseline="0"/>
              <a:t> E</a:t>
            </a:r>
            <a:r>
              <a:rPr lang="en-US" sz="1200"/>
              <a:t>nergy Savings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'Breakdown Baseline &amp; Balance'!$S$42</c:f>
              <c:strCache>
                <c:ptCount val="1"/>
                <c:pt idx="0">
                  <c:v>DATA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0DCA-40C8-83FB-F26E419ED324}"/>
              </c:ext>
            </c:extLst>
          </c:dPt>
          <c:dLbls>
            <c:delete val="1"/>
          </c:dLbls>
          <c:cat>
            <c:strLit>
              <c:ptCount val="3"/>
              <c:pt idx="0">
                <c:v>Actual energy consumption according to the bills before renovation</c:v>
              </c:pt>
              <c:pt idx="1">
                <c:v>Energy needs based on standardized conditions before renovation</c:v>
              </c:pt>
              <c:pt idx="2">
                <c:v>Energy needs based on standardized conditions after renovation</c:v>
              </c:pt>
            </c:strLit>
          </c:cat>
          <c:val>
            <c:numRef>
              <c:f>'Breakdown Baseline &amp; Balance'!$S$43:$S$45</c:f>
              <c:numCache>
                <c:formatCode>0</c:formatCode>
                <c:ptCount val="3"/>
                <c:pt idx="0">
                  <c:v>56045</c:v>
                </c:pt>
                <c:pt idx="1">
                  <c:v>66498.056625205005</c:v>
                </c:pt>
                <c:pt idx="2">
                  <c:v>19201.282972410001</c:v>
                </c:pt>
              </c:numCache>
            </c:numRef>
          </c:val>
          <c:extLst>
            <c:ext xmlns:c16="http://schemas.microsoft.com/office/drawing/2014/chart" uri="{C3380CC4-5D6E-409C-BE32-E72D297353CC}">
              <c16:uniqueId val="{00000002-AB67-430F-8A33-87C77A6AE9D7}"/>
            </c:ext>
          </c:extLst>
        </c:ser>
        <c:ser>
          <c:idx val="1"/>
          <c:order val="1"/>
          <c:tx>
            <c:strRef>
              <c:f>'Breakdown Baseline &amp; Balance'!$T$42</c:f>
              <c:strCache>
                <c:ptCount val="1"/>
                <c:pt idx="0">
                  <c:v>Invisible</c:v>
                </c:pt>
              </c:strCache>
            </c:strRef>
          </c:tx>
          <c:spPr>
            <a:noFill/>
            <a:ln>
              <a:noFill/>
            </a:ln>
            <a:effectLst/>
          </c:spPr>
          <c:invertIfNegative val="0"/>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B67-430F-8A33-87C77A6AE9D7}"/>
                </c:ext>
              </c:extLst>
            </c:dLbl>
            <c:dLbl>
              <c:idx val="1"/>
              <c:layout>
                <c:manualLayout>
                  <c:x val="4.9056749935357899E-2"/>
                  <c:y val="-1.8996561033602498E-2"/>
                </c:manualLayout>
              </c:layout>
              <c:tx>
                <c:rich>
                  <a:bodyPr/>
                  <a:lstStyle/>
                  <a:p>
                    <a:fld id="{8BF19E9C-431E-491A-9E0B-FF976A1F7D25}" type="CELLRANGE">
                      <a:rPr lang="en-US" b="1"/>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B67-430F-8A33-87C77A6AE9D7}"/>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B67-430F-8A33-87C77A6AE9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minus"/>
            <c:errValType val="cust"/>
            <c:noEndCap val="1"/>
            <c:plus>
              <c:numRef>
                <c:f>'Breakdown Baseline &amp; Balance'!$U$43</c:f>
                <c:numCache>
                  <c:formatCode>General</c:formatCode>
                  <c:ptCount val="1"/>
                </c:numCache>
              </c:numRef>
            </c:plus>
            <c:minus>
              <c:numRef>
                <c:f>'Breakdown Baseline &amp; Balance'!$U$44</c:f>
                <c:numCache>
                  <c:formatCode>General</c:formatCode>
                  <c:ptCount val="1"/>
                  <c:pt idx="0">
                    <c:v>36843.717027589999</c:v>
                  </c:pt>
                </c:numCache>
              </c:numRef>
            </c:minus>
            <c:spPr>
              <a:noFill/>
              <a:ln w="19050">
                <a:solidFill>
                  <a:schemeClr val="accent6">
                    <a:lumMod val="60000"/>
                    <a:lumOff val="40000"/>
                  </a:schemeClr>
                </a:solidFill>
                <a:round/>
                <a:tailEnd type="triangle" w="med" len="lg"/>
              </a:ln>
              <a:effectLst/>
            </c:spPr>
          </c:errBars>
          <c:cat>
            <c:strLit>
              <c:ptCount val="3"/>
              <c:pt idx="0">
                <c:v>Actual energy consumption according to the bills before renovation</c:v>
              </c:pt>
              <c:pt idx="1">
                <c:v>Energy needs based on standardized conditions before renovation</c:v>
              </c:pt>
              <c:pt idx="2">
                <c:v>Energy needs based on standardized conditions after renovation</c:v>
              </c:pt>
            </c:strLit>
          </c:cat>
          <c:val>
            <c:numRef>
              <c:f>'Breakdown Baseline &amp; Balance'!$T$43:$T$45</c:f>
              <c:numCache>
                <c:formatCode>0</c:formatCode>
                <c:ptCount val="3"/>
                <c:pt idx="1">
                  <c:v>56045</c:v>
                </c:pt>
              </c:numCache>
            </c:numRef>
          </c:val>
          <c:extLst>
            <c:ext xmlns:c15="http://schemas.microsoft.com/office/drawing/2012/chart" uri="{02D57815-91ED-43cb-92C2-25804820EDAC}">
              <c15:datalabelsRange>
                <c15:f>'Breakdown Baseline &amp; Balance'!$U$44:$V$44</c15:f>
                <c15:dlblRangeCache>
                  <c:ptCount val="2"/>
                  <c:pt idx="0">
                    <c:v>36844</c:v>
                  </c:pt>
                  <c:pt idx="1">
                    <c:v>66%</c:v>
                  </c:pt>
                </c15:dlblRangeCache>
              </c15:datalabelsRange>
            </c:ext>
            <c:ext xmlns:c16="http://schemas.microsoft.com/office/drawing/2014/chart" uri="{C3380CC4-5D6E-409C-BE32-E72D297353CC}">
              <c16:uniqueId val="{00000006-AB67-430F-8A33-87C77A6AE9D7}"/>
            </c:ext>
          </c:extLst>
        </c:ser>
        <c:dLbls>
          <c:showLegendKey val="0"/>
          <c:showVal val="1"/>
          <c:showCatName val="0"/>
          <c:showSerName val="0"/>
          <c:showPercent val="0"/>
          <c:showBubbleSize val="0"/>
        </c:dLbls>
        <c:gapWidth val="73"/>
        <c:overlap val="-50"/>
        <c:axId val="1803425151"/>
        <c:axId val="1803426399"/>
      </c:barChart>
      <c:catAx>
        <c:axId val="1803425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3426399"/>
        <c:crosses val="autoZero"/>
        <c:auto val="1"/>
        <c:lblAlgn val="ctr"/>
        <c:lblOffset val="100"/>
        <c:noMultiLvlLbl val="0"/>
      </c:catAx>
      <c:valAx>
        <c:axId val="180342639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3425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Potential Thermal</a:t>
            </a:r>
            <a:r>
              <a:rPr lang="en-US" sz="1200" baseline="0"/>
              <a:t> E</a:t>
            </a:r>
            <a:r>
              <a:rPr lang="en-US" sz="1200"/>
              <a:t>nergy Savings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'Breakdown Baseline &amp; Balance'!$S$36</c:f>
              <c:strCache>
                <c:ptCount val="1"/>
                <c:pt idx="0">
                  <c:v>DATA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6F57-4512-A8CB-00E48A0B57F4}"/>
              </c:ext>
            </c:extLst>
          </c:dPt>
          <c:dLbls>
            <c:delete val="1"/>
          </c:dLbls>
          <c:cat>
            <c:strRef>
              <c:extLst>
                <c:ext xmlns:c15="http://schemas.microsoft.com/office/drawing/2012/chart" uri="{02D57815-91ED-43cb-92C2-25804820EDAC}">
                  <c15:fullRef>
                    <c15:sqref>'Breakdown Baseline &amp; Balance'!$R$37:$R$39</c15:sqref>
                  </c15:fullRef>
                </c:ext>
              </c:extLst>
              <c:f>'Breakdown Baseline &amp; Balance'!$R$37:$R$39</c:f>
              <c:strCache>
                <c:ptCount val="3"/>
                <c:pt idx="0">
                  <c:v>Actual energy consumption according to the bills before renovation</c:v>
                </c:pt>
                <c:pt idx="1">
                  <c:v>Energy needs based on standardized conditions before renovation</c:v>
                </c:pt>
                <c:pt idx="2">
                  <c:v>Energy needs based on standardized conditions after renovation</c:v>
                </c:pt>
              </c:strCache>
            </c:strRef>
          </c:cat>
          <c:val>
            <c:numRef>
              <c:extLst>
                <c:ext xmlns:c15="http://schemas.microsoft.com/office/drawing/2012/chart" uri="{02D57815-91ED-43cb-92C2-25804820EDAC}">
                  <c15:fullRef>
                    <c15:sqref>'Breakdown Baseline &amp; Balance'!$S$37:$S$39</c15:sqref>
                  </c15:fullRef>
                </c:ext>
              </c:extLst>
              <c:f>'Breakdown Baseline &amp; Balance'!$S$37:$S$39</c:f>
              <c:numCache>
                <c:formatCode>0</c:formatCode>
                <c:ptCount val="3"/>
                <c:pt idx="0">
                  <c:v>240365.83333333334</c:v>
                </c:pt>
                <c:pt idx="1">
                  <c:v>562812.72529718955</c:v>
                </c:pt>
                <c:pt idx="2">
                  <c:v>81407.926427111917</c:v>
                </c:pt>
              </c:numCache>
            </c:numRef>
          </c:val>
          <c:extLst>
            <c:ext xmlns:c16="http://schemas.microsoft.com/office/drawing/2014/chart" uri="{C3380CC4-5D6E-409C-BE32-E72D297353CC}">
              <c16:uniqueId val="{00000000-FABE-408D-8D08-30F729499404}"/>
            </c:ext>
          </c:extLst>
        </c:ser>
        <c:ser>
          <c:idx val="1"/>
          <c:order val="1"/>
          <c:tx>
            <c:strRef>
              <c:f>'Breakdown Baseline &amp; Balance'!$T$36</c:f>
              <c:strCache>
                <c:ptCount val="1"/>
                <c:pt idx="0">
                  <c:v>Invisible</c:v>
                </c:pt>
              </c:strCache>
            </c:strRef>
          </c:tx>
          <c:spPr>
            <a:noFill/>
            <a:ln>
              <a:noFill/>
            </a:ln>
            <a:effectLst/>
          </c:spPr>
          <c:invertIfNegative val="0"/>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ABE-408D-8D08-30F729499404}"/>
                </c:ext>
              </c:extLst>
            </c:dLbl>
            <c:dLbl>
              <c:idx val="1"/>
              <c:layout>
                <c:manualLayout>
                  <c:x val="4.8747584865986016E-2"/>
                  <c:y val="1.565768183188277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C785A73A-EDEB-40DD-B735-DE62AF682EB1}" type="CELLRANGE">
                      <a:rPr lang="en-US"/>
                      <a:pPr>
                        <a:defRPr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ABE-408D-8D08-30F729499404}"/>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ABE-408D-8D08-30F7294994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minus"/>
            <c:errValType val="cust"/>
            <c:noEndCap val="1"/>
            <c:plus>
              <c:numRef>
                <c:extLst>
                  <c:ext xmlns:c15="http://schemas.microsoft.com/office/drawing/2012/chart" uri="{02D57815-91ED-43cb-92C2-25804820EDAC}">
                    <c15:fullRef>
                      <c15:sqref>'Breakdown Baseline &amp; Balance'!$U$37</c15:sqref>
                    </c15:fullRef>
                  </c:ext>
                </c:extLst>
                <c:f>'Breakdown Baseline &amp; Balance'!$U$37</c:f>
                <c:numCache>
                  <c:formatCode>General</c:formatCode>
                  <c:ptCount val="1"/>
                </c:numCache>
              </c:numRef>
            </c:plus>
            <c:minus>
              <c:numRef>
                <c:extLst>
                  <c:ext xmlns:c15="http://schemas.microsoft.com/office/drawing/2012/chart" uri="{02D57815-91ED-43cb-92C2-25804820EDAC}">
                    <c15:fullRef>
                      <c15:sqref>'Breakdown Baseline &amp; Balance'!$U$38</c15:sqref>
                    </c15:fullRef>
                  </c:ext>
                </c:extLst>
                <c:f>'Breakdown Baseline &amp; Balance'!$U$38</c:f>
                <c:numCache>
                  <c:formatCode>General</c:formatCode>
                  <c:ptCount val="1"/>
                  <c:pt idx="0">
                    <c:v>158957.90690622141</c:v>
                  </c:pt>
                </c:numCache>
              </c:numRef>
            </c:minus>
            <c:spPr>
              <a:noFill/>
              <a:ln w="19050">
                <a:solidFill>
                  <a:schemeClr val="accent6">
                    <a:lumMod val="60000"/>
                    <a:lumOff val="40000"/>
                  </a:schemeClr>
                </a:solidFill>
                <a:round/>
                <a:tailEnd type="triangle" w="med" len="lg"/>
              </a:ln>
              <a:effectLst/>
            </c:spPr>
          </c:errBars>
          <c:cat>
            <c:strRef>
              <c:extLst>
                <c:ext xmlns:c15="http://schemas.microsoft.com/office/drawing/2012/chart" uri="{02D57815-91ED-43cb-92C2-25804820EDAC}">
                  <c15:fullRef>
                    <c15:sqref>'Breakdown Baseline &amp; Balance'!$R$37:$R$39</c15:sqref>
                  </c15:fullRef>
                </c:ext>
              </c:extLst>
              <c:f>'Breakdown Baseline &amp; Balance'!$R$37:$R$39</c:f>
              <c:strCache>
                <c:ptCount val="3"/>
                <c:pt idx="0">
                  <c:v>Actual energy consumption according to the bills before renovation</c:v>
                </c:pt>
                <c:pt idx="1">
                  <c:v>Energy needs based on standardized conditions before renovation</c:v>
                </c:pt>
                <c:pt idx="2">
                  <c:v>Energy needs based on standardized conditions after renovation</c:v>
                </c:pt>
              </c:strCache>
            </c:strRef>
          </c:cat>
          <c:val>
            <c:numRef>
              <c:extLst>
                <c:ext xmlns:c15="http://schemas.microsoft.com/office/drawing/2012/chart" uri="{02D57815-91ED-43cb-92C2-25804820EDAC}">
                  <c15:fullRef>
                    <c15:sqref>'Breakdown Baseline &amp; Balance'!$T$37:$T$40</c15:sqref>
                  </c15:fullRef>
                </c:ext>
              </c:extLst>
              <c:f>'Breakdown Baseline &amp; Balance'!$T$37:$T$39</c:f>
              <c:numCache>
                <c:formatCode>0</c:formatCode>
                <c:ptCount val="3"/>
                <c:pt idx="1">
                  <c:v>240365.83333333334</c:v>
                </c:pt>
              </c:numCache>
            </c:numRef>
          </c:val>
          <c:extLst>
            <c:ext xmlns:c15="http://schemas.microsoft.com/office/drawing/2012/chart" uri="{02D57815-91ED-43cb-92C2-25804820EDAC}">
              <c15:datalabelsRange>
                <c15:f>'Breakdown Baseline &amp; Balance'!$U$38:$V$38</c15:f>
                <c15:dlblRangeCache>
                  <c:ptCount val="2"/>
                  <c:pt idx="0">
                    <c:v>158958</c:v>
                  </c:pt>
                  <c:pt idx="1">
                    <c:v>66%</c:v>
                  </c:pt>
                </c15:dlblRangeCache>
              </c15:datalabelsRange>
            </c:ext>
            <c:ext xmlns:c16="http://schemas.microsoft.com/office/drawing/2014/chart" uri="{C3380CC4-5D6E-409C-BE32-E72D297353CC}">
              <c16:uniqueId val="{00000004-FABE-408D-8D08-30F729499404}"/>
            </c:ext>
          </c:extLst>
        </c:ser>
        <c:dLbls>
          <c:showLegendKey val="0"/>
          <c:showVal val="1"/>
          <c:showCatName val="0"/>
          <c:showSerName val="0"/>
          <c:showPercent val="0"/>
          <c:showBubbleSize val="0"/>
        </c:dLbls>
        <c:gapWidth val="73"/>
        <c:overlap val="-50"/>
        <c:axId val="1803425151"/>
        <c:axId val="1803426399"/>
      </c:barChart>
      <c:catAx>
        <c:axId val="1803425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3426399"/>
        <c:crosses val="autoZero"/>
        <c:auto val="1"/>
        <c:lblAlgn val="ctr"/>
        <c:lblOffset val="100"/>
        <c:noMultiLvlLbl val="0"/>
      </c:catAx>
      <c:valAx>
        <c:axId val="180342639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3425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4</xdr:col>
      <xdr:colOff>393841</xdr:colOff>
      <xdr:row>1</xdr:row>
      <xdr:rowOff>161139</xdr:rowOff>
    </xdr:from>
    <xdr:to>
      <xdr:col>16</xdr:col>
      <xdr:colOff>20852</xdr:colOff>
      <xdr:row>19</xdr:row>
      <xdr:rowOff>170249</xdr:rowOff>
    </xdr:to>
    <xdr:pic>
      <xdr:nvPicPr>
        <xdr:cNvPr id="2" name="Picture 1">
          <a:extLst>
            <a:ext uri="{FF2B5EF4-FFF2-40B4-BE49-F238E27FC236}">
              <a16:creationId xmlns:a16="http://schemas.microsoft.com/office/drawing/2014/main" id="{11C4D2F4-408E-D1D4-459C-D80E2906D5D8}"/>
            </a:ext>
          </a:extLst>
        </xdr:cNvPr>
        <xdr:cNvPicPr>
          <a:picLocks noChangeAspect="1"/>
        </xdr:cNvPicPr>
      </xdr:nvPicPr>
      <xdr:blipFill>
        <a:blip xmlns:r="http://schemas.openxmlformats.org/officeDocument/2006/relationships" r:embed="rId1"/>
        <a:stretch>
          <a:fillRect/>
        </a:stretch>
      </xdr:blipFill>
      <xdr:spPr>
        <a:xfrm>
          <a:off x="6087437" y="340937"/>
          <a:ext cx="7863460" cy="41016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156034</xdr:colOff>
      <xdr:row>76</xdr:row>
      <xdr:rowOff>640773</xdr:rowOff>
    </xdr:from>
    <xdr:to>
      <xdr:col>9</xdr:col>
      <xdr:colOff>17318</xdr:colOff>
      <xdr:row>78</xdr:row>
      <xdr:rowOff>3429</xdr:rowOff>
    </xdr:to>
    <xdr:sp macro="" textlink="">
      <xdr:nvSpPr>
        <xdr:cNvPr id="4" name="Облачко с текстом: прямоугольное 3">
          <a:extLst>
            <a:ext uri="{FF2B5EF4-FFF2-40B4-BE49-F238E27FC236}">
              <a16:creationId xmlns:a16="http://schemas.microsoft.com/office/drawing/2014/main" id="{00000000-0008-0000-0200-000004000000}"/>
            </a:ext>
          </a:extLst>
        </xdr:cNvPr>
        <xdr:cNvSpPr/>
      </xdr:nvSpPr>
      <xdr:spPr>
        <a:xfrm>
          <a:off x="3758216" y="15586364"/>
          <a:ext cx="1679693" cy="245883"/>
        </a:xfrm>
        <a:prstGeom prst="wedgeRectCallout">
          <a:avLst>
            <a:gd name="adj1" fmla="val -63442"/>
            <a:gd name="adj2" fmla="val 8343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Perimeter pavement</a:t>
          </a:r>
          <a:r>
            <a:rPr lang="en-US" sz="1100" baseline="0"/>
            <a:t> area</a:t>
          </a:r>
          <a:endParaRPr lang="ru-MD" sz="1100"/>
        </a:p>
      </xdr:txBody>
    </xdr:sp>
    <xdr:clientData/>
  </xdr:twoCellAnchor>
  <xdr:twoCellAnchor>
    <xdr:from>
      <xdr:col>6</xdr:col>
      <xdr:colOff>266700</xdr:colOff>
      <xdr:row>42</xdr:row>
      <xdr:rowOff>76200</xdr:rowOff>
    </xdr:from>
    <xdr:to>
      <xdr:col>47</xdr:col>
      <xdr:colOff>301896</xdr:colOff>
      <xdr:row>79</xdr:row>
      <xdr:rowOff>171949</xdr:rowOff>
    </xdr:to>
    <xdr:grpSp>
      <xdr:nvGrpSpPr>
        <xdr:cNvPr id="3" name="Group 2">
          <a:extLst>
            <a:ext uri="{FF2B5EF4-FFF2-40B4-BE49-F238E27FC236}">
              <a16:creationId xmlns:a16="http://schemas.microsoft.com/office/drawing/2014/main" id="{D23C0FBE-415C-44B8-8A22-7BF058CC926D}"/>
            </a:ext>
          </a:extLst>
        </xdr:cNvPr>
        <xdr:cNvGrpSpPr/>
      </xdr:nvGrpSpPr>
      <xdr:grpSpPr>
        <a:xfrm>
          <a:off x="3930356" y="10471697"/>
          <a:ext cx="28309937" cy="8487841"/>
          <a:chOff x="3846972" y="8372589"/>
          <a:chExt cx="29344866" cy="10642343"/>
        </a:xfrm>
      </xdr:grpSpPr>
      <xdr:sp macro="" textlink="">
        <xdr:nvSpPr>
          <xdr:cNvPr id="5" name="Облачко с текстом: прямоугольное 3">
            <a:extLst>
              <a:ext uri="{FF2B5EF4-FFF2-40B4-BE49-F238E27FC236}">
                <a16:creationId xmlns:a16="http://schemas.microsoft.com/office/drawing/2014/main" id="{9AEBFE6D-1088-C4BB-8CE0-CD6F33C0C80F}"/>
              </a:ext>
            </a:extLst>
          </xdr:cNvPr>
          <xdr:cNvSpPr/>
        </xdr:nvSpPr>
        <xdr:spPr>
          <a:xfrm>
            <a:off x="3846972" y="18260118"/>
            <a:ext cx="1793906" cy="245624"/>
          </a:xfrm>
          <a:prstGeom prst="wedgeRectCallout">
            <a:avLst>
              <a:gd name="adj1" fmla="val -63442"/>
              <a:gd name="adj2" fmla="val 8343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Perimeter pavement</a:t>
            </a:r>
            <a:r>
              <a:rPr lang="en-US" sz="1100" baseline="0"/>
              <a:t> area</a:t>
            </a:r>
            <a:endParaRPr lang="ru-MD" sz="1100"/>
          </a:p>
        </xdr:txBody>
      </xdr:sp>
      <xdr:pic>
        <xdr:nvPicPr>
          <xdr:cNvPr id="6" name="Picture 5">
            <a:extLst>
              <a:ext uri="{FF2B5EF4-FFF2-40B4-BE49-F238E27FC236}">
                <a16:creationId xmlns:a16="http://schemas.microsoft.com/office/drawing/2014/main" id="{E69E892C-DA7E-0139-DF54-1533549097B8}"/>
              </a:ext>
            </a:extLst>
          </xdr:cNvPr>
          <xdr:cNvPicPr>
            <a:picLocks noChangeAspect="1"/>
          </xdr:cNvPicPr>
        </xdr:nvPicPr>
        <xdr:blipFill>
          <a:blip xmlns:r="http://schemas.openxmlformats.org/officeDocument/2006/relationships" r:embed="rId1"/>
          <a:stretch>
            <a:fillRect/>
          </a:stretch>
        </xdr:blipFill>
        <xdr:spPr>
          <a:xfrm>
            <a:off x="21869710" y="8372589"/>
            <a:ext cx="10931440" cy="10642343"/>
          </a:xfrm>
          <a:prstGeom prst="rect">
            <a:avLst/>
          </a:prstGeom>
        </xdr:spPr>
      </xdr:pic>
      <xdr:cxnSp macro="">
        <xdr:nvCxnSpPr>
          <xdr:cNvPr id="7" name="Straight Arrow Connector 6">
            <a:extLst>
              <a:ext uri="{FF2B5EF4-FFF2-40B4-BE49-F238E27FC236}">
                <a16:creationId xmlns:a16="http://schemas.microsoft.com/office/drawing/2014/main" id="{F802A2B9-09D5-7FD5-4609-B76D09B3D44E}"/>
              </a:ext>
            </a:extLst>
          </xdr:cNvPr>
          <xdr:cNvCxnSpPr/>
        </xdr:nvCxnSpPr>
        <xdr:spPr>
          <a:xfrm>
            <a:off x="27668332" y="9050655"/>
            <a:ext cx="0" cy="541693"/>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8" name="TextBox 7">
            <a:extLst>
              <a:ext uri="{FF2B5EF4-FFF2-40B4-BE49-F238E27FC236}">
                <a16:creationId xmlns:a16="http://schemas.microsoft.com/office/drawing/2014/main" id="{CFFCF7E3-1F87-950F-343E-3439392572A3}"/>
              </a:ext>
            </a:extLst>
          </xdr:cNvPr>
          <xdr:cNvSpPr txBox="1"/>
        </xdr:nvSpPr>
        <xdr:spPr>
          <a:xfrm>
            <a:off x="27671935" y="9135243"/>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P1</a:t>
            </a:r>
          </a:p>
        </xdr:txBody>
      </xdr:sp>
      <xdr:cxnSp macro="">
        <xdr:nvCxnSpPr>
          <xdr:cNvPr id="9" name="Straight Arrow Connector 8">
            <a:extLst>
              <a:ext uri="{FF2B5EF4-FFF2-40B4-BE49-F238E27FC236}">
                <a16:creationId xmlns:a16="http://schemas.microsoft.com/office/drawing/2014/main" id="{50DB657E-8DAD-9A05-093E-8364123E937C}"/>
              </a:ext>
            </a:extLst>
          </xdr:cNvPr>
          <xdr:cNvCxnSpPr/>
        </xdr:nvCxnSpPr>
        <xdr:spPr>
          <a:xfrm>
            <a:off x="24965809" y="14266601"/>
            <a:ext cx="0" cy="534688"/>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0" name="TextBox 9">
            <a:extLst>
              <a:ext uri="{FF2B5EF4-FFF2-40B4-BE49-F238E27FC236}">
                <a16:creationId xmlns:a16="http://schemas.microsoft.com/office/drawing/2014/main" id="{8A2BBDD1-8C19-2D0C-1F3E-F56AD01F80A9}"/>
              </a:ext>
            </a:extLst>
          </xdr:cNvPr>
          <xdr:cNvSpPr txBox="1"/>
        </xdr:nvSpPr>
        <xdr:spPr>
          <a:xfrm>
            <a:off x="24963697" y="14349284"/>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P5</a:t>
            </a:r>
          </a:p>
        </xdr:txBody>
      </xdr:sp>
      <xdr:cxnSp macro="">
        <xdr:nvCxnSpPr>
          <xdr:cNvPr id="11" name="Straight Arrow Connector 10">
            <a:extLst>
              <a:ext uri="{FF2B5EF4-FFF2-40B4-BE49-F238E27FC236}">
                <a16:creationId xmlns:a16="http://schemas.microsoft.com/office/drawing/2014/main" id="{D49E143A-715B-D706-081B-C1B8BF22DEDD}"/>
              </a:ext>
            </a:extLst>
          </xdr:cNvPr>
          <xdr:cNvCxnSpPr/>
        </xdr:nvCxnSpPr>
        <xdr:spPr>
          <a:xfrm>
            <a:off x="30802487" y="14427476"/>
            <a:ext cx="0" cy="551609"/>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2" name="TextBox 11">
            <a:extLst>
              <a:ext uri="{FF2B5EF4-FFF2-40B4-BE49-F238E27FC236}">
                <a16:creationId xmlns:a16="http://schemas.microsoft.com/office/drawing/2014/main" id="{E3E30F08-E4DE-B337-3FA8-41D0BE65A3E6}"/>
              </a:ext>
            </a:extLst>
          </xdr:cNvPr>
          <xdr:cNvSpPr txBox="1"/>
        </xdr:nvSpPr>
        <xdr:spPr>
          <a:xfrm>
            <a:off x="30806090" y="14499345"/>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P9</a:t>
            </a:r>
          </a:p>
        </xdr:txBody>
      </xdr:sp>
      <xdr:cxnSp macro="">
        <xdr:nvCxnSpPr>
          <xdr:cNvPr id="13" name="Straight Arrow Connector 12">
            <a:extLst>
              <a:ext uri="{FF2B5EF4-FFF2-40B4-BE49-F238E27FC236}">
                <a16:creationId xmlns:a16="http://schemas.microsoft.com/office/drawing/2014/main" id="{374CE01F-334D-A98F-C067-9A183B9AFD08}"/>
              </a:ext>
            </a:extLst>
          </xdr:cNvPr>
          <xdr:cNvCxnSpPr/>
        </xdr:nvCxnSpPr>
        <xdr:spPr>
          <a:xfrm rot="16200000">
            <a:off x="22138743" y="10169584"/>
            <a:ext cx="0" cy="531330"/>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4" name="TextBox 13">
            <a:extLst>
              <a:ext uri="{FF2B5EF4-FFF2-40B4-BE49-F238E27FC236}">
                <a16:creationId xmlns:a16="http://schemas.microsoft.com/office/drawing/2014/main" id="{150E730A-7F88-1D81-E5A5-C7DDCD31D0E7}"/>
              </a:ext>
            </a:extLst>
          </xdr:cNvPr>
          <xdr:cNvSpPr txBox="1"/>
        </xdr:nvSpPr>
        <xdr:spPr>
          <a:xfrm>
            <a:off x="21925427" y="10126856"/>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P2</a:t>
            </a:r>
          </a:p>
        </xdr:txBody>
      </xdr:sp>
      <xdr:cxnSp macro="">
        <xdr:nvCxnSpPr>
          <xdr:cNvPr id="15" name="Straight Arrow Connector 14">
            <a:extLst>
              <a:ext uri="{FF2B5EF4-FFF2-40B4-BE49-F238E27FC236}">
                <a16:creationId xmlns:a16="http://schemas.microsoft.com/office/drawing/2014/main" id="{1460B571-8734-D28A-3BD5-505D7F9BDB26}"/>
              </a:ext>
            </a:extLst>
          </xdr:cNvPr>
          <xdr:cNvCxnSpPr/>
        </xdr:nvCxnSpPr>
        <xdr:spPr>
          <a:xfrm rot="16200000">
            <a:off x="22064929" y="15972678"/>
            <a:ext cx="0" cy="529425"/>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6" name="TextBox 15">
            <a:extLst>
              <a:ext uri="{FF2B5EF4-FFF2-40B4-BE49-F238E27FC236}">
                <a16:creationId xmlns:a16="http://schemas.microsoft.com/office/drawing/2014/main" id="{A7BEEEF5-C1AB-8E1B-1F53-5E00F28A382C}"/>
              </a:ext>
            </a:extLst>
          </xdr:cNvPr>
          <xdr:cNvSpPr txBox="1"/>
        </xdr:nvSpPr>
        <xdr:spPr>
          <a:xfrm>
            <a:off x="21867805" y="15938523"/>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P6</a:t>
            </a:r>
          </a:p>
        </xdr:txBody>
      </xdr:sp>
      <xdr:cxnSp macro="">
        <xdr:nvCxnSpPr>
          <xdr:cNvPr id="17" name="Straight Arrow Connector 16">
            <a:extLst>
              <a:ext uri="{FF2B5EF4-FFF2-40B4-BE49-F238E27FC236}">
                <a16:creationId xmlns:a16="http://schemas.microsoft.com/office/drawing/2014/main" id="{BFBC2DC7-5F60-8044-E4AA-977D78502485}"/>
              </a:ext>
            </a:extLst>
          </xdr:cNvPr>
          <xdr:cNvCxnSpPr/>
        </xdr:nvCxnSpPr>
        <xdr:spPr>
          <a:xfrm rot="16200000">
            <a:off x="26976299" y="13202527"/>
            <a:ext cx="0" cy="543433"/>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8" name="TextBox 17">
            <a:extLst>
              <a:ext uri="{FF2B5EF4-FFF2-40B4-BE49-F238E27FC236}">
                <a16:creationId xmlns:a16="http://schemas.microsoft.com/office/drawing/2014/main" id="{D14B1BC1-4812-3609-0098-692A15B11F08}"/>
              </a:ext>
            </a:extLst>
          </xdr:cNvPr>
          <xdr:cNvSpPr txBox="1"/>
        </xdr:nvSpPr>
        <xdr:spPr>
          <a:xfrm>
            <a:off x="26777886" y="13198684"/>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P4</a:t>
            </a:r>
          </a:p>
        </xdr:txBody>
      </xdr:sp>
      <xdr:cxnSp macro="">
        <xdr:nvCxnSpPr>
          <xdr:cNvPr id="19" name="Straight Arrow Connector 18">
            <a:extLst>
              <a:ext uri="{FF2B5EF4-FFF2-40B4-BE49-F238E27FC236}">
                <a16:creationId xmlns:a16="http://schemas.microsoft.com/office/drawing/2014/main" id="{12EA6E32-FC29-C19C-C01B-0A572A7D309F}"/>
              </a:ext>
            </a:extLst>
          </xdr:cNvPr>
          <xdr:cNvCxnSpPr/>
        </xdr:nvCxnSpPr>
        <xdr:spPr>
          <a:xfrm rot="5400000">
            <a:off x="32738923" y="10545501"/>
            <a:ext cx="0" cy="543432"/>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20" name="TextBox 19">
            <a:extLst>
              <a:ext uri="{FF2B5EF4-FFF2-40B4-BE49-F238E27FC236}">
                <a16:creationId xmlns:a16="http://schemas.microsoft.com/office/drawing/2014/main" id="{0A007EBC-13FE-DE60-1B31-34C8A295D932}"/>
              </a:ext>
            </a:extLst>
          </xdr:cNvPr>
          <xdr:cNvSpPr txBox="1"/>
        </xdr:nvSpPr>
        <xdr:spPr>
          <a:xfrm>
            <a:off x="32548131" y="10546924"/>
            <a:ext cx="47384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P12</a:t>
            </a:r>
          </a:p>
        </xdr:txBody>
      </xdr:sp>
      <xdr:cxnSp macro="">
        <xdr:nvCxnSpPr>
          <xdr:cNvPr id="21" name="Straight Arrow Connector 20">
            <a:extLst>
              <a:ext uri="{FF2B5EF4-FFF2-40B4-BE49-F238E27FC236}">
                <a16:creationId xmlns:a16="http://schemas.microsoft.com/office/drawing/2014/main" id="{FA15AC46-1F7F-442F-592F-B3DDD3D0BCBB}"/>
              </a:ext>
            </a:extLst>
          </xdr:cNvPr>
          <xdr:cNvCxnSpPr/>
        </xdr:nvCxnSpPr>
        <xdr:spPr>
          <a:xfrm rot="5400000">
            <a:off x="32920122" y="15974976"/>
            <a:ext cx="0" cy="543432"/>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22" name="TextBox 21">
            <a:extLst>
              <a:ext uri="{FF2B5EF4-FFF2-40B4-BE49-F238E27FC236}">
                <a16:creationId xmlns:a16="http://schemas.microsoft.com/office/drawing/2014/main" id="{A0BF76E7-A5B8-6635-E8A7-1018F244303B}"/>
              </a:ext>
            </a:extLst>
          </xdr:cNvPr>
          <xdr:cNvSpPr txBox="1"/>
        </xdr:nvSpPr>
        <xdr:spPr>
          <a:xfrm>
            <a:off x="32729330" y="15961159"/>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P8</a:t>
            </a:r>
          </a:p>
        </xdr:txBody>
      </xdr:sp>
      <xdr:cxnSp macro="">
        <xdr:nvCxnSpPr>
          <xdr:cNvPr id="23" name="Straight Arrow Connector 22">
            <a:extLst>
              <a:ext uri="{FF2B5EF4-FFF2-40B4-BE49-F238E27FC236}">
                <a16:creationId xmlns:a16="http://schemas.microsoft.com/office/drawing/2014/main" id="{D9E7BF90-AABD-5272-992F-5276E3812F48}"/>
              </a:ext>
            </a:extLst>
          </xdr:cNvPr>
          <xdr:cNvCxnSpPr/>
        </xdr:nvCxnSpPr>
        <xdr:spPr>
          <a:xfrm rot="5400000">
            <a:off x="28444381" y="13221129"/>
            <a:ext cx="0" cy="543433"/>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24" name="TextBox 23">
            <a:extLst>
              <a:ext uri="{FF2B5EF4-FFF2-40B4-BE49-F238E27FC236}">
                <a16:creationId xmlns:a16="http://schemas.microsoft.com/office/drawing/2014/main" id="{6D6C600C-C1BE-EF5E-551B-4ADC6D0B8D22}"/>
              </a:ext>
            </a:extLst>
          </xdr:cNvPr>
          <xdr:cNvSpPr txBox="1"/>
        </xdr:nvSpPr>
        <xdr:spPr>
          <a:xfrm>
            <a:off x="28253588" y="13232526"/>
            <a:ext cx="47384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P10</a:t>
            </a:r>
          </a:p>
        </xdr:txBody>
      </xdr:sp>
      <xdr:cxnSp macro="">
        <xdr:nvCxnSpPr>
          <xdr:cNvPr id="25" name="Straight Arrow Connector 24">
            <a:extLst>
              <a:ext uri="{FF2B5EF4-FFF2-40B4-BE49-F238E27FC236}">
                <a16:creationId xmlns:a16="http://schemas.microsoft.com/office/drawing/2014/main" id="{796DEDED-9D10-63D5-0415-7EE8B2AAD547}"/>
              </a:ext>
            </a:extLst>
          </xdr:cNvPr>
          <xdr:cNvCxnSpPr/>
        </xdr:nvCxnSpPr>
        <xdr:spPr>
          <a:xfrm flipH="1" flipV="1">
            <a:off x="24971300" y="12310054"/>
            <a:ext cx="1905" cy="526677"/>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26" name="TextBox 25">
            <a:extLst>
              <a:ext uri="{FF2B5EF4-FFF2-40B4-BE49-F238E27FC236}">
                <a16:creationId xmlns:a16="http://schemas.microsoft.com/office/drawing/2014/main" id="{691588CA-C68E-3690-1467-28FBABCC57A1}"/>
              </a:ext>
            </a:extLst>
          </xdr:cNvPr>
          <xdr:cNvSpPr txBox="1"/>
        </xdr:nvSpPr>
        <xdr:spPr>
          <a:xfrm>
            <a:off x="25012330" y="12419183"/>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P3</a:t>
            </a:r>
          </a:p>
        </xdr:txBody>
      </xdr:sp>
      <xdr:cxnSp macro="">
        <xdr:nvCxnSpPr>
          <xdr:cNvPr id="27" name="Straight Arrow Connector 26">
            <a:extLst>
              <a:ext uri="{FF2B5EF4-FFF2-40B4-BE49-F238E27FC236}">
                <a16:creationId xmlns:a16="http://schemas.microsoft.com/office/drawing/2014/main" id="{168177A0-5508-9543-2192-63323FE404F8}"/>
              </a:ext>
            </a:extLst>
          </xdr:cNvPr>
          <xdr:cNvCxnSpPr/>
        </xdr:nvCxnSpPr>
        <xdr:spPr>
          <a:xfrm flipH="1" flipV="1">
            <a:off x="30410861" y="12336276"/>
            <a:ext cx="1905" cy="520962"/>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28" name="TextBox 27">
            <a:extLst>
              <a:ext uri="{FF2B5EF4-FFF2-40B4-BE49-F238E27FC236}">
                <a16:creationId xmlns:a16="http://schemas.microsoft.com/office/drawing/2014/main" id="{F2A58BCD-D175-E108-04DA-5059A89AF9C2}"/>
              </a:ext>
            </a:extLst>
          </xdr:cNvPr>
          <xdr:cNvSpPr txBox="1"/>
        </xdr:nvSpPr>
        <xdr:spPr>
          <a:xfrm>
            <a:off x="30461416" y="12443500"/>
            <a:ext cx="47384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P11</a:t>
            </a:r>
          </a:p>
        </xdr:txBody>
      </xdr:sp>
      <xdr:cxnSp macro="">
        <xdr:nvCxnSpPr>
          <xdr:cNvPr id="29" name="Straight Arrow Connector 28">
            <a:extLst>
              <a:ext uri="{FF2B5EF4-FFF2-40B4-BE49-F238E27FC236}">
                <a16:creationId xmlns:a16="http://schemas.microsoft.com/office/drawing/2014/main" id="{81C207BF-AD4E-E082-A049-3B4CDBCEE050}"/>
              </a:ext>
            </a:extLst>
          </xdr:cNvPr>
          <xdr:cNvCxnSpPr/>
        </xdr:nvCxnSpPr>
        <xdr:spPr>
          <a:xfrm flipH="1" flipV="1">
            <a:off x="27716743" y="12340086"/>
            <a:ext cx="3810" cy="517152"/>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30" name="TextBox 29">
            <a:extLst>
              <a:ext uri="{FF2B5EF4-FFF2-40B4-BE49-F238E27FC236}">
                <a16:creationId xmlns:a16="http://schemas.microsoft.com/office/drawing/2014/main" id="{50987D88-CC2D-B483-40FB-B08C101E44CD}"/>
              </a:ext>
            </a:extLst>
          </xdr:cNvPr>
          <xdr:cNvSpPr txBox="1"/>
        </xdr:nvSpPr>
        <xdr:spPr>
          <a:xfrm>
            <a:off x="27767298" y="12445405"/>
            <a:ext cx="47384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P13</a:t>
            </a:r>
          </a:p>
        </xdr:txBody>
      </xdr:sp>
      <xdr:cxnSp macro="">
        <xdr:nvCxnSpPr>
          <xdr:cNvPr id="31" name="Straight Arrow Connector 30">
            <a:extLst>
              <a:ext uri="{FF2B5EF4-FFF2-40B4-BE49-F238E27FC236}">
                <a16:creationId xmlns:a16="http://schemas.microsoft.com/office/drawing/2014/main" id="{D4635A41-14ED-CA7F-F80F-A059337472C4}"/>
              </a:ext>
            </a:extLst>
          </xdr:cNvPr>
          <xdr:cNvCxnSpPr/>
        </xdr:nvCxnSpPr>
        <xdr:spPr>
          <a:xfrm flipH="1" flipV="1">
            <a:off x="27787788" y="17610155"/>
            <a:ext cx="0" cy="485552"/>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32" name="TextBox 31">
            <a:extLst>
              <a:ext uri="{FF2B5EF4-FFF2-40B4-BE49-F238E27FC236}">
                <a16:creationId xmlns:a16="http://schemas.microsoft.com/office/drawing/2014/main" id="{B27293CB-4251-B696-A55E-2399681E2B99}"/>
              </a:ext>
            </a:extLst>
          </xdr:cNvPr>
          <xdr:cNvSpPr txBox="1"/>
        </xdr:nvSpPr>
        <xdr:spPr>
          <a:xfrm>
            <a:off x="27840920" y="17696761"/>
            <a:ext cx="3840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P7</a:t>
            </a:r>
          </a:p>
        </xdr:txBody>
      </xdr:sp>
      <xdr:cxnSp macro="">
        <xdr:nvCxnSpPr>
          <xdr:cNvPr id="33" name="Straight Arrow Connector 32">
            <a:extLst>
              <a:ext uri="{FF2B5EF4-FFF2-40B4-BE49-F238E27FC236}">
                <a16:creationId xmlns:a16="http://schemas.microsoft.com/office/drawing/2014/main" id="{ACAC258D-4440-A416-98EC-902BE827274B}"/>
              </a:ext>
            </a:extLst>
          </xdr:cNvPr>
          <xdr:cNvCxnSpPr/>
        </xdr:nvCxnSpPr>
        <xdr:spPr>
          <a:xfrm>
            <a:off x="27728379" y="14232984"/>
            <a:ext cx="0" cy="532783"/>
          </a:xfrm>
          <a:prstGeom prst="straightConnector1">
            <a:avLst/>
          </a:prstGeom>
          <a:ln w="2857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34" name="TextBox 33">
            <a:extLst>
              <a:ext uri="{FF2B5EF4-FFF2-40B4-BE49-F238E27FC236}">
                <a16:creationId xmlns:a16="http://schemas.microsoft.com/office/drawing/2014/main" id="{34BC6116-512D-25A5-48B5-07459F60EFB0}"/>
              </a:ext>
            </a:extLst>
          </xdr:cNvPr>
          <xdr:cNvSpPr txBox="1"/>
        </xdr:nvSpPr>
        <xdr:spPr>
          <a:xfrm>
            <a:off x="27724362" y="14313762"/>
            <a:ext cx="47384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Times New Roman" panose="02020603050405020304" pitchFamily="18" charset="0"/>
                <a:cs typeface="Times New Roman" panose="02020603050405020304" pitchFamily="18" charset="0"/>
              </a:rPr>
              <a:t>P14</a:t>
            </a:r>
          </a:p>
        </xdr:txBody>
      </xdr:sp>
    </xdr:grpSp>
    <xdr:clientData/>
  </xdr:twoCellAnchor>
  <xdr:twoCellAnchor editAs="oneCell">
    <xdr:from>
      <xdr:col>50</xdr:col>
      <xdr:colOff>457200</xdr:colOff>
      <xdr:row>61</xdr:row>
      <xdr:rowOff>0</xdr:rowOff>
    </xdr:from>
    <xdr:to>
      <xdr:col>62</xdr:col>
      <xdr:colOff>549276</xdr:colOff>
      <xdr:row>80</xdr:row>
      <xdr:rowOff>53391</xdr:rowOff>
    </xdr:to>
    <xdr:pic>
      <xdr:nvPicPr>
        <xdr:cNvPr id="35" name="Picture 34">
          <a:extLst>
            <a:ext uri="{FF2B5EF4-FFF2-40B4-BE49-F238E27FC236}">
              <a16:creationId xmlns:a16="http://schemas.microsoft.com/office/drawing/2014/main" id="{F339A654-7AF4-46A8-96D6-C99920949FC2}"/>
            </a:ext>
          </a:extLst>
        </xdr:cNvPr>
        <xdr:cNvPicPr>
          <a:picLocks noChangeAspect="1"/>
        </xdr:cNvPicPr>
      </xdr:nvPicPr>
      <xdr:blipFill>
        <a:blip xmlns:r="http://schemas.openxmlformats.org/officeDocument/2006/relationships" r:embed="rId2"/>
        <a:stretch>
          <a:fillRect/>
        </a:stretch>
      </xdr:blipFill>
      <xdr:spPr>
        <a:xfrm>
          <a:off x="34404300" y="13449300"/>
          <a:ext cx="7403466" cy="47701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32845</xdr:colOff>
      <xdr:row>8</xdr:row>
      <xdr:rowOff>13138</xdr:rowOff>
    </xdr:from>
    <xdr:to>
      <xdr:col>24</xdr:col>
      <xdr:colOff>86665</xdr:colOff>
      <xdr:row>24</xdr:row>
      <xdr:rowOff>35230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585107</xdr:colOff>
      <xdr:row>23</xdr:row>
      <xdr:rowOff>108858</xdr:rowOff>
    </xdr:from>
    <xdr:to>
      <xdr:col>24</xdr:col>
      <xdr:colOff>30416</xdr:colOff>
      <xdr:row>39</xdr:row>
      <xdr:rowOff>115934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13607</xdr:colOff>
      <xdr:row>40</xdr:row>
      <xdr:rowOff>95250</xdr:rowOff>
    </xdr:from>
    <xdr:to>
      <xdr:col>24</xdr:col>
      <xdr:colOff>71237</xdr:colOff>
      <xdr:row>56</xdr:row>
      <xdr:rowOff>93841</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476250</xdr:colOff>
      <xdr:row>20</xdr:row>
      <xdr:rowOff>2459</xdr:rowOff>
    </xdr:from>
    <xdr:to>
      <xdr:col>23</xdr:col>
      <xdr:colOff>305753</xdr:colOff>
      <xdr:row>28</xdr:row>
      <xdr:rowOff>76199</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9982200" y="3755309"/>
          <a:ext cx="4687253" cy="1521540"/>
        </a:xfrm>
        <a:prstGeom prst="rect">
          <a:avLst/>
        </a:prstGeom>
      </xdr:spPr>
    </xdr:pic>
    <xdr:clientData/>
  </xdr:twoCellAnchor>
  <xdr:twoCellAnchor editAs="oneCell">
    <xdr:from>
      <xdr:col>15</xdr:col>
      <xdr:colOff>351880</xdr:colOff>
      <xdr:row>15</xdr:row>
      <xdr:rowOff>144103</xdr:rowOff>
    </xdr:from>
    <xdr:to>
      <xdr:col>23</xdr:col>
      <xdr:colOff>458079</xdr:colOff>
      <xdr:row>41</xdr:row>
      <xdr:rowOff>168832</xdr:rowOff>
    </xdr:to>
    <xdr:pic>
      <xdr:nvPicPr>
        <xdr:cNvPr id="3" name="Picture 2">
          <a:extLst>
            <a:ext uri="{FF2B5EF4-FFF2-40B4-BE49-F238E27FC236}">
              <a16:creationId xmlns:a16="http://schemas.microsoft.com/office/drawing/2014/main" id="{AF17E3B5-F664-042B-31F4-2C8E9EEF6F8C}"/>
            </a:ext>
          </a:extLst>
        </xdr:cNvPr>
        <xdr:cNvPicPr>
          <a:picLocks noChangeAspect="1"/>
        </xdr:cNvPicPr>
      </xdr:nvPicPr>
      <xdr:blipFill>
        <a:blip xmlns:r="http://schemas.openxmlformats.org/officeDocument/2006/relationships" r:embed="rId2"/>
        <a:stretch>
          <a:fillRect/>
        </a:stretch>
      </xdr:blipFill>
      <xdr:spPr>
        <a:xfrm>
          <a:off x="9893209" y="3186660"/>
          <a:ext cx="4982999" cy="51464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284921</xdr:colOff>
      <xdr:row>0</xdr:row>
      <xdr:rowOff>33131</xdr:rowOff>
    </xdr:from>
    <xdr:to>
      <xdr:col>25</xdr:col>
      <xdr:colOff>473797</xdr:colOff>
      <xdr:row>9</xdr:row>
      <xdr:rowOff>132438</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13779941" y="33131"/>
          <a:ext cx="2010056" cy="1749037"/>
        </a:xfrm>
        <a:prstGeom prst="rect">
          <a:avLst/>
        </a:prstGeom>
      </xdr:spPr>
    </xdr:pic>
    <xdr:clientData/>
  </xdr:twoCellAnchor>
  <xdr:twoCellAnchor editAs="oneCell">
    <xdr:from>
      <xdr:col>28</xdr:col>
      <xdr:colOff>571500</xdr:colOff>
      <xdr:row>0</xdr:row>
      <xdr:rowOff>156845</xdr:rowOff>
    </xdr:from>
    <xdr:to>
      <xdr:col>35</xdr:col>
      <xdr:colOff>571500</xdr:colOff>
      <xdr:row>11</xdr:row>
      <xdr:rowOff>133371</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17724120" y="156845"/>
          <a:ext cx="4267200" cy="2060596"/>
        </a:xfrm>
        <a:prstGeom prst="rect">
          <a:avLst/>
        </a:prstGeom>
      </xdr:spPr>
    </xdr:pic>
    <xdr:clientData/>
  </xdr:twoCellAnchor>
  <xdr:twoCellAnchor editAs="oneCell">
    <xdr:from>
      <xdr:col>28</xdr:col>
      <xdr:colOff>571501</xdr:colOff>
      <xdr:row>12</xdr:row>
      <xdr:rowOff>133350</xdr:rowOff>
    </xdr:from>
    <xdr:to>
      <xdr:col>35</xdr:col>
      <xdr:colOff>571500</xdr:colOff>
      <xdr:row>26</xdr:row>
      <xdr:rowOff>666793</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3"/>
        <a:stretch>
          <a:fillRect/>
        </a:stretch>
      </xdr:blipFill>
      <xdr:spPr>
        <a:xfrm>
          <a:off x="17724121" y="2404110"/>
          <a:ext cx="4267199" cy="37362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209549</xdr:colOff>
      <xdr:row>1</xdr:row>
      <xdr:rowOff>1</xdr:rowOff>
    </xdr:from>
    <xdr:to>
      <xdr:col>17</xdr:col>
      <xdr:colOff>28575</xdr:colOff>
      <xdr:row>11</xdr:row>
      <xdr:rowOff>28576</xdr:rowOff>
    </xdr:to>
    <xdr:graphicFrame macro="">
      <xdr:nvGraphicFramePr>
        <xdr:cNvPr id="6" name="Chart 5">
          <a:extLst>
            <a:ext uri="{FF2B5EF4-FFF2-40B4-BE49-F238E27FC236}">
              <a16:creationId xmlns:a16="http://schemas.microsoft.com/office/drawing/2014/main" id="{00000000-0008-0000-1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12</xdr:row>
      <xdr:rowOff>19049</xdr:rowOff>
    </xdr:from>
    <xdr:to>
      <xdr:col>17</xdr:col>
      <xdr:colOff>9525</xdr:colOff>
      <xdr:row>28</xdr:row>
      <xdr:rowOff>161924</xdr:rowOff>
    </xdr:to>
    <xdr:graphicFrame macro="">
      <xdr:nvGraphicFramePr>
        <xdr:cNvPr id="7" name="Chart 6">
          <a:extLst>
            <a:ext uri="{FF2B5EF4-FFF2-40B4-BE49-F238E27FC236}">
              <a16:creationId xmlns:a16="http://schemas.microsoft.com/office/drawing/2014/main" id="{00000000-0008-0000-1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18</xdr:row>
      <xdr:rowOff>28575</xdr:rowOff>
    </xdr:from>
    <xdr:to>
      <xdr:col>22</xdr:col>
      <xdr:colOff>29817</xdr:colOff>
      <xdr:row>32</xdr:row>
      <xdr:rowOff>155862</xdr:rowOff>
    </xdr:to>
    <xdr:graphicFrame macro="">
      <xdr:nvGraphicFramePr>
        <xdr:cNvPr id="9" name="Chart 8">
          <a:extLst>
            <a:ext uri="{FF2B5EF4-FFF2-40B4-BE49-F238E27FC236}">
              <a16:creationId xmlns:a16="http://schemas.microsoft.com/office/drawing/2014/main" id="{00000000-0008-0000-1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219075</xdr:colOff>
      <xdr:row>1</xdr:row>
      <xdr:rowOff>9525</xdr:rowOff>
    </xdr:from>
    <xdr:to>
      <xdr:col>22</xdr:col>
      <xdr:colOff>20292</xdr:colOff>
      <xdr:row>17</xdr:row>
      <xdr:rowOff>79662</xdr:rowOff>
    </xdr:to>
    <xdr:graphicFrame macro="">
      <xdr:nvGraphicFramePr>
        <xdr:cNvPr id="10" name="Chart 9">
          <a:extLst>
            <a:ext uri="{FF2B5EF4-FFF2-40B4-BE49-F238E27FC236}">
              <a16:creationId xmlns:a16="http://schemas.microsoft.com/office/drawing/2014/main" id="{00000000-0008-0000-1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Gregor/CEE/Contracte/GIZ/GIZ/Obiecte/2.%20%20Ungheni/Calcule/Calculation%20Sheet_Ungheni.xlsx" TargetMode="External"/><Relationship Id="rId1" Type="http://schemas.openxmlformats.org/officeDocument/2006/relationships/externalLinkPath" Target="/Gregor/CEE/Contracte/GIZ/GIZ/Obiecte/2.%20%20Ungheni/Calcule/Calculation%20Sheet_Ungheni.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STARS2/T2/PHPP%20tables/PHPP_EN_V8.5_empty.xls" TargetMode="External"/><Relationship Id="rId1" Type="http://schemas.openxmlformats.org/officeDocument/2006/relationships/externalLinkPath" Target="/Users/User/Desktop/STARS2/T2/PHPP%20tables/PHPP_EN_V8.5_empt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IZ"/>
      <sheetName val="Economics"/>
      <sheetName val="Calc U Walls"/>
      <sheetName val="Calc U Roof"/>
      <sheetName val="Calc U Floor"/>
      <sheetName val="Consumption and Baseline"/>
      <sheetName val="Building Anvelope"/>
      <sheetName val="Heat Losses calc Anvelope Befor"/>
      <sheetName val="Heat Losses calc Anvelope After"/>
      <sheetName val="Mechanical ventilation"/>
      <sheetName val="Heat substation"/>
      <sheetName val="Heating system and Pipe insul."/>
      <sheetName val="Lighting "/>
      <sheetName val="Lighting Management Solutions"/>
      <sheetName val="Electr. Distrib. Sys. Protectiv"/>
      <sheetName val="Technological Equipment"/>
      <sheetName val="Results"/>
      <sheetName val="Summary"/>
      <sheetName val="Calculation Sheet_Unghen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rief instructions"/>
      <sheetName val="Verification"/>
      <sheetName val="Overview"/>
      <sheetName val="Climate"/>
      <sheetName val="U-Values"/>
      <sheetName val="Areas"/>
      <sheetName val="Ground"/>
      <sheetName val="Components"/>
      <sheetName val="Windows"/>
      <sheetName val="Shading"/>
      <sheetName val="Ventilation"/>
      <sheetName val="Additional vent"/>
      <sheetName val="Annual heating"/>
      <sheetName val="Heating"/>
      <sheetName val="Heating load"/>
      <sheetName val="SummVent"/>
      <sheetName val="Summer"/>
      <sheetName val="Cooling"/>
      <sheetName val="Cooling units"/>
      <sheetName val="Cooling load"/>
      <sheetName val="DHW+Distribution"/>
      <sheetName val="SolarDHW"/>
      <sheetName val="PV"/>
      <sheetName val="Electricity"/>
      <sheetName val="Use non-res"/>
      <sheetName val="Electricity non-res"/>
      <sheetName val="Aux electrictiy"/>
      <sheetName val="IHG"/>
      <sheetName val="IHG non-res"/>
      <sheetName val="PE value"/>
      <sheetName val="Compact"/>
      <sheetName val="HP"/>
      <sheetName val="HP ground"/>
      <sheetName val="Boiler"/>
      <sheetName val="District heating"/>
      <sheetName val="Data"/>
      <sheetName val="Conversions"/>
    </sheetNames>
    <sheetDataSet>
      <sheetData sheetId="0"/>
      <sheetData sheetId="1"/>
      <sheetData sheetId="2"/>
      <sheetData sheetId="3"/>
      <sheetData sheetId="4"/>
      <sheetData sheetId="5">
        <row r="40">
          <cell r="A40">
            <v>1</v>
          </cell>
          <cell r="AN40" t="str">
            <v>1-</v>
          </cell>
        </row>
        <row r="41">
          <cell r="AN41" t="str">
            <v>2-</v>
          </cell>
        </row>
        <row r="42">
          <cell r="AN42" t="str">
            <v>3-</v>
          </cell>
        </row>
        <row r="43">
          <cell r="AN43" t="str">
            <v>4-</v>
          </cell>
        </row>
        <row r="44">
          <cell r="AN44" t="str">
            <v>5-</v>
          </cell>
        </row>
        <row r="45">
          <cell r="AN45" t="str">
            <v>6-</v>
          </cell>
        </row>
        <row r="46">
          <cell r="AN46" t="str">
            <v>7-</v>
          </cell>
        </row>
        <row r="47">
          <cell r="AN47" t="str">
            <v>8-</v>
          </cell>
        </row>
        <row r="48">
          <cell r="AN48" t="str">
            <v>9-</v>
          </cell>
        </row>
        <row r="49">
          <cell r="AN49" t="str">
            <v>10-</v>
          </cell>
        </row>
        <row r="50">
          <cell r="AN50" t="str">
            <v>11-</v>
          </cell>
        </row>
        <row r="51">
          <cell r="AN51" t="str">
            <v>12-</v>
          </cell>
        </row>
        <row r="52">
          <cell r="AN52" t="str">
            <v>13-</v>
          </cell>
        </row>
        <row r="53">
          <cell r="AN53" t="str">
            <v>14-</v>
          </cell>
        </row>
        <row r="54">
          <cell r="AN54" t="str">
            <v>15-</v>
          </cell>
        </row>
        <row r="55">
          <cell r="AN55" t="str">
            <v>16-</v>
          </cell>
        </row>
        <row r="56">
          <cell r="AN56" t="str">
            <v>17-</v>
          </cell>
        </row>
        <row r="57">
          <cell r="AN57" t="str">
            <v>18-</v>
          </cell>
        </row>
        <row r="58">
          <cell r="AN58" t="str">
            <v>19-</v>
          </cell>
        </row>
        <row r="59">
          <cell r="AN59" t="str">
            <v>20-</v>
          </cell>
        </row>
        <row r="60">
          <cell r="AN60" t="str">
            <v>21-</v>
          </cell>
        </row>
        <row r="61">
          <cell r="AN61" t="str">
            <v>22-</v>
          </cell>
        </row>
        <row r="62">
          <cell r="AN62" t="str">
            <v>23-</v>
          </cell>
        </row>
        <row r="63">
          <cell r="AN63" t="str">
            <v>24-</v>
          </cell>
        </row>
        <row r="64">
          <cell r="AN64" t="str">
            <v>25-</v>
          </cell>
        </row>
        <row r="65">
          <cell r="AN65" t="str">
            <v>26-</v>
          </cell>
        </row>
        <row r="66">
          <cell r="AN66" t="str">
            <v>27-</v>
          </cell>
        </row>
        <row r="67">
          <cell r="AN67" t="str">
            <v>28-</v>
          </cell>
        </row>
        <row r="68">
          <cell r="AN68" t="str">
            <v>29-</v>
          </cell>
        </row>
        <row r="69">
          <cell r="AN69" t="str">
            <v>30-</v>
          </cell>
        </row>
        <row r="70">
          <cell r="AN70" t="str">
            <v>31-</v>
          </cell>
        </row>
        <row r="71">
          <cell r="AN71" t="str">
            <v>32-</v>
          </cell>
        </row>
        <row r="72">
          <cell r="AN72" t="str">
            <v>33-</v>
          </cell>
        </row>
        <row r="73">
          <cell r="AN73" t="str">
            <v>34-</v>
          </cell>
        </row>
        <row r="74">
          <cell r="AN74" t="str">
            <v>35-</v>
          </cell>
        </row>
        <row r="75">
          <cell r="AN75" t="str">
            <v>36-</v>
          </cell>
        </row>
        <row r="76">
          <cell r="AN76" t="str">
            <v>37-</v>
          </cell>
        </row>
        <row r="77">
          <cell r="AN77" t="str">
            <v>38-</v>
          </cell>
        </row>
        <row r="78">
          <cell r="AN78" t="str">
            <v>39-</v>
          </cell>
        </row>
        <row r="79">
          <cell r="AN79" t="str">
            <v>40-</v>
          </cell>
        </row>
        <row r="80">
          <cell r="AN80" t="str">
            <v>41-</v>
          </cell>
        </row>
        <row r="81">
          <cell r="AN81" t="str">
            <v>42-</v>
          </cell>
        </row>
        <row r="82">
          <cell r="AN82" t="str">
            <v>43-</v>
          </cell>
        </row>
        <row r="83">
          <cell r="AN83" t="str">
            <v>44-</v>
          </cell>
        </row>
        <row r="84">
          <cell r="AN84" t="str">
            <v>45-</v>
          </cell>
        </row>
        <row r="85">
          <cell r="AN85" t="str">
            <v>46-</v>
          </cell>
        </row>
        <row r="86">
          <cell r="AN86" t="str">
            <v>47-</v>
          </cell>
        </row>
        <row r="87">
          <cell r="AN87" t="str">
            <v>48-</v>
          </cell>
        </row>
        <row r="88">
          <cell r="AN88" t="str">
            <v>49-</v>
          </cell>
        </row>
        <row r="89">
          <cell r="AN89" t="str">
            <v>50-</v>
          </cell>
        </row>
        <row r="90">
          <cell r="AN90" t="str">
            <v>51-</v>
          </cell>
        </row>
        <row r="91">
          <cell r="AN91" t="str">
            <v>52-</v>
          </cell>
        </row>
        <row r="92">
          <cell r="AN92" t="str">
            <v>53-</v>
          </cell>
        </row>
        <row r="93">
          <cell r="AN93" t="str">
            <v>54-</v>
          </cell>
        </row>
        <row r="94">
          <cell r="AN94" t="str">
            <v>55-</v>
          </cell>
        </row>
        <row r="95">
          <cell r="AN95" t="str">
            <v>56-</v>
          </cell>
        </row>
        <row r="96">
          <cell r="AN96" t="str">
            <v>57-</v>
          </cell>
        </row>
        <row r="97">
          <cell r="AN97" t="str">
            <v>58-</v>
          </cell>
        </row>
        <row r="98">
          <cell r="AN98" t="str">
            <v>59-</v>
          </cell>
        </row>
        <row r="99">
          <cell r="AN99" t="str">
            <v>60-</v>
          </cell>
        </row>
        <row r="100">
          <cell r="AN100" t="str">
            <v>61-</v>
          </cell>
        </row>
        <row r="101">
          <cell r="AN101" t="str">
            <v>62-</v>
          </cell>
        </row>
        <row r="102">
          <cell r="AN102" t="str">
            <v>63-</v>
          </cell>
        </row>
        <row r="103">
          <cell r="AN103" t="str">
            <v>64-</v>
          </cell>
        </row>
        <row r="104">
          <cell r="AN104" t="str">
            <v>65-</v>
          </cell>
        </row>
        <row r="105">
          <cell r="AN105" t="str">
            <v>66-</v>
          </cell>
        </row>
        <row r="106">
          <cell r="AN106" t="str">
            <v>67-</v>
          </cell>
        </row>
        <row r="107">
          <cell r="AN107" t="str">
            <v>68-</v>
          </cell>
        </row>
        <row r="108">
          <cell r="AN108" t="str">
            <v>69-</v>
          </cell>
        </row>
        <row r="109">
          <cell r="AN109" t="str">
            <v>70-</v>
          </cell>
        </row>
        <row r="110">
          <cell r="AN110" t="str">
            <v>71-</v>
          </cell>
        </row>
        <row r="111">
          <cell r="AN111" t="str">
            <v>72-</v>
          </cell>
        </row>
        <row r="112">
          <cell r="AN112" t="str">
            <v>73-</v>
          </cell>
        </row>
        <row r="113">
          <cell r="AN113" t="str">
            <v>74-</v>
          </cell>
        </row>
        <row r="114">
          <cell r="AN114" t="str">
            <v>75-</v>
          </cell>
        </row>
        <row r="115">
          <cell r="AN115" t="str">
            <v>76-</v>
          </cell>
        </row>
        <row r="116">
          <cell r="AN116" t="str">
            <v>77-</v>
          </cell>
        </row>
        <row r="117">
          <cell r="AN117" t="str">
            <v>78-</v>
          </cell>
        </row>
        <row r="118">
          <cell r="AN118" t="str">
            <v>79-</v>
          </cell>
        </row>
        <row r="119">
          <cell r="AN119" t="str">
            <v>80-</v>
          </cell>
        </row>
        <row r="120">
          <cell r="AN120" t="str">
            <v>81-</v>
          </cell>
        </row>
        <row r="121">
          <cell r="AN121" t="str">
            <v>82-</v>
          </cell>
        </row>
        <row r="122">
          <cell r="AN122" t="str">
            <v>83-</v>
          </cell>
        </row>
        <row r="123">
          <cell r="AN123" t="str">
            <v>84-</v>
          </cell>
        </row>
        <row r="124">
          <cell r="AN124" t="str">
            <v>85-</v>
          </cell>
        </row>
        <row r="125">
          <cell r="AN125" t="str">
            <v>86-</v>
          </cell>
        </row>
        <row r="126">
          <cell r="AN126" t="str">
            <v>87-</v>
          </cell>
        </row>
        <row r="127">
          <cell r="AN127" t="str">
            <v>88-</v>
          </cell>
        </row>
        <row r="128">
          <cell r="AN128" t="str">
            <v>89-</v>
          </cell>
        </row>
        <row r="129">
          <cell r="AN129" t="str">
            <v>90-</v>
          </cell>
        </row>
        <row r="130">
          <cell r="AN130" t="str">
            <v>91-</v>
          </cell>
        </row>
        <row r="131">
          <cell r="AN131" t="str">
            <v>92-</v>
          </cell>
        </row>
        <row r="132">
          <cell r="AN132" t="str">
            <v>93-</v>
          </cell>
        </row>
        <row r="133">
          <cell r="AN133" t="str">
            <v>94-</v>
          </cell>
        </row>
        <row r="134">
          <cell r="AN134" t="str">
            <v>95-</v>
          </cell>
        </row>
        <row r="135">
          <cell r="AN135" t="str">
            <v>96-</v>
          </cell>
        </row>
        <row r="136">
          <cell r="AN136" t="str">
            <v>97-</v>
          </cell>
        </row>
        <row r="137">
          <cell r="AN137" t="str">
            <v>98-</v>
          </cell>
        </row>
        <row r="138">
          <cell r="AN138" t="str">
            <v>99-</v>
          </cell>
        </row>
        <row r="139">
          <cell r="AN139" t="str">
            <v>100-</v>
          </cell>
        </row>
      </sheetData>
      <sheetData sheetId="6"/>
      <sheetData sheetId="7">
        <row r="13">
          <cell r="DE13" t="str">
            <v>01ud</v>
          </cell>
          <cell r="FZ13" t="str">
            <v>01ud Testas</v>
          </cell>
          <cell r="GD13" t="str">
            <v>92ud Single glazing</v>
          </cell>
          <cell r="GH13" t="str">
            <v>51ud PH-FRAMES: average thermal quality</v>
          </cell>
          <cell r="GL13" t="str">
            <v>97ud Default</v>
          </cell>
        </row>
        <row r="14">
          <cell r="FZ14" t="str">
            <v>93ud Brickwork 24 years old</v>
          </cell>
          <cell r="GD14" t="str">
            <v>93ud Double glazing 4/12mm air/4</v>
          </cell>
          <cell r="GH14" t="str">
            <v>52ud PH-FRAMES: good thermal quality</v>
          </cell>
          <cell r="GL14" t="str">
            <v>98ud Extract air system</v>
          </cell>
        </row>
        <row r="15">
          <cell r="FZ15" t="str">
            <v>94ud Solid Brick 38-old</v>
          </cell>
          <cell r="GD15" t="str">
            <v>94ud Double glazing 4/16mm air/4</v>
          </cell>
          <cell r="GH15" t="str">
            <v>53ud EXISTING: timber 45 mm</v>
          </cell>
          <cell r="GL15" t="str">
            <v xml:space="preserve">0313vs03 AERA Eqonic - Schiedel </v>
          </cell>
        </row>
        <row r="16">
          <cell r="FZ16" t="str">
            <v>95ud Half timbered 18-old</v>
          </cell>
          <cell r="GD16" t="str">
            <v>95ud Double glazing 4/20mm air/4</v>
          </cell>
          <cell r="GH16" t="str">
            <v>54ud EXISTING: timber 68 mm</v>
          </cell>
          <cell r="GL16" t="str">
            <v xml:space="preserve">0554vs03 AERA Eqonic Premium - Schiedel </v>
          </cell>
        </row>
        <row r="17">
          <cell r="FZ17" t="str">
            <v>96ud Brickwork 30 years old</v>
          </cell>
          <cell r="GD17" t="str">
            <v>96ud Double glazing 4/25mm air/4</v>
          </cell>
          <cell r="GH17" t="str">
            <v>55ud EXISTING: synthetic, good</v>
          </cell>
          <cell r="GL17" t="str">
            <v>0291vs03 AERASTAR compact LP150-1 - Junkers</v>
          </cell>
        </row>
        <row r="18">
          <cell r="FZ18" t="str">
            <v>97ud Precast concrete-old</v>
          </cell>
          <cell r="GD18" t="str">
            <v>97ud Double glazing 4/30mm air/4</v>
          </cell>
          <cell r="GH18" t="str">
            <v>56ud EXISTING: synthetic before 1998</v>
          </cell>
          <cell r="GL18" t="str">
            <v>0290vs03 AerastarComfort  - Junkers</v>
          </cell>
        </row>
        <row r="19">
          <cell r="FZ19" t="str">
            <v>98ud Wooden joist ceiling-old</v>
          </cell>
          <cell r="GD19" t="str">
            <v>98ud Triple glazing 4/10 air/4/10 air/4</v>
          </cell>
          <cell r="GH19" t="str">
            <v>57ud EXISTING: synthetic, before 1972</v>
          </cell>
          <cell r="GL19" t="str">
            <v xml:space="preserve">0294vs03 aeronom WR 300 - MAICO </v>
          </cell>
        </row>
        <row r="20">
          <cell r="FZ20" t="str">
            <v>99ud Basement ceiling-old</v>
          </cell>
          <cell r="GD20" t="str">
            <v>99ud Double low-e 4/16Argon90%/4 Epsilon=0.1</v>
          </cell>
          <cell r="GH20" t="str">
            <v>58ud EXISTING: metal, thermal break</v>
          </cell>
          <cell r="GL20" t="str">
            <v xml:space="preserve">0295vs03 aeronom WR 400 - MAICO </v>
          </cell>
        </row>
        <row r="21">
          <cell r="FZ21" t="str">
            <v>0336ws03 rihter_Rihter Pasiv</v>
          </cell>
          <cell r="GD21" t="str">
            <v xml:space="preserve">0412gl03 Guardian - ClimaGuard nrG (4:/12/4/12/:4 Kr 90%) </v>
          </cell>
          <cell r="GH21" t="str">
            <v>59ud EXISTING: metal, no thermal break</v>
          </cell>
          <cell r="GL21" t="str">
            <v xml:space="preserve">0296vs03 aeronorm WR 600 - MAICO </v>
          </cell>
        </row>
        <row r="22">
          <cell r="FZ22" t="str">
            <v>0338ws03 alligator_ALLIGATOR Passive House EIFS</v>
          </cell>
          <cell r="GD22" t="str">
            <v xml:space="preserve">0411gl03 Guardian - ClimaGuard nrG (4:/14/4/14/:4 Ar 90%) </v>
          </cell>
          <cell r="GH22" t="str">
            <v>60ud EXISTING: metal, no thermal break, paint finish</v>
          </cell>
          <cell r="GL22" t="str">
            <v xml:space="preserve">0293vs03 aeronorm WRG 180 EC - MAICO </v>
          </cell>
        </row>
        <row r="23">
          <cell r="FZ23" t="str">
            <v>0339ws03 alsecco_alsecco Passive House system</v>
          </cell>
          <cell r="GD23" t="str">
            <v xml:space="preserve">0410gl03 Guardian - ClimaGuard nrG (4:/16/4/16/:4 Ar 90%) </v>
          </cell>
          <cell r="GH23" t="str">
            <v>61ud INSTALLATION SITUATION: timber, not insulated, masonry, not insulated</v>
          </cell>
          <cell r="GL23" t="str">
            <v xml:space="preserve">0297vs03 aeronorm WS 250 - MAICO </v>
          </cell>
        </row>
        <row r="24">
          <cell r="FZ24" t="str">
            <v>0341ws03 Brillux_Passive House EIFS system</v>
          </cell>
          <cell r="GD24" t="str">
            <v xml:space="preserve">0409gl03 Guardian - ClimaGuard nrG (4:/18/4/18/:4 Ar 90%) </v>
          </cell>
          <cell r="GH24" t="str">
            <v>62ud INSTALLATION SITUATION: timber, not insulated, covered with 60 mm EIFS</v>
          </cell>
          <cell r="GL24" t="str">
            <v xml:space="preserve">0482vs03 aerosilent bianco - Drexel und Weiss </v>
          </cell>
        </row>
        <row r="25">
          <cell r="FZ25" t="str">
            <v>0342ws03 caparol_Capatect-EIFS for Passive Houses</v>
          </cell>
          <cell r="GD25" t="str">
            <v xml:space="preserve">0413gl03 Guardian - ClimaGuard Premium (4:/12/4/12/:4 Kr 90%) </v>
          </cell>
          <cell r="GH25" t="str">
            <v>63ud INSTALLATION SITUATION: PVC, not insulated, masonry, not insulated</v>
          </cell>
          <cell r="GL25" t="str">
            <v xml:space="preserve">0276vs03 aerosilent-topo - Drexel und Weiss </v>
          </cell>
        </row>
        <row r="26">
          <cell r="FZ26" t="str">
            <v>0343ws03 danwood_DANWOOD PASSIVE HOUSE-BUILDING SYSTEM</v>
          </cell>
          <cell r="GD26" t="str">
            <v xml:space="preserve">0414gl03 Guardian - ClimaGuard Premium (4:/14/4/14/:4 Ar 90%) </v>
          </cell>
          <cell r="GH26" t="str">
            <v>64ud INSTALLATION SITUATION: PVC, not insulated,insulated with EIFS 6cm WDVS 6 cm</v>
          </cell>
          <cell r="GL26" t="str">
            <v>0584vs03 APH5 Optiline by Pluggit - Richter + Frenzel</v>
          </cell>
        </row>
        <row r="27">
          <cell r="FZ27" t="str">
            <v>0344ws03 eder_EDERPLAN XP 50 TRIONIC</v>
          </cell>
          <cell r="GD27" t="str">
            <v xml:space="preserve">0416gl03 Interpane - iplus 3 CE (4/10/:4/10/:4 Kr 90%) </v>
          </cell>
          <cell r="GH27" t="str">
            <v>65ud INSTALLATION SITUATION: Metal, no thermal break, masonry wall, not insulated</v>
          </cell>
          <cell r="GL27" t="str">
            <v>0587vs03 APH8 Optiline by Pluggit - Richter + Frenzel</v>
          </cell>
        </row>
        <row r="28">
          <cell r="FZ28" t="str">
            <v>0345ws03 fingerhaus_FINGERHAUS PASSIVE HOUSE-BUILDING SYSTEM</v>
          </cell>
          <cell r="GD28" t="str">
            <v xml:space="preserve">0415gl03 Interpane - iplus 3 CE (4/12/:4/12/:4 Kr 90%) </v>
          </cell>
          <cell r="GH28" t="str">
            <v>66ud INSTALLATION SITUATION: insulated timber, EIFS, in insulation layer</v>
          </cell>
          <cell r="GL28" t="str">
            <v>0586vs03 APV3 Optiline by Pluggit - Richter + Frenzel</v>
          </cell>
        </row>
        <row r="29">
          <cell r="FZ29" t="str">
            <v>0346ws03 Metsä-Wood-merk-Finnframe_FinnFrame-Bausystem</v>
          </cell>
          <cell r="GD29" t="str">
            <v xml:space="preserve">0418gl03 Interpane - iplus 3 CLS  und CLST (4/10/:4/10/:4 Kr 90%) </v>
          </cell>
          <cell r="GH29" t="str">
            <v>67ud INSTALLATION SITUATION: insulated timber, EIFS, partially on masonry wall</v>
          </cell>
          <cell r="GL29" t="str">
            <v>0585vs03 APV5 Optiline by Pluggit - Richter + Frenzel</v>
          </cell>
        </row>
        <row r="30">
          <cell r="FZ30" t="str">
            <v>0347ws03 Metsä-Wood-merk-Kerto_Kerto Bausystem</v>
          </cell>
          <cell r="GD30" t="str">
            <v xml:space="preserve">0417gl03 Interpane - iplus 3 CLS  und CLST (4/12/:4/12/:4 Kr 90%) </v>
          </cell>
          <cell r="GH30" t="str">
            <v>68ud INSTALLATION SITUATION: insulated timber, EIFS, flush with the masonry wall on the outside</v>
          </cell>
          <cell r="GL30" t="str">
            <v>0537vs03 Casa W80 B - Swegon</v>
          </cell>
        </row>
        <row r="31">
          <cell r="FZ31" t="str">
            <v>0348ws03 Metsä-Wood-merk-Leno_Leno Brettsperrholz</v>
          </cell>
          <cell r="GD31" t="str">
            <v xml:space="preserve">0421gl03 Interpane - iplus 3 E (4/12/:4/12/:4 Ar 90%) </v>
          </cell>
          <cell r="GH31" t="str">
            <v>69ud INSTALLATION SITUATION: insulated timber, lightweight wall (optimal)</v>
          </cell>
          <cell r="GL31" t="str">
            <v xml:space="preserve">0299vs03 climos 150 DC - PAUL </v>
          </cell>
        </row>
        <row r="32">
          <cell r="FZ32" t="str">
            <v>0349ws03 gisoton_GISOPLAN-THERM 375/225</v>
          </cell>
          <cell r="GD32" t="str">
            <v xml:space="preserve">0420gl03 Interpane - iplus 3 E (4/14/:4/14/:4 Ar 90%) </v>
          </cell>
          <cell r="GH32" t="str">
            <v>70ud INSTALLATION SITUATION: insulated timber, insulated concrete formwork (optimal)</v>
          </cell>
          <cell r="GL32" t="str">
            <v>0231vl03 Com4mini 750 - GEA</v>
          </cell>
        </row>
        <row r="33">
          <cell r="FZ33" t="str">
            <v>0350ws03 greisel_Twinstone light for Passive Houses</v>
          </cell>
          <cell r="GD33" t="str">
            <v xml:space="preserve">0419gl03 Interpane - iplus 3 E (4/16/:4/16/:4 Ar 90%) </v>
          </cell>
          <cell r="GH33" t="str">
            <v>71ud INSTALLATION SITUATION: insulated PVC, EIFS, insulation layer</v>
          </cell>
          <cell r="GL33" t="str">
            <v xml:space="preserve">0326vs03 ComfoAir 160 HRV - Zehnder </v>
          </cell>
        </row>
        <row r="34">
          <cell r="FZ34" t="str">
            <v>0351ws03 harresoe_Passive House Harresø</v>
          </cell>
          <cell r="GD34" t="str">
            <v xml:space="preserve">0423gl03 Interpane - iplus 3 LS und LST (4/14/:4/14/:4 Ar 90%) </v>
          </cell>
          <cell r="GH34" t="str">
            <v>72ud INSTALLATION SITUATION: insulated PVC, EIFS, partially on masonry wall</v>
          </cell>
          <cell r="GL34" t="str">
            <v xml:space="preserve">0330vs03 ComfoAir flat 150 - Zehnder </v>
          </cell>
        </row>
        <row r="35">
          <cell r="FZ35" t="str">
            <v>0352ws03 hotblok_HOTBLOK building system for Passive Houses</v>
          </cell>
          <cell r="GD35" t="str">
            <v xml:space="preserve">0422gl03 Interpane - iplus 3 LS und LST (4/16/:4/16/:4 Ar 90%) </v>
          </cell>
          <cell r="GH35" t="str">
            <v>73ud INSTALLATION SITUATION: insulated PVC, EIFS, flush with the masonry wall on the outside</v>
          </cell>
          <cell r="GL35" t="str">
            <v xml:space="preserve">0325vs03 ComfoAir160 ERV - Zehnder </v>
          </cell>
        </row>
        <row r="36">
          <cell r="FZ36" t="str">
            <v>0353ws03 isorast_Isorast-formwork system</v>
          </cell>
          <cell r="GD36" t="str">
            <v xml:space="preserve">0425gl03 Interpane - iplus 3 LS und LST clear float (4/14/:4/14/:4 Ar 90%) </v>
          </cell>
          <cell r="GH36" t="str">
            <v>74ud INSTALLATION SITUATION: insulated PVC, lightweight wall (optimal)</v>
          </cell>
          <cell r="GL36" t="str">
            <v xml:space="preserve">0327vs03 ComfoAir200, ComfoD250, WHR920 - Zehnder </v>
          </cell>
        </row>
        <row r="37">
          <cell r="FZ37" t="str">
            <v>0354ws03 isoteq_IsoteQ® Passive House-Construction system</v>
          </cell>
          <cell r="GD37" t="str">
            <v xml:space="preserve">0424gl03 Interpane - iplus 3 LS und LST clear float (4/16/:4/16/:4 Ar 90%) </v>
          </cell>
          <cell r="GH37" t="str">
            <v>75ud INSTALLATION SITUATION: insulated PVC, insulated concrete formwork (optimal)</v>
          </cell>
          <cell r="GL37" t="str">
            <v xml:space="preserve">0328vs03 ComfoAir350, ComfoD350, WHR930 - Zehnder </v>
          </cell>
        </row>
        <row r="38">
          <cell r="FZ38" t="str">
            <v>0355ws03 isover-hb-hlf_ISOVER Timber construction system for Passive Houses (with ventilated facade)</v>
          </cell>
          <cell r="GD38" t="str">
            <v xml:space="preserve">0438gl03 Saint-Gobain Glass Germany - SGG CLIMATOP LUX (4:/14/4/14/:4  Ar 90%) </v>
          </cell>
          <cell r="GH38" t="str">
            <v>76ud INSTALLATION SITUATION: insulated timber-aluminium, EIFS, insulation layer</v>
          </cell>
          <cell r="GL38" t="str">
            <v xml:space="preserve">0329vs03 ComfoAir550, ComfoD550, WHR960 - Zehnder </v>
          </cell>
        </row>
        <row r="39">
          <cell r="FZ39" t="str">
            <v>0356ws03 isover-hb-wdvs_ISOVER Timber construction system for Passive Houses (with EIFS)</v>
          </cell>
          <cell r="GD39" t="str">
            <v xml:space="preserve">0439gl03 Saint-Gobain Glass Germany - SGG CLIMATOP LUX (4:/16/4/16/:4  Ar 90%) </v>
          </cell>
          <cell r="GH39" t="str">
            <v>77ud INSTALLATION SITUATION: insulated timber-aluminium, EIFS, partially on masonry wall</v>
          </cell>
          <cell r="GL39" t="str">
            <v>0461vs03 Comfort CT 300 - Nilan</v>
          </cell>
        </row>
        <row r="40">
          <cell r="FZ40" t="str">
            <v>0357ws03 isover-mb-hlf_ISOVER Massive construction system for Passive Houses (with ventilated facade)</v>
          </cell>
          <cell r="GD40" t="str">
            <v xml:space="preserve">0440gl03 Saint-Gobain Glass Germany - SGG CLIMATOP LUX (4:/18/4/18/:4  Ar 90%) </v>
          </cell>
          <cell r="GH40" t="str">
            <v>78ud INSTALLATION SITUATION: insulated timber-aluminium, lightweight wall (centre)</v>
          </cell>
          <cell r="GL40" t="str">
            <v>0319vs03 Comfort Vent G 90-200 - Wernig</v>
          </cell>
        </row>
        <row r="41">
          <cell r="FZ41" t="str">
            <v>0358ws03 isover-mb-wdvs_ISOVER Massive construction system for Passive Houses (with EIFS)</v>
          </cell>
          <cell r="GD41" t="str">
            <v xml:space="preserve">0441gl03 Saint-Gobain Glass Germany - SGG CLIMATOP LUX II (4:/14/4/14/:4  Ar 90%) </v>
          </cell>
          <cell r="GH41" t="str">
            <v>79ud INSTALLATION SITUATION: insulated timber-aluminium, insulated concrete formwork (optimal)</v>
          </cell>
          <cell r="GL41" t="str">
            <v>0320vs03 Comfort Vent G 90-380 - Wernig</v>
          </cell>
        </row>
        <row r="42">
          <cell r="FZ42" t="str">
            <v>0359ws03 kingspan_WDV-System with Kooltherm K5 022</v>
          </cell>
          <cell r="GD42" t="str">
            <v xml:space="preserve">0442gl03 Saint-Gobain Glass Germany - SGG CLIMATOP LUX II (4:/16/4/16/:4  Ar 90%) </v>
          </cell>
          <cell r="GH42" t="str">
            <v>80ud INSTALLATION SITUATION: insulated timber-aluminium, insulated concrete formwork (inside installation)</v>
          </cell>
          <cell r="GL42" t="str">
            <v xml:space="preserve">0558vs03 CWL - 300 Excellent - Wolf </v>
          </cell>
        </row>
        <row r="43">
          <cell r="FZ43" t="str">
            <v>0360ws03 kingspan-tek_Kingspan Insulation Ltd</v>
          </cell>
          <cell r="GD43" t="str">
            <v xml:space="preserve">0443gl03 Saint-Gobain Glass Germany - SGG CLIMATOP LUX II (4:/18/4/18/:4  Ar 90%) </v>
          </cell>
          <cell r="GH43" t="str">
            <v>81ud INSTALLATION SITUATION: insulated timber-aluminium, short alum casing, EIFS, insulation layer</v>
          </cell>
          <cell r="GL43" t="str">
            <v xml:space="preserve">0323vs03 CWL - 400 - Wolf </v>
          </cell>
        </row>
        <row r="44">
          <cell r="FZ44" t="str">
            <v>0361ws03 knauf_Knauf WARM-WALL Systems</v>
          </cell>
          <cell r="GD44" t="str">
            <v xml:space="preserve">0474gl03 Saint-Gobain Glass Germany - SGG PLANITHERM ULTRA N (4:/12/4/12/:4  Ar 90%) </v>
          </cell>
          <cell r="GH44" t="str">
            <v>82ud INSTALLATION SITUATION: insulated timber-aluminium, short alum casing, lightweight wall (centre)</v>
          </cell>
          <cell r="GL44" t="str">
            <v xml:space="preserve">0324vs03 CWL - 400 Excellent - Wolf </v>
          </cell>
        </row>
        <row r="45">
          <cell r="FZ45" t="str">
            <v>0363ws03 lebensraum holz_FREE-building system</v>
          </cell>
          <cell r="GD45" t="str">
            <v xml:space="preserve">0475gl03 Saint-Gobain Glass Germany - SGG PLANITHERM ULTRA N (4:/14/4/14/:4  Ar 90%) </v>
          </cell>
          <cell r="GH45" t="str">
            <v>83ud INSTALLATION SITUATION: insulated timber-aluminium, short alum casing, insulated concrete formwork (optimal)</v>
          </cell>
          <cell r="GL45" t="str">
            <v xml:space="preserve">0493vs03 CWL-F-300 Excellent - Wolf </v>
          </cell>
        </row>
        <row r="46">
          <cell r="FZ46" t="str">
            <v>0364ws03 leipfinger_Unipor W07 CORISO</v>
          </cell>
          <cell r="GD46" t="str">
            <v xml:space="preserve">0476gl03 Saint-Gobain Glass Germany - SGG PLANITHERM ULTRA N (4:/16/4/16/:4  Ar 90%) </v>
          </cell>
          <cell r="GH46" t="str">
            <v>84ud INSTALLATION SITUATION: insulated timber-aluminium, short alum casing, insulated concrete formwork (centre)</v>
          </cell>
          <cell r="GL46" t="str">
            <v>0268vs03 Danfoss a2 - Danfoss A/S</v>
          </cell>
        </row>
        <row r="47">
          <cell r="FZ47" t="str">
            <v>0365ws03 LUMAR EKO_LUMAR PASIV EKO</v>
          </cell>
          <cell r="GD47" t="str">
            <v xml:space="preserve">0477gl03 Saint-Gobain Glass Germany - SGG PLANITHERM ULTRA N (4:/18/4/18/:4  Ar 90%) </v>
          </cell>
          <cell r="GH47" t="str">
            <v>85ud INSTALLATION SITUATION MULLION-TRANSOM: timber, outside, in front of the facade</v>
          </cell>
          <cell r="GL47" t="str">
            <v>0269vs03 Danfoss a3 - Danfoss A/S</v>
          </cell>
        </row>
        <row r="48">
          <cell r="FZ48" t="str">
            <v>0367ws03 rockwool_Rockshell</v>
          </cell>
          <cell r="GD48" t="str">
            <v xml:space="preserve">0478gl03 Saint-Gobain Glass Germany - SGG PLANITHERM ULTRA N II (4:/12/4/12/:4  Ar 90%) </v>
          </cell>
          <cell r="GH48" t="str">
            <v>86ud INSTALLATION SITUATION MULLION-TRANSOM: timber, flush with the facade on the outside</v>
          </cell>
          <cell r="GL48" t="str">
            <v>0270vs03 Danfoss w1 - Danfoss A/S</v>
          </cell>
        </row>
        <row r="49">
          <cell r="FZ49" t="str">
            <v>0368ws03 schlagmann_POROTON-T7- flat brick</v>
          </cell>
          <cell r="GD49" t="str">
            <v xml:space="preserve">0479gl03 Saint-Gobain Glass Germany - SGG PLANITHERM ULTRA N II (4:/14/4/14/:4  Ar 90%) </v>
          </cell>
          <cell r="GH49" t="str">
            <v>87ud INSTALLATION SITUATION MULLION-TRANSOM: timber, in the insulation layer</v>
          </cell>
          <cell r="GL49" t="str">
            <v>0271vs03 Danfoss w2 - Danfoss A/S</v>
          </cell>
        </row>
        <row r="50">
          <cell r="FZ50" t="str">
            <v>0369ws03 stotherm-classic_StoTherm Classic for Passive Houses</v>
          </cell>
          <cell r="GD50" t="str">
            <v xml:space="preserve">0480gl03 Saint-Gobain Glass Germany - SGG PLANITHERM ULTRA N II (4:/16/4/16/:4  Ar 90%) </v>
          </cell>
          <cell r="GH50" t="str">
            <v>88ud INSTALLATION SITUATION MULLION-TRANSOM: timber, between insulation layer and wall</v>
          </cell>
          <cell r="GL50" t="str">
            <v xml:space="preserve">0272vs03 Dantherm HCH 5 - Dantherm </v>
          </cell>
        </row>
        <row r="51">
          <cell r="FZ51" t="str">
            <v>0371ws03 vpg_VST Passive House-Composite formwork system</v>
          </cell>
          <cell r="GD51" t="str">
            <v xml:space="preserve">0481gl03 Saint-Gobain Glass Germany - SGG PLANITHERM ULTRA N II (4:/18/4/18/:4  Ar 90%) </v>
          </cell>
          <cell r="GH51" t="str">
            <v>89ud INSTALLATION SITUATION MULLION-TRANSOM: timber, flush with the insulation layer on the inside</v>
          </cell>
          <cell r="GL51" t="str">
            <v xml:space="preserve">0273vs03 Dantherm HCH 8 - Dantherm </v>
          </cell>
        </row>
        <row r="52">
          <cell r="FZ52" t="str">
            <v>0372ws03 wolf_Wolf-Thermo-Module</v>
          </cell>
          <cell r="GD52" t="str">
            <v xml:space="preserve">0448gl03 UNIGLAS - TOP Premium 0.6 (4:/16/4/16/:4 Ar 90%) </v>
          </cell>
          <cell r="GH52" t="str">
            <v>90ud INSTALLATION SITUATION MULLION-TRANSOM: steel, outside, in front of the facade</v>
          </cell>
          <cell r="GL52" t="str">
            <v xml:space="preserve">0274vs03 Dantherm HCV 3 - Dantherm </v>
          </cell>
        </row>
        <row r="53">
          <cell r="FZ53" t="str">
            <v>0373ws03 a-hus_A-Hus PASSIVE HOUSE SYSTEM</v>
          </cell>
          <cell r="GD53" t="str">
            <v xml:space="preserve">0449gl03 UNIGLAS - TOP Premium E 0.6 (4:/16/4/16/:4 Ar 90%) </v>
          </cell>
          <cell r="GH53" t="str">
            <v>91ud INSTALLATION SITUATION MULLION-TRANSOM: steel, flush with the insulation layer on the outside</v>
          </cell>
          <cell r="GL53" t="str">
            <v xml:space="preserve">0275vs03 Dantherm HCV 5 - Dantherm </v>
          </cell>
        </row>
        <row r="54">
          <cell r="FZ54" t="str">
            <v>0374ws03 DOW_Passive House foundation panel insulation system</v>
          </cell>
          <cell r="GD54" t="str">
            <v xml:space="preserve">0450gl03 UNIGLAS - TOP Solar 0.7 (4:/16/4/16/:4 Ar 90%) </v>
          </cell>
          <cell r="GH54" t="str">
            <v>92ud INSTALLATION SITUATION MULLION-TRANSOM: steel, in the insulation layer</v>
          </cell>
          <cell r="GL54" t="str">
            <v>0506vs03 Domekt RECU-400 - Amalva UAB  - Komfovent</v>
          </cell>
        </row>
        <row r="55">
          <cell r="FZ55" t="str">
            <v>0375ws03 Foamglas_PC® PERISAVE SYSTEM - Passive House foam glass insulation</v>
          </cell>
          <cell r="GD55">
            <v>0</v>
          </cell>
          <cell r="GH55" t="str">
            <v>93ud INSTALLATION SITUATION MULLION-TRANSOM: steel, between insulation layer and wall</v>
          </cell>
          <cell r="GL55" t="str">
            <v>0505vs03 Domekt REGO-450 - Amalva UAB  - Komfovent</v>
          </cell>
        </row>
        <row r="56">
          <cell r="FZ56" t="str">
            <v>0376ws03 ISOLOHR_Passive House floor slab</v>
          </cell>
          <cell r="GD56">
            <v>0</v>
          </cell>
          <cell r="GH56" t="str">
            <v>94ud INSTALLATION SITUATION MULLION-TRANSOM: steel, flush with the insulation layer on the inside</v>
          </cell>
          <cell r="GL56" t="str">
            <v>0516vs03 DUPLEX370EC4 - Atrea</v>
          </cell>
        </row>
        <row r="57">
          <cell r="FZ57" t="str">
            <v>0377ws03 JACKODUR_Atlas floor slab</v>
          </cell>
          <cell r="GD57">
            <v>0</v>
          </cell>
          <cell r="GH57" t="str">
            <v>95ud INSTALLATION SITUATION MULLION-TRANSOM: Alum, outside, in front of the facade</v>
          </cell>
          <cell r="GL57" t="str">
            <v xml:space="preserve">0300vs03 focus 200 - PAUL </v>
          </cell>
        </row>
        <row r="58">
          <cell r="FZ58" t="str">
            <v>0379ws03 Isoquick_Insulated basement floor and walls</v>
          </cell>
          <cell r="GD58">
            <v>0</v>
          </cell>
          <cell r="GH58" t="str">
            <v>96ud INSTALLATION SITUATION MULLION-TRANSOM: Alum, flush with the insulation layer on the outside</v>
          </cell>
          <cell r="GL58" t="str">
            <v>0279vs03 Fox Comfort Plus - GLT Grohmann</v>
          </cell>
        </row>
        <row r="59">
          <cell r="FZ59" t="str">
            <v>0384ws03 Beattie_Beattie Passiv timber building system</v>
          </cell>
          <cell r="GD59">
            <v>0</v>
          </cell>
          <cell r="GH59" t="str">
            <v>97ud INSTALLATION SITUATION MULLION-TRANSOM: Alum, in the insulation layer</v>
          </cell>
          <cell r="GL59" t="str">
            <v>0321vs03 G90-160 - Wernig</v>
          </cell>
        </row>
        <row r="60">
          <cell r="FZ60" t="str">
            <v>0472ws03 steico_STEICO-building system</v>
          </cell>
          <cell r="GD60">
            <v>0</v>
          </cell>
          <cell r="GH60" t="str">
            <v>98ud INSTALLATION SITUATION MULLION-TRANSOM: Alum, between insulation layer and wall</v>
          </cell>
          <cell r="GL60" t="str">
            <v>0322vs03 G90-160 Enthalpie - Wernig</v>
          </cell>
        </row>
        <row r="61">
          <cell r="FZ61" t="str">
            <v>0511es03 isover_enerphit-mb-eifs</v>
          </cell>
          <cell r="GD61">
            <v>0</v>
          </cell>
          <cell r="GH61" t="str">
            <v>99ud INSTALLATION SITUATION MULLION-TRANSOM: Alum, flush with the insulation layer on the inside</v>
          </cell>
          <cell r="GL61" t="str">
            <v>0277vs03 GE Energy 1  - Genvex A/S</v>
          </cell>
        </row>
        <row r="62">
          <cell r="FZ62" t="str">
            <v>0523ws03 tegl_Egernsund Tegl - Passive House System +C</v>
          </cell>
          <cell r="GD62">
            <v>0</v>
          </cell>
          <cell r="GH62" t="str">
            <v>0023wi03 Adams - Climatic PH-F - with Swiss spacer V</v>
          </cell>
          <cell r="GL62" t="str">
            <v>0278vs03 GES Energy Opt100 - Genvex A/S</v>
          </cell>
        </row>
        <row r="63">
          <cell r="FZ63" t="str">
            <v>0588ws03 LUMAR ENERGY_LUMAR PASIV ENERGY</v>
          </cell>
          <cell r="GD63">
            <v>0</v>
          </cell>
          <cell r="GH63" t="str">
            <v>0024wi03 aluplast - energeto 8000 / passiv - with swiss spacer V</v>
          </cell>
          <cell r="GL63" t="str">
            <v>0484vs03 HRflat 600 / KWin - Lemmens</v>
          </cell>
        </row>
        <row r="64">
          <cell r="FZ64" t="str">
            <v>0594ws03 Cygnum_Cygnum Passive 350</v>
          </cell>
          <cell r="GD64">
            <v>0</v>
          </cell>
          <cell r="GH64" t="str">
            <v>0027wi03 batimet - TA35 SE - with Swisspacer V</v>
          </cell>
          <cell r="GL64" t="str">
            <v>0486vs03 HRflat 600 / KWin - SLT</v>
          </cell>
        </row>
        <row r="65">
          <cell r="FZ65">
            <v>0</v>
          </cell>
          <cell r="GD65">
            <v>0</v>
          </cell>
          <cell r="GH65" t="str">
            <v>0026wi03 batimet - TA35 SE VB - with TGI Wave</v>
          </cell>
          <cell r="GL65" t="str">
            <v>0292vs03 Indoor 400 WRG - Kampmann</v>
          </cell>
        </row>
        <row r="66">
          <cell r="FZ66">
            <v>0</v>
          </cell>
          <cell r="GD66">
            <v>0</v>
          </cell>
          <cell r="GH66" t="str">
            <v>0029wi03 Bieber - BI-Passif - with Thermix</v>
          </cell>
          <cell r="GL66" t="str">
            <v xml:space="preserve">0288vs03 KWL EC 220 D - Helios </v>
          </cell>
        </row>
        <row r="67">
          <cell r="FZ67">
            <v>0</v>
          </cell>
          <cell r="GD67">
            <v>0</v>
          </cell>
          <cell r="GH67" t="str">
            <v>0031wi03 Bruckner - BRUCKNER HOLZ-ALU-PASSIV - Fase, Soft or Plano - with Swisspacer V</v>
          </cell>
          <cell r="GL67" t="str">
            <v xml:space="preserve">0285vs03 KWL EC 270 - Helios </v>
          </cell>
        </row>
        <row r="68">
          <cell r="FZ68">
            <v>0</v>
          </cell>
          <cell r="GD68">
            <v>0</v>
          </cell>
          <cell r="GH68" t="str">
            <v>0043wi03 Buck - VÖRDE-Passive House window - with Thermix</v>
          </cell>
          <cell r="GL68" t="str">
            <v xml:space="preserve">0286vs03 KWL EC 370 - Helios </v>
          </cell>
        </row>
        <row r="69">
          <cell r="FZ69">
            <v>0</v>
          </cell>
          <cell r="GD69">
            <v>0</v>
          </cell>
          <cell r="GH69" t="str">
            <v>0032wi03 BUG - Alutechnik - ALUVOGT Design Uw-08 - with Swisspacer V</v>
          </cell>
          <cell r="GL69" t="str">
            <v xml:space="preserve">0287vs03 KWL EC 700 D - Helios </v>
          </cell>
        </row>
        <row r="70">
          <cell r="FZ70">
            <v>0</v>
          </cell>
          <cell r="GD70">
            <v>0</v>
          </cell>
          <cell r="GH70" t="str">
            <v>0033wi03 Doleta - DOLETA PASSIV WINDOW - with Thermix</v>
          </cell>
          <cell r="GL70" t="str">
            <v xml:space="preserve">0307vs03 LG 180 System VENTECH - PICHLER </v>
          </cell>
        </row>
        <row r="71">
          <cell r="FZ71">
            <v>0</v>
          </cell>
          <cell r="GD71">
            <v>0</v>
          </cell>
          <cell r="GH71" t="str">
            <v>0041wi03 DOMIS  - POLAR - with ChromaTec Ultra</v>
          </cell>
          <cell r="GL71" t="str">
            <v xml:space="preserve">0308vs03 LG 250 System VENTECH - PICHLER </v>
          </cell>
        </row>
        <row r="72">
          <cell r="FZ72">
            <v>0</v>
          </cell>
          <cell r="GD72">
            <v>0</v>
          </cell>
          <cell r="GH72" t="str">
            <v>0510wi03 ELWIZ - ENERGIO PASSIV - with Swisspacer V</v>
          </cell>
          <cell r="GL72" t="str">
            <v xml:space="preserve">0306vs03 LG 500 System VENTECH - PICHLER </v>
          </cell>
        </row>
        <row r="73">
          <cell r="FZ73">
            <v>0</v>
          </cell>
          <cell r="GD73">
            <v>0</v>
          </cell>
          <cell r="GH73" t="str">
            <v>0042wi03 FE  Gutmann - MIRA therm 08 - PH 78 - with Thermix</v>
          </cell>
          <cell r="GL73" t="str">
            <v>0266vs03 Logavent HRV 21 V2  - Buderus</v>
          </cell>
        </row>
        <row r="74">
          <cell r="FZ74">
            <v>0</v>
          </cell>
          <cell r="GD74">
            <v>0</v>
          </cell>
          <cell r="GH74" t="str">
            <v>0522wi03 Fosodeder - Alto Nova / System 25 PASSIV - Fase, Soft or Plano - with Swisspacer V</v>
          </cell>
          <cell r="GL74" t="str">
            <v>0267vs03 Logavent HRV 31  - Buderus</v>
          </cell>
        </row>
        <row r="75">
          <cell r="FZ75">
            <v>0</v>
          </cell>
          <cell r="GD75">
            <v>0</v>
          </cell>
          <cell r="GH75" t="str">
            <v>0045wi03 Fosodeder - Alto Nova / Variotherm - with Thermix</v>
          </cell>
          <cell r="GL75" t="str">
            <v xml:space="preserve">0316vs03 LWZ 100, LWZ 100 plus - Stiebel Eltron </v>
          </cell>
        </row>
        <row r="76">
          <cell r="FZ76">
            <v>0</v>
          </cell>
          <cell r="GD76">
            <v>0</v>
          </cell>
          <cell r="GH76" t="str">
            <v>0521wi03 Fosodeder - Alto Nova 0.74 System 10+12 - with Thermix</v>
          </cell>
          <cell r="GL76" t="str">
            <v xml:space="preserve">0315vs03 LWZ 270, LWZ 270 plus - Stiebel Eltron </v>
          </cell>
        </row>
        <row r="77">
          <cell r="FZ77">
            <v>0</v>
          </cell>
          <cell r="GD77">
            <v>0</v>
          </cell>
          <cell r="GH77" t="str">
            <v>0520wi03 Fosodeder - Alto Nova 0.78 System 10+12 - with Swisspacer V</v>
          </cell>
          <cell r="GL77" t="str">
            <v xml:space="preserve">0500vs03 maxiflat 600 - PAUL </v>
          </cell>
        </row>
        <row r="78">
          <cell r="FZ78">
            <v>0</v>
          </cell>
          <cell r="GD78">
            <v>0</v>
          </cell>
          <cell r="GH78" t="str">
            <v>0037wi03 Hilzinger FBS - VADB-Plus 550 - with TPS</v>
          </cell>
          <cell r="GL78" t="str">
            <v xml:space="preserve">0301vs03  multi 150 DC - PAUL </v>
          </cell>
        </row>
        <row r="79">
          <cell r="FZ79">
            <v>0</v>
          </cell>
          <cell r="GD79">
            <v>0</v>
          </cell>
          <cell r="GH79" t="str">
            <v>0036wi03 Hilzinger FBS - VADB-Plus 550+ - with TPS</v>
          </cell>
          <cell r="GL79" t="str">
            <v xml:space="preserve">0302vs03 novus 300 - PAUL </v>
          </cell>
        </row>
        <row r="80">
          <cell r="FZ80">
            <v>0</v>
          </cell>
          <cell r="GD80">
            <v>0</v>
          </cell>
          <cell r="GH80" t="str">
            <v>0188wi03 Hocoplast - HX 95 Passiv - with acs+</v>
          </cell>
          <cell r="GL80" t="str">
            <v xml:space="preserve">0303vs03 novus 450 - PAUL </v>
          </cell>
        </row>
        <row r="81">
          <cell r="FZ81">
            <v>0</v>
          </cell>
          <cell r="GD81">
            <v>0</v>
          </cell>
          <cell r="GH81" t="str">
            <v>0402wi03 Hueck - Lambda duo 120 - with Swisspacer V</v>
          </cell>
          <cell r="GL81" t="str">
            <v xml:space="preserve">0304vs03 novus F 300 - PAUL </v>
          </cell>
        </row>
        <row r="82">
          <cell r="FZ82">
            <v>0</v>
          </cell>
          <cell r="GD82">
            <v>0</v>
          </cell>
          <cell r="GH82" t="str">
            <v>0047wi03 Ideal - PH 8000 Shadow - with TGI</v>
          </cell>
          <cell r="GL82" t="str">
            <v>0252vs03 Pelican eco ED (D) - Enervent</v>
          </cell>
        </row>
        <row r="83">
          <cell r="FZ83">
            <v>0</v>
          </cell>
          <cell r="GD83">
            <v>0</v>
          </cell>
          <cell r="GH83" t="str">
            <v>0046wi03 Ideal - Sombra - with TGI</v>
          </cell>
          <cell r="GL83" t="str">
            <v>0309vs03 Pluggit Avent P 180 - Pluggit</v>
          </cell>
        </row>
        <row r="84">
          <cell r="FZ84">
            <v>0</v>
          </cell>
          <cell r="GD84">
            <v>0</v>
          </cell>
          <cell r="GH84" t="str">
            <v>0048wi03 Iida - Opus - with SwisspacerV Bu</v>
          </cell>
          <cell r="GL84" t="str">
            <v>0582vs03 Pluggit Avent P 190 - Pluggit</v>
          </cell>
        </row>
        <row r="85">
          <cell r="FZ85">
            <v>0</v>
          </cell>
          <cell r="GD85">
            <v>0</v>
          </cell>
          <cell r="GH85" t="str">
            <v>0535wi03 Josko - Platin Passiv - with Super Spacer TriSeal</v>
          </cell>
          <cell r="GL85" t="str">
            <v>0576vs03 Pluggit Avent P 310 - Pluggit</v>
          </cell>
        </row>
        <row r="86">
          <cell r="FZ86">
            <v>0</v>
          </cell>
          <cell r="GD86">
            <v>0</v>
          </cell>
          <cell r="GH86" t="str">
            <v>0057wi03 Koch Altenkirchen - Koch 104’er passiv  - with TGI</v>
          </cell>
          <cell r="GL86" t="str">
            <v>0577vs03 Pluggit Avent P 460 - Pluggit</v>
          </cell>
        </row>
        <row r="87">
          <cell r="FZ87">
            <v>0</v>
          </cell>
          <cell r="GD87">
            <v>0</v>
          </cell>
          <cell r="GH87" t="str">
            <v>0058wi03 Kochs - eCO2 - with Thermix</v>
          </cell>
          <cell r="GL87" t="str">
            <v>0312vs03 Pluggit Avent R 150 - Pluggit</v>
          </cell>
        </row>
        <row r="88">
          <cell r="FZ88">
            <v>0</v>
          </cell>
          <cell r="GD88">
            <v>0</v>
          </cell>
          <cell r="GH88" t="str">
            <v>0059wi03 Kowa - KOWA Therm - with Thermix</v>
          </cell>
          <cell r="GL88" t="str">
            <v>0599vs01 POLO-AIR 400 - Poloplast GmbH &amp; Co KG</v>
          </cell>
        </row>
        <row r="89">
          <cell r="FZ89">
            <v>0</v>
          </cell>
          <cell r="GD89">
            <v>0</v>
          </cell>
          <cell r="GH89" t="str">
            <v>0464wi03 KPA Katzbeck - PASSIVAplus - with Thermix</v>
          </cell>
          <cell r="GL89" t="str">
            <v xml:space="preserve">0483vs03 Reco-Boxx 170 C, Reco-Boxx 170 CB - Aerex </v>
          </cell>
        </row>
        <row r="90">
          <cell r="FZ90">
            <v>0</v>
          </cell>
          <cell r="GD90">
            <v>0</v>
          </cell>
          <cell r="GH90" t="str">
            <v>0102wi03 Lang - DUOps - with Swisspacer V</v>
          </cell>
          <cell r="GL90" t="str">
            <v xml:space="preserve">0257vs03 Reco-Boxx 300 - Aerex </v>
          </cell>
        </row>
        <row r="91">
          <cell r="FZ91">
            <v>0</v>
          </cell>
          <cell r="GD91">
            <v>0</v>
          </cell>
          <cell r="GH91" t="str">
            <v>0061wi03 M Sora - NATURA E112 - with Swisspacer V</v>
          </cell>
          <cell r="GL91" t="str">
            <v xml:space="preserve">0258vs03 Reco-Boxx 400 - Aerex </v>
          </cell>
        </row>
        <row r="92">
          <cell r="FZ92">
            <v>0</v>
          </cell>
          <cell r="GD92">
            <v>0</v>
          </cell>
          <cell r="GH92" t="str">
            <v>0062wi03 M Sora - UDOBJE E112 - with TGI</v>
          </cell>
          <cell r="GL92" t="str">
            <v xml:space="preserve">0259vs03 Reco-Boxx 600 - Aerex </v>
          </cell>
        </row>
        <row r="93">
          <cell r="FZ93">
            <v>0</v>
          </cell>
          <cell r="GD93">
            <v>0</v>
          </cell>
          <cell r="GH93" t="str">
            <v>0063wi03 Makrowin - MAKROWIN 88 G2 - with Swisspacer V</v>
          </cell>
          <cell r="GL93" t="str">
            <v xml:space="preserve">0485vs03 Reco-Boxx 600 Flat / EV - Aerex </v>
          </cell>
        </row>
        <row r="94">
          <cell r="FZ94">
            <v>0</v>
          </cell>
          <cell r="GD94">
            <v>0</v>
          </cell>
          <cell r="GH94" t="str">
            <v>0499wi03 Marles - MEGA PASIV-P with Vivaprofil - with Super Spacer TriSeal</v>
          </cell>
          <cell r="GL94" t="str">
            <v xml:space="preserve">0260vs03 Reco-Boxx COMFORT - Aerex </v>
          </cell>
        </row>
        <row r="95">
          <cell r="FZ95">
            <v>0</v>
          </cell>
          <cell r="GD95">
            <v>0</v>
          </cell>
          <cell r="GH95" t="str">
            <v>0498wi03 Mizarstvo Semrl - TIP 92 PASIV with Vivaprofil - with Super Spacer TriSeal</v>
          </cell>
          <cell r="GL95" t="str">
            <v>0532vs03 Renovent Excellent 300 4/0 (3/1) (Plus) - Brink</v>
          </cell>
        </row>
        <row r="96">
          <cell r="FZ96">
            <v>0</v>
          </cell>
          <cell r="GD96">
            <v>0</v>
          </cell>
          <cell r="GH96" t="str">
            <v>0056wi03 Moll - thermoll Passive House window - with Swisspacer V</v>
          </cell>
          <cell r="GL96" t="str">
            <v>0503vs03 Renovent Excellent 400 4/0 (3/1) (Plus) - Brink</v>
          </cell>
        </row>
        <row r="97">
          <cell r="FZ97">
            <v>0</v>
          </cell>
          <cell r="GD97">
            <v>0</v>
          </cell>
          <cell r="GH97" t="str">
            <v>0065wi03 Munster Joinery - EcoClad 120+ - with Super Spacer TriSeal PU</v>
          </cell>
          <cell r="GL97" t="str">
            <v>0264vs03 Renovent HR Large  - Brink</v>
          </cell>
        </row>
        <row r="98">
          <cell r="FZ98">
            <v>0</v>
          </cell>
          <cell r="GD98">
            <v>0</v>
          </cell>
          <cell r="GH98" t="str">
            <v>0462wi03 Munster Joinery - Passiv Aluclad T&amp;T - with Super Spacer TriSeal</v>
          </cell>
          <cell r="GL98" t="str">
            <v>0579vs03 renovent-sky150 - Brink</v>
          </cell>
        </row>
        <row r="99">
          <cell r="FZ99">
            <v>0</v>
          </cell>
          <cell r="GD99">
            <v>0</v>
          </cell>
          <cell r="GH99" t="str">
            <v>0335wi03 Munster Joinery - Passiv AluP+ - with Super Spacer TriSeal</v>
          </cell>
          <cell r="GL99" t="str">
            <v>0265vs03 renovent-sky300 - Brink</v>
          </cell>
        </row>
        <row r="100">
          <cell r="FZ100">
            <v>0</v>
          </cell>
          <cell r="GD100">
            <v>0</v>
          </cell>
          <cell r="GH100" t="str">
            <v>0064wi03 Munster Joinery - PassiV Future Proof - with Super Spacer TriSeal PU</v>
          </cell>
          <cell r="GL100" t="str">
            <v xml:space="preserve">0305vs03 santos 570 DC - PAUL </v>
          </cell>
        </row>
        <row r="101">
          <cell r="FZ101">
            <v>0</v>
          </cell>
          <cell r="GD101">
            <v>0</v>
          </cell>
          <cell r="GH101" t="str">
            <v>0497wi03 Munster Joinery - Passiv PVC+ T&amp;T - with Super Spacer TriSeal</v>
          </cell>
          <cell r="GL101" t="str">
            <v>0314vs03 TSL 150 G / DC - Schmeißer</v>
          </cell>
        </row>
        <row r="102">
          <cell r="FZ102">
            <v>0</v>
          </cell>
          <cell r="GD102">
            <v>0</v>
          </cell>
          <cell r="GH102" t="str">
            <v>0092wi03 Mur - WM Passive House window - with Swisspacer V</v>
          </cell>
          <cell r="GL102" t="str">
            <v xml:space="preserve">0317vs03 TVZ 100, TVZ 100 plus - Tecalor </v>
          </cell>
        </row>
        <row r="103">
          <cell r="FZ103">
            <v>0</v>
          </cell>
          <cell r="GD103">
            <v>0</v>
          </cell>
          <cell r="GH103" t="str">
            <v>0067wi03 Niveau - KombiRoyal Plus PH - with Thermix</v>
          </cell>
          <cell r="GL103" t="str">
            <v xml:space="preserve">0318vs03 TVZ 270, TVZ 270 plus - Tecalor </v>
          </cell>
        </row>
        <row r="104">
          <cell r="FZ104">
            <v>0</v>
          </cell>
          <cell r="GD104">
            <v>0</v>
          </cell>
          <cell r="GH104" t="str">
            <v>0198wi03 Northwin - Vision - with acs+</v>
          </cell>
          <cell r="GL104" t="str">
            <v xml:space="preserve">0284vs03 ValloMulti 200 SC - Heinemann </v>
          </cell>
        </row>
        <row r="105">
          <cell r="FZ105">
            <v>0</v>
          </cell>
          <cell r="GD105">
            <v>0</v>
          </cell>
          <cell r="GH105" t="str">
            <v>0069wi03 OPTIWIN  - Alphawin - with Super Spacer TriSeal</v>
          </cell>
          <cell r="GL105" t="str">
            <v xml:space="preserve">0280vs03 ValloMulti 300SB - Heinemann </v>
          </cell>
        </row>
        <row r="106">
          <cell r="FZ106">
            <v>0</v>
          </cell>
          <cell r="GD106">
            <v>0</v>
          </cell>
          <cell r="GH106" t="str">
            <v>0070wi03 Ost - Ost Neue Generation Holz - with Swisspacer</v>
          </cell>
          <cell r="GL106" t="str">
            <v>0552vs03 ValloPlus 270 SE - Heinemann</v>
          </cell>
        </row>
        <row r="107">
          <cell r="FZ107">
            <v>0</v>
          </cell>
          <cell r="GD107">
            <v>0</v>
          </cell>
          <cell r="GH107" t="str">
            <v>0071wi03 Passivhaus-Holzfensterring  - Holzfensterring-Eco-Therm - with Swisspacer with aluminium foil</v>
          </cell>
          <cell r="GL107" t="str">
            <v xml:space="preserve">0529vs03 ValloPlus 350 SE - Heinemann </v>
          </cell>
        </row>
        <row r="108">
          <cell r="FZ108">
            <v>0</v>
          </cell>
          <cell r="GD108">
            <v>0</v>
          </cell>
          <cell r="GH108" t="str">
            <v>0072wi03 Pazen Fenster+Technik - ENERsign - with Thermix</v>
          </cell>
          <cell r="GL108" t="str">
            <v>0553vs03 ValloPlus 510 SE - Heinemann</v>
          </cell>
        </row>
        <row r="109">
          <cell r="FZ109">
            <v>0</v>
          </cell>
          <cell r="GD109">
            <v>0</v>
          </cell>
          <cell r="GH109" t="str">
            <v>0075wi03 Pierret System - QUESTY - with Swisspacer V</v>
          </cell>
          <cell r="GL109" t="str">
            <v xml:space="preserve">0281vs03 ValloPlus SE 500 - Heinemann </v>
          </cell>
        </row>
        <row r="110">
          <cell r="FZ110">
            <v>0</v>
          </cell>
          <cell r="GD110">
            <v>0</v>
          </cell>
          <cell r="GH110" t="str">
            <v>0380wi03 POL SKONE - EC90 PLUS - with Swisspacer V</v>
          </cell>
          <cell r="GL110" t="str">
            <v xml:space="preserve">0282vs03 Vallox KWL 80_SE - Heinemann </v>
          </cell>
        </row>
        <row r="111">
          <cell r="FZ111">
            <v>0</v>
          </cell>
          <cell r="GD111">
            <v>0</v>
          </cell>
          <cell r="GH111" t="str">
            <v>0119wi03 Pollmann &amp; Renken - clima compact - with Swisspacer V</v>
          </cell>
          <cell r="GL111" t="str">
            <v xml:space="preserve">0283vs03 Vallox KWL 90_SE - Heinemann </v>
          </cell>
        </row>
        <row r="112">
          <cell r="FZ112">
            <v>0</v>
          </cell>
          <cell r="GD112">
            <v>0</v>
          </cell>
          <cell r="GH112" t="str">
            <v>0118wi03 PORTA - clima compact - with Swisspacer V</v>
          </cell>
          <cell r="GL112" t="str">
            <v>0110vs03 Vitovent 300-F - Viessmann</v>
          </cell>
        </row>
        <row r="113">
          <cell r="FZ113">
            <v>0</v>
          </cell>
          <cell r="GD113">
            <v>0</v>
          </cell>
          <cell r="GH113" t="str">
            <v>0456wi03 POZBUD - Pozbud Passive Exclusive - with Swisspacer V</v>
          </cell>
          <cell r="GL113" t="str">
            <v>0532vs03 Vitovent 300-W HR A300 - Viessmann</v>
          </cell>
        </row>
        <row r="114">
          <cell r="FZ114">
            <v>0</v>
          </cell>
          <cell r="GD114">
            <v>0</v>
          </cell>
          <cell r="GH114" t="str">
            <v>0460wi03 POZBUD - Pozbud Passive Ultima - with Swisspacer V</v>
          </cell>
          <cell r="GL114" t="str">
            <v>0519vs03 Vitovent 300-W HR A400 - Viessmann</v>
          </cell>
        </row>
        <row r="115">
          <cell r="FZ115">
            <v>0</v>
          </cell>
          <cell r="GD115">
            <v>0</v>
          </cell>
          <cell r="GH115" t="str">
            <v>0076wi03 pro Passivhausfenster  - SmartWin - with Super Spacer TriSeal</v>
          </cell>
          <cell r="GL115" t="str">
            <v>0109vs03 WRG 400 - Bauinfocenter</v>
          </cell>
        </row>
        <row r="116">
          <cell r="FZ116">
            <v>0</v>
          </cell>
          <cell r="GD116">
            <v>0</v>
          </cell>
          <cell r="GH116" t="str">
            <v>0080wi03 profine - eCo2 - with Thermix</v>
          </cell>
          <cell r="GL116" t="str">
            <v xml:space="preserve">0261vs03 WRGZ 300 - Benzing </v>
          </cell>
        </row>
        <row r="117">
          <cell r="FZ117">
            <v>0</v>
          </cell>
          <cell r="GD117">
            <v>0</v>
          </cell>
          <cell r="GH117" t="str">
            <v>0079wi03 profine - KBE System_88mm  - Passive House - with Swisspacer V</v>
          </cell>
          <cell r="GL117" t="str">
            <v xml:space="preserve">0262vs03 WRGZ 400 - Benzing </v>
          </cell>
        </row>
        <row r="118">
          <cell r="FZ118">
            <v>0</v>
          </cell>
          <cell r="GD118">
            <v>0</v>
          </cell>
          <cell r="GH118" t="str">
            <v>0078wi03 profine - KÖMMERLING 88plus overlap casement - with Swisspacer V</v>
          </cell>
          <cell r="GL118" t="str">
            <v xml:space="preserve">0465vs03 WS 170 K, WS 170 KB - MAICO </v>
          </cell>
        </row>
        <row r="119">
          <cell r="FZ119">
            <v>0</v>
          </cell>
          <cell r="GD119">
            <v>0</v>
          </cell>
          <cell r="GH119" t="str">
            <v>0077wi03 profine - TROCAL® 88+ overlap casement - with Swisspacer V</v>
          </cell>
          <cell r="GL119" t="str">
            <v>0331vs03 ZA11LG180 - Zewotherm</v>
          </cell>
        </row>
        <row r="120">
          <cell r="FZ120">
            <v>0</v>
          </cell>
          <cell r="GD120">
            <v>0</v>
          </cell>
          <cell r="GH120" t="str">
            <v>0508wi03 PURAL - eco90 - with Swisspacer V</v>
          </cell>
          <cell r="GL120" t="str">
            <v>0332vs03 ZA11LG250 - Zewotherm</v>
          </cell>
        </row>
        <row r="121">
          <cell r="FZ121">
            <v>0</v>
          </cell>
          <cell r="GD121">
            <v>0</v>
          </cell>
          <cell r="GH121" t="str">
            <v>0251wi03 RAICO - FRAME+ 90 WB - with Swisspacer V</v>
          </cell>
          <cell r="GL121" t="str">
            <v>0337vs03 ZA11LG500 - Zewotherm</v>
          </cell>
        </row>
        <row r="122">
          <cell r="FZ122">
            <v>0</v>
          </cell>
          <cell r="GD122">
            <v>0</v>
          </cell>
          <cell r="GH122" t="str">
            <v>0246wi03 RAICO - FRAME+ 90 WI - with Swisspacer Ultimate</v>
          </cell>
          <cell r="GL122" t="str">
            <v xml:space="preserve">0230vl03 Aerosilent Centro 1200 - Drexel und Weiss </v>
          </cell>
        </row>
        <row r="123">
          <cell r="FZ123">
            <v>0</v>
          </cell>
          <cell r="GD123">
            <v>0</v>
          </cell>
          <cell r="GH123" t="str">
            <v>0081wi03 Rehau - REHAU GENEO PHZ - with Swisspacer V</v>
          </cell>
          <cell r="GL123" t="str">
            <v>0231vl03 Com4mini 750 - GEA</v>
          </cell>
        </row>
        <row r="124">
          <cell r="FZ124">
            <v>0</v>
          </cell>
          <cell r="GD124">
            <v>0</v>
          </cell>
          <cell r="GH124" t="str">
            <v>0245wi03 SAPA - AVANTIS 95 - with Swisspacer V</v>
          </cell>
          <cell r="GL124" t="str">
            <v>0469vl03 ComfoAir XL 2200 - Zehnder</v>
          </cell>
        </row>
        <row r="125">
          <cell r="FZ125">
            <v>0</v>
          </cell>
          <cell r="GD125">
            <v>0</v>
          </cell>
          <cell r="GH125" t="str">
            <v>0044wi03 Sayyas - PASSIVE 120 - with THX.N</v>
          </cell>
          <cell r="GL125" t="str">
            <v>0470vl03 ComfoAir XL 6000 - Zehnder</v>
          </cell>
        </row>
        <row r="126">
          <cell r="FZ126">
            <v>0</v>
          </cell>
          <cell r="GD126">
            <v>0</v>
          </cell>
          <cell r="GH126" t="str">
            <v>0084wi03 Schüco - Schüco Alu Inside SI 82 - with Swisspacer V</v>
          </cell>
          <cell r="GL126" t="str">
            <v>0459vl03 ComfoAir XL 800 - Zehnder</v>
          </cell>
        </row>
        <row r="127">
          <cell r="FZ127">
            <v>0</v>
          </cell>
          <cell r="GD127">
            <v>0</v>
          </cell>
          <cell r="GH127" t="str">
            <v>0085wi03 Schüco - Schüco AWS 112.IC - with Swisspacer V</v>
          </cell>
          <cell r="GL127" t="str">
            <v>0458vl03 ComfoAir XL1500 - Zehnder</v>
          </cell>
        </row>
        <row r="128">
          <cell r="FZ128">
            <v>0</v>
          </cell>
          <cell r="GD128">
            <v>0</v>
          </cell>
          <cell r="GH128" t="str">
            <v>0028wi03 Schwager - Schwager-Passivstar 2000 - with Thermix</v>
          </cell>
          <cell r="GL128" t="str">
            <v>0457vl03 ComfoAir XL3300 - Zehnder</v>
          </cell>
        </row>
        <row r="129">
          <cell r="FZ129">
            <v>0</v>
          </cell>
          <cell r="GD129">
            <v>0</v>
          </cell>
          <cell r="GH129" t="str">
            <v>0120wi03 SELO - clima compact - with Swisspacer V</v>
          </cell>
          <cell r="GL129" t="str">
            <v>0468vl03 ComfoAir XL4400 - Zehnder</v>
          </cell>
        </row>
        <row r="130">
          <cell r="FZ130">
            <v>0</v>
          </cell>
          <cell r="GD130">
            <v>0</v>
          </cell>
          <cell r="GH130" t="str">
            <v>0086wi03 Sigg - Sigg PassivhausVenster Timber Aluminium - with Swisspacer V</v>
          </cell>
          <cell r="GL130" t="str">
            <v>0494vl03 Comfort Vent CA 3300 ECO - Wernig</v>
          </cell>
        </row>
        <row r="131">
          <cell r="FZ131">
            <v>0</v>
          </cell>
          <cell r="GD131">
            <v>0</v>
          </cell>
          <cell r="GH131" t="str">
            <v>0087wi03 Slavona - Progression - with Swisspacer V</v>
          </cell>
          <cell r="GL131" t="str">
            <v>0113vl03 DUPLEX S 1100 Flex - Airflow</v>
          </cell>
        </row>
        <row r="132">
          <cell r="FZ132">
            <v>0</v>
          </cell>
          <cell r="GD132">
            <v>0</v>
          </cell>
          <cell r="GH132" t="str">
            <v>0088wi03 Stabil - Ambient Timber-Aluminium Passive - with Thermix</v>
          </cell>
          <cell r="GL132" t="str">
            <v>0111vl03 DUPLEX S 1100 Flexi - Atrea</v>
          </cell>
        </row>
        <row r="133">
          <cell r="FZ133">
            <v>0</v>
          </cell>
          <cell r="GD133">
            <v>0</v>
          </cell>
          <cell r="GH133" t="str">
            <v>0256wi03 Stabil - Econom Passiv - with acs+</v>
          </cell>
          <cell r="GL133" t="str">
            <v>0226vl03 DUPLEX S 1600 Flex - Airflow</v>
          </cell>
        </row>
        <row r="134">
          <cell r="FZ134">
            <v>0</v>
          </cell>
          <cell r="GD134">
            <v>0</v>
          </cell>
          <cell r="GH134" t="str">
            <v>0117wi03 Stickling - TopTherm90 - with Thermix</v>
          </cell>
          <cell r="GL134" t="str">
            <v>0228vl03 DUPLEX S 1600 Flexi - Atrea</v>
          </cell>
        </row>
        <row r="135">
          <cell r="FZ135">
            <v>0</v>
          </cell>
          <cell r="GD135">
            <v>0</v>
          </cell>
          <cell r="GH135" t="str">
            <v>0038wi03 Striegel - Ultrapur S timber/timber-alu - with Thermix</v>
          </cell>
          <cell r="GL135" t="str">
            <v>0227vl03 DUPLEX S 2600 Flex - Airflow</v>
          </cell>
        </row>
        <row r="136">
          <cell r="FZ136">
            <v>0</v>
          </cell>
          <cell r="GD136">
            <v>0</v>
          </cell>
          <cell r="GH136" t="str">
            <v xml:space="preserve">0108wi03 Svenska - Passivfönster Alu </v>
          </cell>
          <cell r="GL136" t="str">
            <v>0229vl03 DUPLEX S 2600 Flexi - Atrea</v>
          </cell>
        </row>
        <row r="137">
          <cell r="FZ137">
            <v>0</v>
          </cell>
          <cell r="GD137">
            <v>0</v>
          </cell>
          <cell r="GH137" t="str">
            <v>0093wi03 TROHA-DIL - BLUEGREEN Exclusiv - with Swisspacer V</v>
          </cell>
          <cell r="GL137" t="str">
            <v>0114vl03 DUPLEX S 3600 Flex - Airflow</v>
          </cell>
        </row>
        <row r="138">
          <cell r="FZ138">
            <v>0</v>
          </cell>
          <cell r="GD138">
            <v>0</v>
          </cell>
          <cell r="GH138" t="str">
            <v>0095wi03 TROHA-DIL - BLUEGREEN Plus - with Swisspacer V</v>
          </cell>
          <cell r="GL138" t="str">
            <v>0112vl03 DUPLEX S 3600 Flexi - Atrea</v>
          </cell>
        </row>
        <row r="139">
          <cell r="FZ139">
            <v>0</v>
          </cell>
          <cell r="GD139">
            <v>0</v>
          </cell>
          <cell r="GH139" t="str">
            <v>0094wi03 TROHA-DIL - Struktura - with Thermix</v>
          </cell>
          <cell r="GL139" t="str">
            <v xml:space="preserve">0237vl03 KWL EC 1400 D - Helios </v>
          </cell>
        </row>
        <row r="140">
          <cell r="FZ140">
            <v>0</v>
          </cell>
          <cell r="GD140">
            <v>0</v>
          </cell>
          <cell r="GH140" t="str">
            <v>0495wi03 Uniform - Termoscudo Easy Flat - with Swisspacer V</v>
          </cell>
          <cell r="GL140" t="str">
            <v xml:space="preserve">0238vl03 KWL EC 2000 D - Helios </v>
          </cell>
        </row>
        <row r="141">
          <cell r="FZ141">
            <v>0</v>
          </cell>
          <cell r="GD141">
            <v>0</v>
          </cell>
          <cell r="GH141" t="str">
            <v>0496wi03 Uniform - Termoscudo Easy Line - with Swisspacer V</v>
          </cell>
          <cell r="GL141" t="str">
            <v xml:space="preserve">0240vl03 LG 1400 System VENTECH (non-residential building) - PICHLER </v>
          </cell>
        </row>
        <row r="142">
          <cell r="FZ142">
            <v>0</v>
          </cell>
          <cell r="GD142">
            <v>0</v>
          </cell>
          <cell r="GH142" t="str">
            <v>0467wi03 Vale Passive Window Partnership - The Vale Passive Window - with Swisspacer V</v>
          </cell>
          <cell r="GL142" t="str">
            <v xml:space="preserve">0012vl03 LG 1400 System VENTECH (residential building) - PICHLER </v>
          </cell>
        </row>
        <row r="143">
          <cell r="FZ143">
            <v>0</v>
          </cell>
          <cell r="GD143">
            <v>0</v>
          </cell>
          <cell r="GH143" t="str">
            <v>0098wi03 Variotec - ENEF phA - with, Super Spacer TriSeal PU</v>
          </cell>
          <cell r="GL143" t="str">
            <v xml:space="preserve">0241vl03 LG 3200 System VENTECH (non-residential building) - PICHLER </v>
          </cell>
        </row>
        <row r="144">
          <cell r="FZ144">
            <v>0</v>
          </cell>
          <cell r="GD144">
            <v>0</v>
          </cell>
          <cell r="GH144" t="str">
            <v>0097wi03 Variotec - Energyframe - with Thermix</v>
          </cell>
          <cell r="GL144" t="str">
            <v xml:space="preserve">0013vl03 LG 3200 System VENTECH (residential building) - PICHLER </v>
          </cell>
        </row>
        <row r="145">
          <cell r="FZ145">
            <v>0</v>
          </cell>
          <cell r="GD145">
            <v>0</v>
          </cell>
          <cell r="GH145" t="str">
            <v>0100wi03 Verhagen Ramen - Prominent PH - with Swisspacer V</v>
          </cell>
          <cell r="GL145" t="str">
            <v xml:space="preserve">0242vl03 LG 4000 System VENTECH - PICHLER </v>
          </cell>
        </row>
        <row r="146">
          <cell r="FZ146">
            <v>0</v>
          </cell>
          <cell r="GD146">
            <v>0</v>
          </cell>
          <cell r="GH146" t="str">
            <v>0103wi03 Wiegand - DW-plus integral FI - with Swisspacer V</v>
          </cell>
          <cell r="GL146" t="str">
            <v xml:space="preserve">0540vl03 LG 6000 System VENTECH - PICHLER </v>
          </cell>
        </row>
        <row r="147">
          <cell r="FZ147">
            <v>0</v>
          </cell>
          <cell r="GD147">
            <v>0</v>
          </cell>
          <cell r="GH147" t="str">
            <v>0104wi03 Wiegand - DW-plus integral KI - with Swisspacer V</v>
          </cell>
          <cell r="GL147" t="str">
            <v>0239vl03 MAXK-I3 2000 DC (non-residential building) - Lüfta</v>
          </cell>
        </row>
        <row r="148">
          <cell r="FZ148">
            <v>0</v>
          </cell>
          <cell r="GD148">
            <v>0</v>
          </cell>
          <cell r="GH148" t="str">
            <v>0105wi03 Wiegand - WIEGAND-DW-Plus - with Thermix</v>
          </cell>
          <cell r="GL148" t="str">
            <v>0014vl03 MAXK-I3 2000 DC (residential building) - Lüfta</v>
          </cell>
        </row>
        <row r="149">
          <cell r="FZ149">
            <v>0</v>
          </cell>
          <cell r="GD149">
            <v>0</v>
          </cell>
          <cell r="GH149" t="str">
            <v>0106wi03 YUNG-KI  - Fedora - with Super Spacer TriSeal</v>
          </cell>
          <cell r="GL149" t="str">
            <v>0015vl03 MAXK-I3 7000DC - Lüfta</v>
          </cell>
        </row>
        <row r="150">
          <cell r="FZ150">
            <v>0</v>
          </cell>
          <cell r="GD150">
            <v>0</v>
          </cell>
          <cell r="GH150" t="str">
            <v>0205fx03 batimet - TA35 SE fixed glazing - with SwisspacerV</v>
          </cell>
          <cell r="GL150" t="str">
            <v>0528vl03 RTV 3400 - AirXpert</v>
          </cell>
        </row>
        <row r="151">
          <cell r="FZ151">
            <v>0</v>
          </cell>
          <cell r="GD151">
            <v>0</v>
          </cell>
          <cell r="GH151" t="str">
            <v>0206fx03 Glas Trösch - Composite Glazing - fixed glazing - with ACS plus</v>
          </cell>
          <cell r="GL151" t="str">
            <v>0115vl03 Vario 1000 SE - Heinemann</v>
          </cell>
        </row>
        <row r="152">
          <cell r="FZ152">
            <v>0</v>
          </cell>
          <cell r="GD152">
            <v>0</v>
          </cell>
          <cell r="GH152" t="str">
            <v>0122fx03 pro Passivhausfenster - SmartWinFix - with Swisspacer V</v>
          </cell>
          <cell r="GL152" t="str">
            <v>0235vl03 Vario 1500 SE - Heinemann</v>
          </cell>
        </row>
        <row r="153">
          <cell r="FZ153">
            <v>0</v>
          </cell>
          <cell r="GD153">
            <v>0</v>
          </cell>
          <cell r="GH153" t="str">
            <v>0124fx03 TROHA-DIL - BLUEGREEN Petra - with Swisspcer V</v>
          </cell>
          <cell r="GL153" t="str">
            <v>0236vl03 Vario 2500 SE - Heinemann</v>
          </cell>
        </row>
        <row r="154">
          <cell r="FZ154">
            <v>0</v>
          </cell>
          <cell r="GD154">
            <v>0</v>
          </cell>
          <cell r="GH154" t="str">
            <v>0222cw03 Alcoa - Fassade AA100 HI - with Swissspacer</v>
          </cell>
          <cell r="GL154" t="str">
            <v>0116vl03 Vario 3500 SE - Heinemann</v>
          </cell>
        </row>
        <row r="155">
          <cell r="FZ155">
            <v>0</v>
          </cell>
          <cell r="GD155">
            <v>0</v>
          </cell>
          <cell r="GH155" t="str">
            <v>0155cw03 batimet - TM50 SE - with Swisspacer V</v>
          </cell>
          <cell r="GL155">
            <v>0</v>
          </cell>
        </row>
        <row r="156">
          <cell r="FZ156">
            <v>0</v>
          </cell>
          <cell r="GD156">
            <v>0</v>
          </cell>
          <cell r="GH156" t="str">
            <v>0223cw03 Glas Trösch - Composite glazing facade - with ACS plus</v>
          </cell>
          <cell r="GL156">
            <v>0</v>
          </cell>
        </row>
        <row r="157">
          <cell r="FZ157">
            <v>0</v>
          </cell>
          <cell r="GD157">
            <v>0</v>
          </cell>
          <cell r="GH157" t="str">
            <v>0156cw03 GUTMANN  - Lara GF 50 - PH - with Swisspacer V</v>
          </cell>
          <cell r="GL157">
            <v>0</v>
          </cell>
        </row>
        <row r="158">
          <cell r="FZ158">
            <v>0</v>
          </cell>
          <cell r="GD158">
            <v>0</v>
          </cell>
          <cell r="GH158" t="str">
            <v>0157cw03 Jansen - VISS HI - with Swisspacer V</v>
          </cell>
          <cell r="GL158">
            <v>0</v>
          </cell>
        </row>
        <row r="159">
          <cell r="FZ159">
            <v>0</v>
          </cell>
          <cell r="GD159">
            <v>0</v>
          </cell>
          <cell r="GH159" t="str">
            <v>0158cw03 LAMILUX - LAMILUX CI-System Glasarchitektur PRenergysave (vertical) - with Super Spacer TriSeal PU</v>
          </cell>
          <cell r="GL159">
            <v>0</v>
          </cell>
        </row>
        <row r="160">
          <cell r="FZ160">
            <v>0</v>
          </cell>
          <cell r="GD160">
            <v>0</v>
          </cell>
          <cell r="GH160" t="str">
            <v>0160cw03 MBJ Fassadentechnik - System Holz - PH - with Swisspacer V</v>
          </cell>
          <cell r="GL160">
            <v>0</v>
          </cell>
        </row>
        <row r="161">
          <cell r="FZ161">
            <v>0</v>
          </cell>
          <cell r="GD161">
            <v>0</v>
          </cell>
          <cell r="GH161" t="str">
            <v>0212cw03 RAICO - THERM+ 50 H-V (PH insulation block) - with Swisspacer V</v>
          </cell>
          <cell r="GL161">
            <v>0</v>
          </cell>
        </row>
        <row r="162">
          <cell r="FZ162">
            <v>0</v>
          </cell>
          <cell r="GD162">
            <v>0</v>
          </cell>
          <cell r="GH162" t="str">
            <v>0211cw03 RAICO - THERM+ 50 S-I (vertical) - with Swisspacer V</v>
          </cell>
          <cell r="GL162">
            <v>0</v>
          </cell>
        </row>
        <row r="163">
          <cell r="FZ163">
            <v>0</v>
          </cell>
          <cell r="GD163">
            <v>0</v>
          </cell>
          <cell r="GH163" t="str">
            <v>0161cw03 RAICO  - THERM+ 50 A-V - with Swisspacer V</v>
          </cell>
          <cell r="GL163">
            <v>0</v>
          </cell>
        </row>
        <row r="164">
          <cell r="FZ164">
            <v>0</v>
          </cell>
          <cell r="GD164">
            <v>0</v>
          </cell>
          <cell r="GH164" t="str">
            <v>0166cw03 RAICO  - THERM+ 50 H-i - with Swisspacer V</v>
          </cell>
          <cell r="GL164">
            <v>0</v>
          </cell>
        </row>
        <row r="165">
          <cell r="FZ165">
            <v>0</v>
          </cell>
          <cell r="GD165">
            <v>0</v>
          </cell>
          <cell r="GH165" t="str">
            <v>0163cw03 RAICO  - THERM+ 50 H-V - with Swisspacer V</v>
          </cell>
          <cell r="GL165">
            <v>0</v>
          </cell>
        </row>
        <row r="166">
          <cell r="FZ166">
            <v>0</v>
          </cell>
          <cell r="GD166">
            <v>0</v>
          </cell>
          <cell r="GH166" t="str">
            <v>0170cw03 RAICO  - THERM+ 50 S-i T-Profil - with Swisspacer V</v>
          </cell>
          <cell r="GL166">
            <v>0</v>
          </cell>
        </row>
        <row r="167">
          <cell r="FZ167">
            <v>0</v>
          </cell>
          <cell r="GD167">
            <v>0</v>
          </cell>
          <cell r="GH167" t="str">
            <v>0162cw03 RAICO  - THERM+ 56 A-V - with Swisspacer V</v>
          </cell>
          <cell r="GL167">
            <v>0</v>
          </cell>
        </row>
        <row r="168">
          <cell r="FZ168">
            <v>0</v>
          </cell>
          <cell r="GD168">
            <v>0</v>
          </cell>
          <cell r="GH168" t="str">
            <v>0167cw03 RAICO  - THERM+ 56 H-i - with Swisspacer V</v>
          </cell>
          <cell r="GL168">
            <v>0</v>
          </cell>
        </row>
        <row r="169">
          <cell r="FZ169">
            <v>0</v>
          </cell>
          <cell r="GD169">
            <v>0</v>
          </cell>
          <cell r="GH169" t="str">
            <v>0164cw03 RAICO  - THERM+ 56 H-V - with Swisspacer V</v>
          </cell>
          <cell r="GL169">
            <v>0</v>
          </cell>
        </row>
        <row r="170">
          <cell r="FZ170">
            <v>0</v>
          </cell>
          <cell r="GD170">
            <v>0</v>
          </cell>
          <cell r="GH170" t="str">
            <v>0171cw03 RAICO  - THERM+ 56 S-i - with Swisspacer V</v>
          </cell>
          <cell r="GL170">
            <v>0</v>
          </cell>
        </row>
        <row r="171">
          <cell r="FZ171">
            <v>0</v>
          </cell>
          <cell r="GD171">
            <v>0</v>
          </cell>
          <cell r="GH171" t="str">
            <v>0168cw03 RAICO  - THERM+ 76 H-i - with Swisspacer V</v>
          </cell>
          <cell r="GL171">
            <v>0</v>
          </cell>
        </row>
        <row r="172">
          <cell r="FZ172">
            <v>0</v>
          </cell>
          <cell r="GD172">
            <v>0</v>
          </cell>
          <cell r="GH172" t="str">
            <v>0165cw03 RAICO  - THERM+ 76 H-V - with Swisspacer V</v>
          </cell>
          <cell r="GL172">
            <v>0</v>
          </cell>
        </row>
        <row r="173">
          <cell r="FZ173">
            <v>0</v>
          </cell>
          <cell r="GD173">
            <v>0</v>
          </cell>
          <cell r="GH173" t="str">
            <v>0213cw03 REHAU - Fassadensystem REHAU-Polytec 50 S - with Swisspacer V</v>
          </cell>
          <cell r="GL173">
            <v>0</v>
          </cell>
        </row>
        <row r="174">
          <cell r="FZ174">
            <v>0</v>
          </cell>
          <cell r="GD174">
            <v>0</v>
          </cell>
          <cell r="GH174" t="str">
            <v>0215cw03 Schüco - Schüco AOC 50 ST.SI (vertical) - with Swisspacer V PU</v>
          </cell>
          <cell r="GL174">
            <v>0</v>
          </cell>
        </row>
        <row r="175">
          <cell r="FZ175">
            <v>0</v>
          </cell>
          <cell r="GD175">
            <v>0</v>
          </cell>
          <cell r="GH175" t="str">
            <v>0214cw03 Schüco - Schüco AOC 50 TI.SI (vertical) - with Swisspacer V</v>
          </cell>
          <cell r="GL175">
            <v>0</v>
          </cell>
        </row>
        <row r="176">
          <cell r="FZ176">
            <v>0</v>
          </cell>
          <cell r="GD176">
            <v>0</v>
          </cell>
          <cell r="GH176" t="str">
            <v>0217cw03 Schüco - Schüco AOC 60 ST.SI (vertical) - with Swisspacer V PU</v>
          </cell>
          <cell r="GL176">
            <v>0</v>
          </cell>
        </row>
        <row r="177">
          <cell r="FZ177">
            <v>0</v>
          </cell>
          <cell r="GD177">
            <v>0</v>
          </cell>
          <cell r="GH177" t="str">
            <v>0216cw03 Schüco - Schüco AOC 60 TI.SI (vertical) - with Swisspacer V</v>
          </cell>
          <cell r="GL177">
            <v>0</v>
          </cell>
        </row>
        <row r="178">
          <cell r="FZ178">
            <v>0</v>
          </cell>
          <cell r="GD178">
            <v>0</v>
          </cell>
          <cell r="GH178" t="str">
            <v>0451cw03 Schüco - Schüco FW 50+.SI green - with Swisspacer Ultimate</v>
          </cell>
          <cell r="GL178">
            <v>0</v>
          </cell>
        </row>
        <row r="179">
          <cell r="FZ179">
            <v>0</v>
          </cell>
          <cell r="GD179">
            <v>0</v>
          </cell>
          <cell r="GH179" t="str">
            <v>0173cw03 Schüco - Schüco FW 50+.SI Passive House certified (Aluminium pressure plate) - with Swisspacer V</v>
          </cell>
          <cell r="GL179">
            <v>0</v>
          </cell>
        </row>
        <row r="180">
          <cell r="FZ180">
            <v>0</v>
          </cell>
          <cell r="GD180">
            <v>0</v>
          </cell>
          <cell r="GH180" t="str">
            <v>0175cw03 Schüco - Schüco FW 60+.SI Passive House certified (Aluminium pressure plate) - with Swisspacer V</v>
          </cell>
          <cell r="GL180">
            <v>0</v>
          </cell>
        </row>
        <row r="181">
          <cell r="FZ181">
            <v>0</v>
          </cell>
          <cell r="GD181">
            <v>0</v>
          </cell>
          <cell r="GH181" t="str">
            <v>0538ic03 JET - BA5/6 PH, Glasdach - with Swisspacer V</v>
          </cell>
          <cell r="GL181">
            <v>0</v>
          </cell>
        </row>
        <row r="182">
          <cell r="FZ182">
            <v>0</v>
          </cell>
          <cell r="GD182">
            <v>0</v>
          </cell>
          <cell r="GH182" t="str">
            <v>0159ic03 LAMILUX - LAMILUX CI-System Glasarchitektur Prenergysave (inclined) - with Super Spacer TriSeal PU</v>
          </cell>
          <cell r="GL182">
            <v>0</v>
          </cell>
        </row>
        <row r="183">
          <cell r="FZ183">
            <v>0</v>
          </cell>
          <cell r="GD183">
            <v>0</v>
          </cell>
          <cell r="GH183" t="str">
            <v>0208ic03 RAICO - THERM+ 50 A-I (inclined) - with Swisspacer V</v>
          </cell>
          <cell r="GL183">
            <v>0</v>
          </cell>
        </row>
        <row r="184">
          <cell r="FZ184">
            <v>0</v>
          </cell>
          <cell r="GD184">
            <v>0</v>
          </cell>
          <cell r="GH184" t="str">
            <v>0210ic03 RAICO - THERM+ 50 H-I (inclined) - with Swisspacer V</v>
          </cell>
          <cell r="GL184">
            <v>0</v>
          </cell>
        </row>
        <row r="185">
          <cell r="FZ185">
            <v>0</v>
          </cell>
          <cell r="GD185">
            <v>0</v>
          </cell>
          <cell r="GH185" t="str">
            <v>0209ic03 RAICO - THERM+ 50 S-I (inclined) - with Swisspacer V</v>
          </cell>
          <cell r="GL185">
            <v>0</v>
          </cell>
        </row>
        <row r="186">
          <cell r="FZ186">
            <v>0</v>
          </cell>
          <cell r="GD186">
            <v>0</v>
          </cell>
          <cell r="GH186" t="str">
            <v>0219ic03 Schüco - Schüco AOC 50 ST.SI (inclined) - with Swisspacer V</v>
          </cell>
          <cell r="GL186">
            <v>0</v>
          </cell>
        </row>
        <row r="187">
          <cell r="FZ187">
            <v>0</v>
          </cell>
          <cell r="GD187">
            <v>0</v>
          </cell>
          <cell r="GH187" t="str">
            <v>0218ic03 Schüco - Schüco AOC 50 TI.SI (inclined) - with Swisspacer V</v>
          </cell>
          <cell r="GL187">
            <v>0</v>
          </cell>
        </row>
        <row r="188">
          <cell r="FZ188">
            <v>0</v>
          </cell>
          <cell r="GD188">
            <v>0</v>
          </cell>
          <cell r="GH188" t="str">
            <v>0473rw03 Fakro - FTT U8 Thermo 2012 - withTGI</v>
          </cell>
          <cell r="GL188">
            <v>0</v>
          </cell>
        </row>
        <row r="189">
          <cell r="FZ189">
            <v>0</v>
          </cell>
          <cell r="GD189">
            <v>0</v>
          </cell>
          <cell r="GH189" t="str">
            <v>0396rw03 illumino - Solid - with SwisspacerV</v>
          </cell>
          <cell r="GL189">
            <v>0</v>
          </cell>
        </row>
        <row r="190">
          <cell r="FZ190">
            <v>0</v>
          </cell>
          <cell r="GD190">
            <v>0</v>
          </cell>
          <cell r="GH190" t="str">
            <v>0395rw03 VELUX - GGL --6265 - with Thermix.N</v>
          </cell>
          <cell r="GL190">
            <v>0</v>
          </cell>
        </row>
        <row r="191">
          <cell r="FZ191">
            <v>0</v>
          </cell>
          <cell r="GD191">
            <v>0</v>
          </cell>
          <cell r="GH191" t="str">
            <v>0394sl03 Börner - Nauheimer skylight dome - no spacer</v>
          </cell>
          <cell r="GL191">
            <v>0</v>
          </cell>
        </row>
        <row r="192">
          <cell r="FZ192">
            <v>0</v>
          </cell>
          <cell r="GD192">
            <v>0</v>
          </cell>
          <cell r="GH192" t="str">
            <v>0203sl03 Glas Trösch - Composite Glazing - fixed glazing - withACS plus</v>
          </cell>
          <cell r="GL192">
            <v>0</v>
          </cell>
        </row>
        <row r="193">
          <cell r="FZ193">
            <v>0</v>
          </cell>
          <cell r="GD193">
            <v>0</v>
          </cell>
          <cell r="GH193" t="str">
            <v>0202sl03 LAMILUX - LAMILUX CI-System Glaselement Feenergysave - with ACS plus</v>
          </cell>
          <cell r="GL193">
            <v>0</v>
          </cell>
        </row>
        <row r="194">
          <cell r="FZ194">
            <v>0</v>
          </cell>
          <cell r="GD194">
            <v>0</v>
          </cell>
          <cell r="GH194" t="str">
            <v>0453sl02 LAMILUX - LAMILUX CI-System Glaselement Feenergysave+ - with ACS plus</v>
          </cell>
          <cell r="GL194">
            <v>0</v>
          </cell>
        </row>
        <row r="195">
          <cell r="FZ195">
            <v>0</v>
          </cell>
          <cell r="GD195">
            <v>0</v>
          </cell>
          <cell r="GH195" t="str">
            <v>0454sl03 LAMILUX - LAMILUX CI-System Glaselement Feenergysave+ - with ACS plus</v>
          </cell>
          <cell r="GL195">
            <v>0</v>
          </cell>
        </row>
        <row r="196">
          <cell r="FZ196">
            <v>0</v>
          </cell>
          <cell r="GD196">
            <v>0</v>
          </cell>
          <cell r="GH196" t="str">
            <v>0016wc03 ARGE Holzfenster - The Salzburg Passive House window - with Thermix</v>
          </cell>
          <cell r="GL196">
            <v>0</v>
          </cell>
        </row>
        <row r="197">
          <cell r="FZ197">
            <v>0</v>
          </cell>
          <cell r="GD197">
            <v>0</v>
          </cell>
          <cell r="GH197" t="str">
            <v>0020wc03 Hain - Parco Thermo door casing - with Thermix</v>
          </cell>
          <cell r="GL197">
            <v>0</v>
          </cell>
        </row>
        <row r="198">
          <cell r="FZ198">
            <v>0</v>
          </cell>
          <cell r="GD198">
            <v>0</v>
          </cell>
          <cell r="GH198" t="str">
            <v>0018wc03 OPTIWIN  - Zwoa2Holz - with Swisspacer V</v>
          </cell>
          <cell r="GL198">
            <v>0</v>
          </cell>
        </row>
        <row r="199">
          <cell r="FZ199">
            <v>0</v>
          </cell>
          <cell r="GD199">
            <v>0</v>
          </cell>
          <cell r="GH199" t="str">
            <v>0022wc03 OPTIWIN - Alu2Holz - with Swisspacer V</v>
          </cell>
          <cell r="GL199">
            <v>0</v>
          </cell>
        </row>
        <row r="200">
          <cell r="FZ200">
            <v>0</v>
          </cell>
          <cell r="GD200">
            <v>0</v>
          </cell>
          <cell r="GH200" t="str">
            <v>0019wc03 Sigg - Passivhaus Venster - with Thermix</v>
          </cell>
          <cell r="GL200">
            <v>0</v>
          </cell>
        </row>
        <row r="201">
          <cell r="FZ201">
            <v>0</v>
          </cell>
          <cell r="GD201">
            <v>0</v>
          </cell>
          <cell r="GH201" t="str">
            <v>0021wc03 Weiskircher - WGO-Passiv - with Swisspacer V</v>
          </cell>
          <cell r="GL201">
            <v>0</v>
          </cell>
        </row>
        <row r="202">
          <cell r="FZ202">
            <v>0</v>
          </cell>
          <cell r="GD202">
            <v>0</v>
          </cell>
          <cell r="GH202" t="str">
            <v>0400sd03 dPHt - Delta plus sliding doors (sliding element) with Swisspacer V</v>
          </cell>
          <cell r="GL202">
            <v>0</v>
          </cell>
        </row>
        <row r="203">
          <cell r="FZ203">
            <v>0</v>
          </cell>
          <cell r="GD203">
            <v>0</v>
          </cell>
          <cell r="GH203" t="str">
            <v>0515sd03 OPTIWIN - MOTURA (Schiebeelement) with acs+</v>
          </cell>
          <cell r="GL203">
            <v>0</v>
          </cell>
        </row>
        <row r="204">
          <cell r="FZ204">
            <v>0</v>
          </cell>
          <cell r="GD204">
            <v>0</v>
          </cell>
          <cell r="GH204" t="str">
            <v>0399sd03 pro Passivhausfenster - smartwin sliding element with Swisspacer V</v>
          </cell>
          <cell r="GL204">
            <v>0</v>
          </cell>
        </row>
        <row r="205">
          <cell r="FZ205">
            <v>0</v>
          </cell>
          <cell r="GD205">
            <v>0</v>
          </cell>
          <cell r="GH205">
            <v>0</v>
          </cell>
          <cell r="GL205">
            <v>0</v>
          </cell>
        </row>
        <row r="206">
          <cell r="FZ206">
            <v>0</v>
          </cell>
          <cell r="GD206">
            <v>0</v>
          </cell>
          <cell r="GH206">
            <v>0</v>
          </cell>
          <cell r="GL206">
            <v>0</v>
          </cell>
        </row>
        <row r="207">
          <cell r="FZ207">
            <v>0</v>
          </cell>
          <cell r="GD207">
            <v>0</v>
          </cell>
          <cell r="GH207">
            <v>0</v>
          </cell>
          <cell r="GL207">
            <v>0</v>
          </cell>
        </row>
        <row r="208">
          <cell r="FZ208">
            <v>0</v>
          </cell>
          <cell r="GD208">
            <v>0</v>
          </cell>
          <cell r="GH208">
            <v>0</v>
          </cell>
          <cell r="GL208">
            <v>0</v>
          </cell>
        </row>
        <row r="209">
          <cell r="FZ209">
            <v>0</v>
          </cell>
          <cell r="GD209">
            <v>0</v>
          </cell>
          <cell r="GH209">
            <v>0</v>
          </cell>
          <cell r="GL209">
            <v>0</v>
          </cell>
        </row>
        <row r="210">
          <cell r="FZ210">
            <v>0</v>
          </cell>
          <cell r="GD210">
            <v>0</v>
          </cell>
          <cell r="GH210">
            <v>0</v>
          </cell>
          <cell r="GL210">
            <v>0</v>
          </cell>
        </row>
        <row r="211">
          <cell r="FZ211">
            <v>0</v>
          </cell>
          <cell r="GD211">
            <v>0</v>
          </cell>
          <cell r="GH211">
            <v>0</v>
          </cell>
          <cell r="GL211">
            <v>0</v>
          </cell>
        </row>
        <row r="212">
          <cell r="FZ212">
            <v>0</v>
          </cell>
          <cell r="GD212">
            <v>0</v>
          </cell>
          <cell r="GH212">
            <v>0</v>
          </cell>
          <cell r="GL212">
            <v>0</v>
          </cell>
        </row>
        <row r="213">
          <cell r="FZ213">
            <v>0</v>
          </cell>
          <cell r="GD213">
            <v>0</v>
          </cell>
          <cell r="GH213">
            <v>0</v>
          </cell>
          <cell r="GL213">
            <v>0</v>
          </cell>
        </row>
        <row r="214">
          <cell r="FZ214">
            <v>0</v>
          </cell>
          <cell r="GD214">
            <v>0</v>
          </cell>
          <cell r="GH214">
            <v>0</v>
          </cell>
          <cell r="GL214">
            <v>0</v>
          </cell>
        </row>
        <row r="215">
          <cell r="FZ215">
            <v>0</v>
          </cell>
          <cell r="GD215">
            <v>0</v>
          </cell>
          <cell r="GH215">
            <v>0</v>
          </cell>
          <cell r="GL215">
            <v>0</v>
          </cell>
        </row>
        <row r="216">
          <cell r="FZ216">
            <v>0</v>
          </cell>
          <cell r="GD216">
            <v>0</v>
          </cell>
          <cell r="GH216">
            <v>0</v>
          </cell>
          <cell r="GL216">
            <v>0</v>
          </cell>
        </row>
        <row r="217">
          <cell r="FZ217">
            <v>0</v>
          </cell>
          <cell r="GD217">
            <v>0</v>
          </cell>
          <cell r="GH217">
            <v>0</v>
          </cell>
          <cell r="GL217">
            <v>0</v>
          </cell>
        </row>
        <row r="218">
          <cell r="FZ218">
            <v>0</v>
          </cell>
          <cell r="GD218">
            <v>0</v>
          </cell>
          <cell r="GH218">
            <v>0</v>
          </cell>
          <cell r="GL218">
            <v>0</v>
          </cell>
        </row>
        <row r="219">
          <cell r="FZ219">
            <v>0</v>
          </cell>
          <cell r="GD219">
            <v>0</v>
          </cell>
          <cell r="GH219">
            <v>0</v>
          </cell>
          <cell r="GL219">
            <v>0</v>
          </cell>
        </row>
        <row r="220">
          <cell r="FZ220">
            <v>0</v>
          </cell>
          <cell r="GD220">
            <v>0</v>
          </cell>
          <cell r="GH220">
            <v>0</v>
          </cell>
          <cell r="GL220">
            <v>0</v>
          </cell>
        </row>
        <row r="221">
          <cell r="FZ221">
            <v>0</v>
          </cell>
          <cell r="GD221">
            <v>0</v>
          </cell>
          <cell r="GH221">
            <v>0</v>
          </cell>
          <cell r="GL221">
            <v>0</v>
          </cell>
        </row>
        <row r="222">
          <cell r="FZ222">
            <v>0</v>
          </cell>
          <cell r="GD222">
            <v>0</v>
          </cell>
          <cell r="GH222">
            <v>0</v>
          </cell>
          <cell r="GL222">
            <v>0</v>
          </cell>
        </row>
        <row r="223">
          <cell r="FZ223">
            <v>0</v>
          </cell>
          <cell r="GD223">
            <v>0</v>
          </cell>
          <cell r="GH223">
            <v>0</v>
          </cell>
          <cell r="GL223">
            <v>0</v>
          </cell>
        </row>
        <row r="224">
          <cell r="FZ224">
            <v>0</v>
          </cell>
          <cell r="GD224">
            <v>0</v>
          </cell>
          <cell r="GH224">
            <v>0</v>
          </cell>
          <cell r="GL224">
            <v>0</v>
          </cell>
        </row>
        <row r="225">
          <cell r="FZ225">
            <v>0</v>
          </cell>
          <cell r="GD225">
            <v>0</v>
          </cell>
          <cell r="GH225">
            <v>0</v>
          </cell>
          <cell r="GL225">
            <v>0</v>
          </cell>
        </row>
        <row r="226">
          <cell r="FZ226">
            <v>0</v>
          </cell>
          <cell r="GD226">
            <v>0</v>
          </cell>
          <cell r="GH226">
            <v>0</v>
          </cell>
          <cell r="GL226">
            <v>0</v>
          </cell>
        </row>
        <row r="227">
          <cell r="FZ227">
            <v>0</v>
          </cell>
          <cell r="GD227">
            <v>0</v>
          </cell>
          <cell r="GH227">
            <v>0</v>
          </cell>
          <cell r="GL227">
            <v>0</v>
          </cell>
        </row>
        <row r="228">
          <cell r="FZ228">
            <v>0</v>
          </cell>
          <cell r="GD228">
            <v>0</v>
          </cell>
          <cell r="GH228">
            <v>0</v>
          </cell>
          <cell r="GL228">
            <v>0</v>
          </cell>
        </row>
        <row r="229">
          <cell r="FZ229">
            <v>0</v>
          </cell>
          <cell r="GD229">
            <v>0</v>
          </cell>
          <cell r="GH229">
            <v>0</v>
          </cell>
          <cell r="GL229">
            <v>0</v>
          </cell>
        </row>
        <row r="230">
          <cell r="FZ230">
            <v>0</v>
          </cell>
          <cell r="GD230">
            <v>0</v>
          </cell>
          <cell r="GH230">
            <v>0</v>
          </cell>
          <cell r="GL230">
            <v>0</v>
          </cell>
        </row>
        <row r="231">
          <cell r="FZ231">
            <v>0</v>
          </cell>
          <cell r="GD231">
            <v>0</v>
          </cell>
          <cell r="GH231">
            <v>0</v>
          </cell>
          <cell r="GL231">
            <v>0</v>
          </cell>
        </row>
        <row r="232">
          <cell r="FZ232">
            <v>0</v>
          </cell>
          <cell r="GD232">
            <v>0</v>
          </cell>
          <cell r="GH232">
            <v>0</v>
          </cell>
          <cell r="GL232">
            <v>0</v>
          </cell>
        </row>
        <row r="233">
          <cell r="FZ233">
            <v>0</v>
          </cell>
          <cell r="GD233">
            <v>0</v>
          </cell>
          <cell r="GH233">
            <v>0</v>
          </cell>
          <cell r="GL233">
            <v>0</v>
          </cell>
        </row>
        <row r="234">
          <cell r="FZ234">
            <v>0</v>
          </cell>
          <cell r="GD234">
            <v>0</v>
          </cell>
          <cell r="GH234">
            <v>0</v>
          </cell>
          <cell r="GL234">
            <v>0</v>
          </cell>
        </row>
        <row r="235">
          <cell r="FZ235">
            <v>0</v>
          </cell>
          <cell r="GD235">
            <v>0</v>
          </cell>
          <cell r="GH235">
            <v>0</v>
          </cell>
          <cell r="GL235">
            <v>0</v>
          </cell>
        </row>
        <row r="236">
          <cell r="FZ236">
            <v>0</v>
          </cell>
          <cell r="GD236">
            <v>0</v>
          </cell>
          <cell r="GH236">
            <v>0</v>
          </cell>
          <cell r="GL236">
            <v>0</v>
          </cell>
        </row>
        <row r="237">
          <cell r="FZ237">
            <v>0</v>
          </cell>
          <cell r="GD237">
            <v>0</v>
          </cell>
          <cell r="GH237">
            <v>0</v>
          </cell>
          <cell r="GL237">
            <v>0</v>
          </cell>
        </row>
        <row r="238">
          <cell r="FZ238">
            <v>0</v>
          </cell>
          <cell r="GD238">
            <v>0</v>
          </cell>
          <cell r="GH238">
            <v>0</v>
          </cell>
          <cell r="GL238">
            <v>0</v>
          </cell>
        </row>
        <row r="239">
          <cell r="FZ239">
            <v>0</v>
          </cell>
          <cell r="GD239">
            <v>0</v>
          </cell>
          <cell r="GH239">
            <v>0</v>
          </cell>
          <cell r="GL239">
            <v>0</v>
          </cell>
        </row>
        <row r="240">
          <cell r="FZ240">
            <v>0</v>
          </cell>
          <cell r="GD240">
            <v>0</v>
          </cell>
          <cell r="GH240">
            <v>0</v>
          </cell>
          <cell r="GL240">
            <v>0</v>
          </cell>
        </row>
        <row r="241">
          <cell r="FZ241">
            <v>0</v>
          </cell>
          <cell r="GD241">
            <v>0</v>
          </cell>
          <cell r="GH241">
            <v>0</v>
          </cell>
          <cell r="GL241">
            <v>0</v>
          </cell>
        </row>
        <row r="242">
          <cell r="FZ242">
            <v>0</v>
          </cell>
          <cell r="GD242">
            <v>0</v>
          </cell>
          <cell r="GH242">
            <v>0</v>
          </cell>
          <cell r="GL242">
            <v>0</v>
          </cell>
        </row>
        <row r="243">
          <cell r="FZ243">
            <v>0</v>
          </cell>
          <cell r="GD243">
            <v>0</v>
          </cell>
          <cell r="GH243">
            <v>0</v>
          </cell>
          <cell r="GL243">
            <v>0</v>
          </cell>
        </row>
        <row r="244">
          <cell r="FZ244">
            <v>0</v>
          </cell>
          <cell r="GD244">
            <v>0</v>
          </cell>
          <cell r="GH244">
            <v>0</v>
          </cell>
          <cell r="GL244">
            <v>0</v>
          </cell>
        </row>
        <row r="245">
          <cell r="FZ245">
            <v>0</v>
          </cell>
          <cell r="GD245">
            <v>0</v>
          </cell>
          <cell r="GH245">
            <v>0</v>
          </cell>
          <cell r="GL245">
            <v>0</v>
          </cell>
        </row>
        <row r="246">
          <cell r="FZ246">
            <v>0</v>
          </cell>
          <cell r="GD246">
            <v>0</v>
          </cell>
          <cell r="GH246">
            <v>0</v>
          </cell>
          <cell r="GL246">
            <v>0</v>
          </cell>
        </row>
        <row r="247">
          <cell r="FZ247">
            <v>0</v>
          </cell>
          <cell r="GD247">
            <v>0</v>
          </cell>
          <cell r="GH247">
            <v>0</v>
          </cell>
          <cell r="GL247">
            <v>0</v>
          </cell>
        </row>
        <row r="248">
          <cell r="FZ248">
            <v>0</v>
          </cell>
          <cell r="GD248">
            <v>0</v>
          </cell>
          <cell r="GH248">
            <v>0</v>
          </cell>
          <cell r="GL248">
            <v>0</v>
          </cell>
        </row>
        <row r="249">
          <cell r="FZ249">
            <v>0</v>
          </cell>
          <cell r="GD249">
            <v>0</v>
          </cell>
          <cell r="GH249">
            <v>0</v>
          </cell>
          <cell r="GL249">
            <v>0</v>
          </cell>
        </row>
        <row r="250">
          <cell r="FZ250">
            <v>0</v>
          </cell>
          <cell r="GD250">
            <v>0</v>
          </cell>
          <cell r="GH250">
            <v>0</v>
          </cell>
          <cell r="GL250">
            <v>0</v>
          </cell>
        </row>
        <row r="251">
          <cell r="FZ251">
            <v>0</v>
          </cell>
          <cell r="GD251">
            <v>0</v>
          </cell>
          <cell r="GH251">
            <v>0</v>
          </cell>
          <cell r="GL251">
            <v>0</v>
          </cell>
        </row>
        <row r="252">
          <cell r="FZ252">
            <v>0</v>
          </cell>
          <cell r="GD252">
            <v>0</v>
          </cell>
          <cell r="GH252">
            <v>0</v>
          </cell>
          <cell r="GL252">
            <v>0</v>
          </cell>
        </row>
        <row r="253">
          <cell r="FZ253">
            <v>0</v>
          </cell>
          <cell r="GD253">
            <v>0</v>
          </cell>
          <cell r="GH253">
            <v>0</v>
          </cell>
          <cell r="GL253">
            <v>0</v>
          </cell>
        </row>
        <row r="254">
          <cell r="FZ254">
            <v>0</v>
          </cell>
          <cell r="GD254">
            <v>0</v>
          </cell>
          <cell r="GH254">
            <v>0</v>
          </cell>
          <cell r="GL254">
            <v>0</v>
          </cell>
        </row>
        <row r="255">
          <cell r="FZ255">
            <v>0</v>
          </cell>
          <cell r="GD255">
            <v>0</v>
          </cell>
          <cell r="GH255">
            <v>0</v>
          </cell>
          <cell r="GL255">
            <v>0</v>
          </cell>
        </row>
        <row r="256">
          <cell r="FZ256">
            <v>0</v>
          </cell>
          <cell r="GD256">
            <v>0</v>
          </cell>
          <cell r="GH256">
            <v>0</v>
          </cell>
          <cell r="GL256">
            <v>0</v>
          </cell>
        </row>
        <row r="257">
          <cell r="FZ257">
            <v>0</v>
          </cell>
          <cell r="GD257">
            <v>0</v>
          </cell>
          <cell r="GH257">
            <v>0</v>
          </cell>
          <cell r="GL257">
            <v>0</v>
          </cell>
        </row>
        <row r="258">
          <cell r="FZ258">
            <v>0</v>
          </cell>
          <cell r="GD258">
            <v>0</v>
          </cell>
          <cell r="GH258">
            <v>0</v>
          </cell>
          <cell r="GL258">
            <v>0</v>
          </cell>
        </row>
        <row r="259">
          <cell r="FZ259">
            <v>0</v>
          </cell>
          <cell r="GD259">
            <v>0</v>
          </cell>
          <cell r="GH259">
            <v>0</v>
          </cell>
          <cell r="GL259">
            <v>0</v>
          </cell>
        </row>
        <row r="260">
          <cell r="FZ260">
            <v>0</v>
          </cell>
          <cell r="GD260">
            <v>0</v>
          </cell>
          <cell r="GH260">
            <v>0</v>
          </cell>
          <cell r="GL260">
            <v>0</v>
          </cell>
        </row>
        <row r="261">
          <cell r="FZ261">
            <v>0</v>
          </cell>
          <cell r="GD261">
            <v>0</v>
          </cell>
          <cell r="GH261">
            <v>0</v>
          </cell>
          <cell r="GL261">
            <v>0</v>
          </cell>
        </row>
        <row r="262">
          <cell r="FZ262">
            <v>0</v>
          </cell>
          <cell r="GD262">
            <v>0</v>
          </cell>
          <cell r="GH262">
            <v>0</v>
          </cell>
          <cell r="GL262">
            <v>0</v>
          </cell>
        </row>
        <row r="263">
          <cell r="FZ263">
            <v>0</v>
          </cell>
          <cell r="GD263">
            <v>0</v>
          </cell>
          <cell r="GH263">
            <v>0</v>
          </cell>
          <cell r="GL263">
            <v>0</v>
          </cell>
        </row>
        <row r="264">
          <cell r="FZ264">
            <v>0</v>
          </cell>
          <cell r="GD264">
            <v>0</v>
          </cell>
          <cell r="GH264">
            <v>0</v>
          </cell>
          <cell r="GL264">
            <v>0</v>
          </cell>
        </row>
        <row r="265">
          <cell r="FZ265">
            <v>0</v>
          </cell>
          <cell r="GD265">
            <v>0</v>
          </cell>
          <cell r="GH265">
            <v>0</v>
          </cell>
          <cell r="GL265">
            <v>0</v>
          </cell>
        </row>
        <row r="266">
          <cell r="FZ266">
            <v>0</v>
          </cell>
          <cell r="GD266">
            <v>0</v>
          </cell>
          <cell r="GH266">
            <v>0</v>
          </cell>
          <cell r="GL266">
            <v>0</v>
          </cell>
        </row>
        <row r="267">
          <cell r="FZ267">
            <v>0</v>
          </cell>
          <cell r="GD267">
            <v>0</v>
          </cell>
          <cell r="GH267">
            <v>0</v>
          </cell>
          <cell r="GL267">
            <v>0</v>
          </cell>
        </row>
        <row r="268">
          <cell r="FZ268">
            <v>0</v>
          </cell>
          <cell r="GD268">
            <v>0</v>
          </cell>
          <cell r="GH268">
            <v>0</v>
          </cell>
          <cell r="GL268">
            <v>0</v>
          </cell>
        </row>
        <row r="269">
          <cell r="FZ269">
            <v>0</v>
          </cell>
          <cell r="GD269">
            <v>0</v>
          </cell>
          <cell r="GH269">
            <v>0</v>
          </cell>
          <cell r="GL269">
            <v>0</v>
          </cell>
        </row>
        <row r="270">
          <cell r="FZ270">
            <v>0</v>
          </cell>
          <cell r="GD270">
            <v>0</v>
          </cell>
          <cell r="GH270">
            <v>0</v>
          </cell>
          <cell r="GL270">
            <v>0</v>
          </cell>
        </row>
        <row r="271">
          <cell r="FZ271">
            <v>0</v>
          </cell>
          <cell r="GD271">
            <v>0</v>
          </cell>
          <cell r="GH271">
            <v>0</v>
          </cell>
          <cell r="GL271">
            <v>0</v>
          </cell>
        </row>
        <row r="272">
          <cell r="FZ272">
            <v>0</v>
          </cell>
          <cell r="GD272">
            <v>0</v>
          </cell>
          <cell r="GH272">
            <v>0</v>
          </cell>
          <cell r="GL272">
            <v>0</v>
          </cell>
        </row>
        <row r="273">
          <cell r="FZ273">
            <v>0</v>
          </cell>
          <cell r="GD273">
            <v>0</v>
          </cell>
          <cell r="GH273">
            <v>0</v>
          </cell>
          <cell r="GL273">
            <v>0</v>
          </cell>
        </row>
        <row r="274">
          <cell r="FZ274">
            <v>0</v>
          </cell>
          <cell r="GD274">
            <v>0</v>
          </cell>
          <cell r="GH274">
            <v>0</v>
          </cell>
          <cell r="GL274">
            <v>0</v>
          </cell>
        </row>
        <row r="275">
          <cell r="FZ275">
            <v>0</v>
          </cell>
          <cell r="GD275">
            <v>0</v>
          </cell>
          <cell r="GH275">
            <v>0</v>
          </cell>
          <cell r="GL275">
            <v>0</v>
          </cell>
        </row>
        <row r="276">
          <cell r="FZ276">
            <v>0</v>
          </cell>
          <cell r="GD276">
            <v>0</v>
          </cell>
          <cell r="GH276">
            <v>0</v>
          </cell>
          <cell r="GL276">
            <v>0</v>
          </cell>
        </row>
        <row r="277">
          <cell r="FZ277">
            <v>0</v>
          </cell>
          <cell r="GD277">
            <v>0</v>
          </cell>
          <cell r="GH277">
            <v>0</v>
          </cell>
          <cell r="GL277">
            <v>0</v>
          </cell>
        </row>
        <row r="278">
          <cell r="FZ278">
            <v>0</v>
          </cell>
          <cell r="GD278">
            <v>0</v>
          </cell>
          <cell r="GH278">
            <v>0</v>
          </cell>
          <cell r="GL278">
            <v>0</v>
          </cell>
        </row>
        <row r="279">
          <cell r="FZ279">
            <v>0</v>
          </cell>
          <cell r="GD279">
            <v>0</v>
          </cell>
          <cell r="GH279">
            <v>0</v>
          </cell>
          <cell r="GL279">
            <v>0</v>
          </cell>
        </row>
        <row r="280">
          <cell r="FZ280">
            <v>0</v>
          </cell>
          <cell r="GD280">
            <v>0</v>
          </cell>
          <cell r="GH280">
            <v>0</v>
          </cell>
          <cell r="GL280">
            <v>0</v>
          </cell>
        </row>
        <row r="281">
          <cell r="FZ281">
            <v>0</v>
          </cell>
          <cell r="GD281">
            <v>0</v>
          </cell>
          <cell r="GH281">
            <v>0</v>
          </cell>
          <cell r="GL281">
            <v>0</v>
          </cell>
        </row>
        <row r="282">
          <cell r="FZ282">
            <v>0</v>
          </cell>
          <cell r="GD282">
            <v>0</v>
          </cell>
          <cell r="GH282">
            <v>0</v>
          </cell>
          <cell r="GL282">
            <v>0</v>
          </cell>
        </row>
        <row r="283">
          <cell r="FZ283">
            <v>0</v>
          </cell>
          <cell r="GD283">
            <v>0</v>
          </cell>
          <cell r="GH283">
            <v>0</v>
          </cell>
          <cell r="GL283">
            <v>0</v>
          </cell>
        </row>
        <row r="284">
          <cell r="FZ284">
            <v>0</v>
          </cell>
          <cell r="GD284">
            <v>0</v>
          </cell>
          <cell r="GH284">
            <v>0</v>
          </cell>
          <cell r="GL284">
            <v>0</v>
          </cell>
        </row>
        <row r="285">
          <cell r="FZ285">
            <v>0</v>
          </cell>
          <cell r="GD285">
            <v>0</v>
          </cell>
          <cell r="GH285">
            <v>0</v>
          </cell>
          <cell r="GL285">
            <v>0</v>
          </cell>
        </row>
        <row r="286">
          <cell r="FZ286">
            <v>0</v>
          </cell>
          <cell r="GD286">
            <v>0</v>
          </cell>
          <cell r="GH286">
            <v>0</v>
          </cell>
          <cell r="GL286">
            <v>0</v>
          </cell>
        </row>
        <row r="287">
          <cell r="FZ287">
            <v>0</v>
          </cell>
          <cell r="GD287">
            <v>0</v>
          </cell>
          <cell r="GH287">
            <v>0</v>
          </cell>
          <cell r="GL287">
            <v>0</v>
          </cell>
        </row>
        <row r="288">
          <cell r="FZ288">
            <v>0</v>
          </cell>
          <cell r="GD288">
            <v>0</v>
          </cell>
          <cell r="GH288">
            <v>0</v>
          </cell>
          <cell r="GL288">
            <v>0</v>
          </cell>
        </row>
        <row r="289">
          <cell r="FZ289">
            <v>0</v>
          </cell>
          <cell r="GD289">
            <v>0</v>
          </cell>
          <cell r="GH289">
            <v>0</v>
          </cell>
          <cell r="GL289">
            <v>0</v>
          </cell>
        </row>
        <row r="290">
          <cell r="FZ290">
            <v>0</v>
          </cell>
          <cell r="GD290">
            <v>0</v>
          </cell>
          <cell r="GH290">
            <v>0</v>
          </cell>
          <cell r="GL290">
            <v>0</v>
          </cell>
        </row>
        <row r="291">
          <cell r="FZ291">
            <v>0</v>
          </cell>
          <cell r="GD291">
            <v>0</v>
          </cell>
          <cell r="GH291">
            <v>0</v>
          </cell>
          <cell r="GL291">
            <v>0</v>
          </cell>
        </row>
        <row r="292">
          <cell r="FZ292">
            <v>0</v>
          </cell>
          <cell r="GD292">
            <v>0</v>
          </cell>
          <cell r="GH292">
            <v>0</v>
          </cell>
          <cell r="GL292">
            <v>0</v>
          </cell>
        </row>
        <row r="293">
          <cell r="FZ293">
            <v>0</v>
          </cell>
          <cell r="GD293">
            <v>0</v>
          </cell>
          <cell r="GH293">
            <v>0</v>
          </cell>
          <cell r="GL293">
            <v>0</v>
          </cell>
        </row>
        <row r="294">
          <cell r="FZ294">
            <v>0</v>
          </cell>
          <cell r="GD294">
            <v>0</v>
          </cell>
          <cell r="GH294">
            <v>0</v>
          </cell>
          <cell r="GL294">
            <v>0</v>
          </cell>
        </row>
        <row r="295">
          <cell r="FZ295">
            <v>0</v>
          </cell>
          <cell r="GD295">
            <v>0</v>
          </cell>
          <cell r="GH295">
            <v>0</v>
          </cell>
          <cell r="GL295">
            <v>0</v>
          </cell>
        </row>
        <row r="296">
          <cell r="FZ296">
            <v>0</v>
          </cell>
          <cell r="GD296">
            <v>0</v>
          </cell>
          <cell r="GH296">
            <v>0</v>
          </cell>
          <cell r="GL296">
            <v>0</v>
          </cell>
        </row>
        <row r="297">
          <cell r="FZ297">
            <v>0</v>
          </cell>
          <cell r="GD297">
            <v>0</v>
          </cell>
          <cell r="GH297">
            <v>0</v>
          </cell>
          <cell r="GL297">
            <v>0</v>
          </cell>
        </row>
        <row r="298">
          <cell r="FZ298">
            <v>0</v>
          </cell>
          <cell r="GD298">
            <v>0</v>
          </cell>
          <cell r="GH298">
            <v>0</v>
          </cell>
          <cell r="GL298">
            <v>0</v>
          </cell>
        </row>
        <row r="299">
          <cell r="FZ299">
            <v>0</v>
          </cell>
          <cell r="GD299">
            <v>0</v>
          </cell>
          <cell r="GH299">
            <v>0</v>
          </cell>
          <cell r="GL299">
            <v>0</v>
          </cell>
        </row>
        <row r="300">
          <cell r="FZ300">
            <v>0</v>
          </cell>
          <cell r="GD300">
            <v>0</v>
          </cell>
          <cell r="GH300">
            <v>0</v>
          </cell>
          <cell r="GL300">
            <v>0</v>
          </cell>
        </row>
        <row r="301">
          <cell r="FZ301">
            <v>0</v>
          </cell>
          <cell r="GD301">
            <v>0</v>
          </cell>
          <cell r="GH301">
            <v>0</v>
          </cell>
          <cell r="GL301">
            <v>0</v>
          </cell>
        </row>
        <row r="302">
          <cell r="FZ302">
            <v>0</v>
          </cell>
          <cell r="GD302">
            <v>0</v>
          </cell>
          <cell r="GH302">
            <v>0</v>
          </cell>
          <cell r="GL302">
            <v>0</v>
          </cell>
        </row>
        <row r="303">
          <cell r="FZ303">
            <v>0</v>
          </cell>
          <cell r="GD303">
            <v>0</v>
          </cell>
          <cell r="GH303">
            <v>0</v>
          </cell>
          <cell r="GL303">
            <v>0</v>
          </cell>
        </row>
        <row r="304">
          <cell r="FZ304">
            <v>0</v>
          </cell>
          <cell r="GD304">
            <v>0</v>
          </cell>
          <cell r="GH304">
            <v>0</v>
          </cell>
          <cell r="GL304">
            <v>0</v>
          </cell>
        </row>
        <row r="305">
          <cell r="FZ305">
            <v>0</v>
          </cell>
          <cell r="GD305">
            <v>0</v>
          </cell>
          <cell r="GH305">
            <v>0</v>
          </cell>
          <cell r="GL305">
            <v>0</v>
          </cell>
        </row>
        <row r="306">
          <cell r="FZ306">
            <v>0</v>
          </cell>
          <cell r="GD306">
            <v>0</v>
          </cell>
          <cell r="GH306">
            <v>0</v>
          </cell>
          <cell r="GL306">
            <v>0</v>
          </cell>
        </row>
        <row r="307">
          <cell r="FZ307">
            <v>0</v>
          </cell>
          <cell r="GD307">
            <v>0</v>
          </cell>
          <cell r="GH307">
            <v>0</v>
          </cell>
          <cell r="GL307">
            <v>0</v>
          </cell>
        </row>
        <row r="308">
          <cell r="FZ308">
            <v>0</v>
          </cell>
          <cell r="GD308">
            <v>0</v>
          </cell>
          <cell r="GH308">
            <v>0</v>
          </cell>
          <cell r="GL308">
            <v>0</v>
          </cell>
        </row>
        <row r="309">
          <cell r="FZ309">
            <v>0</v>
          </cell>
          <cell r="GD309">
            <v>0</v>
          </cell>
          <cell r="GH309">
            <v>0</v>
          </cell>
          <cell r="GL309">
            <v>0</v>
          </cell>
        </row>
        <row r="310">
          <cell r="FZ310">
            <v>0</v>
          </cell>
          <cell r="GD310">
            <v>0</v>
          </cell>
          <cell r="GH310">
            <v>0</v>
          </cell>
          <cell r="GL310">
            <v>0</v>
          </cell>
        </row>
        <row r="311">
          <cell r="FZ311">
            <v>0</v>
          </cell>
          <cell r="GD311">
            <v>0</v>
          </cell>
          <cell r="GH311">
            <v>0</v>
          </cell>
          <cell r="GL311">
            <v>0</v>
          </cell>
        </row>
        <row r="312">
          <cell r="FZ312">
            <v>0</v>
          </cell>
          <cell r="GD312">
            <v>0</v>
          </cell>
          <cell r="GH312">
            <v>0</v>
          </cell>
          <cell r="GL312">
            <v>0</v>
          </cell>
        </row>
        <row r="313">
          <cell r="FZ313">
            <v>0</v>
          </cell>
          <cell r="GD313">
            <v>0</v>
          </cell>
          <cell r="GH313">
            <v>0</v>
          </cell>
          <cell r="GL313">
            <v>0</v>
          </cell>
        </row>
        <row r="314">
          <cell r="FZ314">
            <v>0</v>
          </cell>
          <cell r="GD314">
            <v>0</v>
          </cell>
          <cell r="GH314">
            <v>0</v>
          </cell>
          <cell r="GL314">
            <v>0</v>
          </cell>
        </row>
        <row r="315">
          <cell r="FZ315">
            <v>0</v>
          </cell>
          <cell r="GD315">
            <v>0</v>
          </cell>
          <cell r="GH315">
            <v>0</v>
          </cell>
          <cell r="GL315">
            <v>0</v>
          </cell>
        </row>
        <row r="316">
          <cell r="FZ316">
            <v>0</v>
          </cell>
          <cell r="GD316">
            <v>0</v>
          </cell>
          <cell r="GH316">
            <v>0</v>
          </cell>
          <cell r="GL316">
            <v>0</v>
          </cell>
        </row>
        <row r="317">
          <cell r="FZ317">
            <v>0</v>
          </cell>
          <cell r="GD317">
            <v>0</v>
          </cell>
          <cell r="GH317">
            <v>0</v>
          </cell>
          <cell r="GL317">
            <v>0</v>
          </cell>
        </row>
        <row r="318">
          <cell r="FZ318">
            <v>0</v>
          </cell>
          <cell r="GD318">
            <v>0</v>
          </cell>
          <cell r="GH318">
            <v>0</v>
          </cell>
          <cell r="GL318">
            <v>0</v>
          </cell>
        </row>
        <row r="319">
          <cell r="FZ319">
            <v>0</v>
          </cell>
          <cell r="GD319">
            <v>0</v>
          </cell>
          <cell r="GH319">
            <v>0</v>
          </cell>
          <cell r="GL319">
            <v>0</v>
          </cell>
        </row>
        <row r="320">
          <cell r="FZ320">
            <v>0</v>
          </cell>
          <cell r="GD320">
            <v>0</v>
          </cell>
          <cell r="GH320">
            <v>0</v>
          </cell>
          <cell r="GL320">
            <v>0</v>
          </cell>
        </row>
        <row r="321">
          <cell r="FZ321">
            <v>0</v>
          </cell>
          <cell r="GD321">
            <v>0</v>
          </cell>
          <cell r="GH321">
            <v>0</v>
          </cell>
          <cell r="GL321">
            <v>0</v>
          </cell>
        </row>
        <row r="322">
          <cell r="FZ322">
            <v>0</v>
          </cell>
          <cell r="GD322">
            <v>0</v>
          </cell>
          <cell r="GH322">
            <v>0</v>
          </cell>
          <cell r="GL322">
            <v>0</v>
          </cell>
        </row>
        <row r="323">
          <cell r="FZ323">
            <v>0</v>
          </cell>
          <cell r="GD323">
            <v>0</v>
          </cell>
          <cell r="GH323">
            <v>0</v>
          </cell>
          <cell r="GL323">
            <v>0</v>
          </cell>
        </row>
        <row r="324">
          <cell r="FZ324">
            <v>0</v>
          </cell>
          <cell r="GD324">
            <v>0</v>
          </cell>
          <cell r="GH324">
            <v>0</v>
          </cell>
          <cell r="GL324">
            <v>0</v>
          </cell>
        </row>
        <row r="325">
          <cell r="FZ325">
            <v>0</v>
          </cell>
          <cell r="GD325">
            <v>0</v>
          </cell>
          <cell r="GH325">
            <v>0</v>
          </cell>
          <cell r="GL325">
            <v>0</v>
          </cell>
        </row>
        <row r="326">
          <cell r="FZ326">
            <v>0</v>
          </cell>
          <cell r="GD326">
            <v>0</v>
          </cell>
          <cell r="GH326">
            <v>0</v>
          </cell>
          <cell r="GL326">
            <v>0</v>
          </cell>
        </row>
        <row r="327">
          <cell r="FZ327">
            <v>0</v>
          </cell>
          <cell r="GD327">
            <v>0</v>
          </cell>
          <cell r="GH327">
            <v>0</v>
          </cell>
          <cell r="GL327">
            <v>0</v>
          </cell>
        </row>
        <row r="328">
          <cell r="FZ328">
            <v>0</v>
          </cell>
          <cell r="GD328">
            <v>0</v>
          </cell>
          <cell r="GH328">
            <v>0</v>
          </cell>
          <cell r="GL328">
            <v>0</v>
          </cell>
        </row>
        <row r="329">
          <cell r="FZ329">
            <v>0</v>
          </cell>
          <cell r="GD329">
            <v>0</v>
          </cell>
          <cell r="GH329">
            <v>0</v>
          </cell>
          <cell r="GL329">
            <v>0</v>
          </cell>
        </row>
        <row r="330">
          <cell r="FZ330">
            <v>0</v>
          </cell>
          <cell r="GD330">
            <v>0</v>
          </cell>
          <cell r="GH330">
            <v>0</v>
          </cell>
          <cell r="GL330">
            <v>0</v>
          </cell>
        </row>
        <row r="331">
          <cell r="FZ331">
            <v>0</v>
          </cell>
          <cell r="GD331">
            <v>0</v>
          </cell>
          <cell r="GH331">
            <v>0</v>
          </cell>
          <cell r="GL331">
            <v>0</v>
          </cell>
        </row>
        <row r="332">
          <cell r="FZ332">
            <v>0</v>
          </cell>
          <cell r="GD332">
            <v>0</v>
          </cell>
          <cell r="GH332">
            <v>0</v>
          </cell>
          <cell r="GL332">
            <v>0</v>
          </cell>
        </row>
        <row r="333">
          <cell r="FZ333">
            <v>0</v>
          </cell>
          <cell r="GD333">
            <v>0</v>
          </cell>
          <cell r="GH333">
            <v>0</v>
          </cell>
          <cell r="GL333">
            <v>0</v>
          </cell>
        </row>
        <row r="334">
          <cell r="FZ334">
            <v>0</v>
          </cell>
          <cell r="GD334">
            <v>0</v>
          </cell>
          <cell r="GH334">
            <v>0</v>
          </cell>
          <cell r="GL334">
            <v>0</v>
          </cell>
        </row>
        <row r="335">
          <cell r="FZ335">
            <v>0</v>
          </cell>
          <cell r="GD335">
            <v>0</v>
          </cell>
          <cell r="GH335">
            <v>0</v>
          </cell>
          <cell r="GL335">
            <v>0</v>
          </cell>
        </row>
        <row r="336">
          <cell r="FZ336">
            <v>0</v>
          </cell>
          <cell r="GD336">
            <v>0</v>
          </cell>
          <cell r="GH336">
            <v>0</v>
          </cell>
          <cell r="GL336">
            <v>0</v>
          </cell>
        </row>
        <row r="337">
          <cell r="FZ337">
            <v>0</v>
          </cell>
          <cell r="GD337">
            <v>0</v>
          </cell>
          <cell r="GH337">
            <v>0</v>
          </cell>
          <cell r="GL337">
            <v>0</v>
          </cell>
        </row>
        <row r="338">
          <cell r="FZ338">
            <v>0</v>
          </cell>
          <cell r="GD338">
            <v>0</v>
          </cell>
          <cell r="GH338">
            <v>0</v>
          </cell>
          <cell r="GL338">
            <v>0</v>
          </cell>
        </row>
        <row r="339">
          <cell r="FZ339">
            <v>0</v>
          </cell>
          <cell r="GD339">
            <v>0</v>
          </cell>
          <cell r="GH339">
            <v>0</v>
          </cell>
          <cell r="GL339">
            <v>0</v>
          </cell>
        </row>
        <row r="340">
          <cell r="FZ340">
            <v>0</v>
          </cell>
          <cell r="GD340">
            <v>0</v>
          </cell>
          <cell r="GH340">
            <v>0</v>
          </cell>
          <cell r="GL340">
            <v>0</v>
          </cell>
        </row>
        <row r="341">
          <cell r="FZ341">
            <v>0</v>
          </cell>
          <cell r="GD341">
            <v>0</v>
          </cell>
          <cell r="GH341">
            <v>0</v>
          </cell>
          <cell r="GL341">
            <v>0</v>
          </cell>
        </row>
        <row r="342">
          <cell r="FZ342">
            <v>0</v>
          </cell>
          <cell r="GD342">
            <v>0</v>
          </cell>
          <cell r="GH342">
            <v>0</v>
          </cell>
          <cell r="GL342">
            <v>0</v>
          </cell>
        </row>
        <row r="343">
          <cell r="FZ343">
            <v>0</v>
          </cell>
          <cell r="GD343">
            <v>0</v>
          </cell>
          <cell r="GH343">
            <v>0</v>
          </cell>
          <cell r="GL343">
            <v>0</v>
          </cell>
        </row>
        <row r="344">
          <cell r="FZ344">
            <v>0</v>
          </cell>
          <cell r="GD344">
            <v>0</v>
          </cell>
          <cell r="GH344">
            <v>0</v>
          </cell>
          <cell r="GL344">
            <v>0</v>
          </cell>
        </row>
        <row r="345">
          <cell r="FZ345">
            <v>0</v>
          </cell>
          <cell r="GD345">
            <v>0</v>
          </cell>
          <cell r="GH345">
            <v>0</v>
          </cell>
          <cell r="GL345">
            <v>0</v>
          </cell>
        </row>
        <row r="346">
          <cell r="FZ346">
            <v>0</v>
          </cell>
          <cell r="GD346">
            <v>0</v>
          </cell>
          <cell r="GH346">
            <v>0</v>
          </cell>
          <cell r="GL346">
            <v>0</v>
          </cell>
        </row>
        <row r="347">
          <cell r="FZ347">
            <v>0</v>
          </cell>
          <cell r="GD347">
            <v>0</v>
          </cell>
          <cell r="GH347">
            <v>0</v>
          </cell>
          <cell r="GL347">
            <v>0</v>
          </cell>
        </row>
        <row r="348">
          <cell r="FZ348">
            <v>0</v>
          </cell>
          <cell r="GD348">
            <v>0</v>
          </cell>
          <cell r="GH348">
            <v>0</v>
          </cell>
          <cell r="GL348">
            <v>0</v>
          </cell>
        </row>
        <row r="349">
          <cell r="FZ349">
            <v>0</v>
          </cell>
          <cell r="GD349">
            <v>0</v>
          </cell>
          <cell r="GH349">
            <v>0</v>
          </cell>
          <cell r="GL349">
            <v>0</v>
          </cell>
        </row>
        <row r="350">
          <cell r="FZ350">
            <v>0</v>
          </cell>
          <cell r="GD350">
            <v>0</v>
          </cell>
          <cell r="GH350">
            <v>0</v>
          </cell>
          <cell r="GL350">
            <v>0</v>
          </cell>
        </row>
        <row r="351">
          <cell r="FZ351">
            <v>0</v>
          </cell>
          <cell r="GD351">
            <v>0</v>
          </cell>
          <cell r="GH351">
            <v>0</v>
          </cell>
          <cell r="GL351">
            <v>0</v>
          </cell>
        </row>
        <row r="352">
          <cell r="FZ352">
            <v>0</v>
          </cell>
          <cell r="GD352">
            <v>0</v>
          </cell>
          <cell r="GH352">
            <v>0</v>
          </cell>
          <cell r="GL352">
            <v>0</v>
          </cell>
        </row>
        <row r="353">
          <cell r="FZ353">
            <v>0</v>
          </cell>
          <cell r="GD353">
            <v>0</v>
          </cell>
          <cell r="GH353">
            <v>0</v>
          </cell>
          <cell r="GL353">
            <v>0</v>
          </cell>
        </row>
        <row r="354">
          <cell r="FZ354">
            <v>0</v>
          </cell>
          <cell r="GD354">
            <v>0</v>
          </cell>
          <cell r="GH354">
            <v>0</v>
          </cell>
          <cell r="GL354">
            <v>0</v>
          </cell>
        </row>
        <row r="355">
          <cell r="FZ355">
            <v>0</v>
          </cell>
          <cell r="GD355">
            <v>0</v>
          </cell>
          <cell r="GH355">
            <v>0</v>
          </cell>
          <cell r="GL355">
            <v>0</v>
          </cell>
        </row>
        <row r="356">
          <cell r="FZ356">
            <v>0</v>
          </cell>
          <cell r="GD356">
            <v>0</v>
          </cell>
          <cell r="GH356">
            <v>0</v>
          </cell>
          <cell r="GL356">
            <v>0</v>
          </cell>
        </row>
        <row r="357">
          <cell r="FZ357">
            <v>0</v>
          </cell>
          <cell r="GD357">
            <v>0</v>
          </cell>
          <cell r="GH357">
            <v>0</v>
          </cell>
          <cell r="GL357">
            <v>0</v>
          </cell>
        </row>
        <row r="358">
          <cell r="FZ358">
            <v>0</v>
          </cell>
          <cell r="GD358">
            <v>0</v>
          </cell>
          <cell r="GH358">
            <v>0</v>
          </cell>
          <cell r="GL358">
            <v>0</v>
          </cell>
        </row>
        <row r="359">
          <cell r="FZ359">
            <v>0</v>
          </cell>
          <cell r="GD359">
            <v>0</v>
          </cell>
          <cell r="GH359">
            <v>0</v>
          </cell>
          <cell r="GL359">
            <v>0</v>
          </cell>
        </row>
        <row r="360">
          <cell r="FZ360">
            <v>0</v>
          </cell>
          <cell r="GD360">
            <v>0</v>
          </cell>
          <cell r="GH360">
            <v>0</v>
          </cell>
          <cell r="GL360">
            <v>0</v>
          </cell>
        </row>
        <row r="361">
          <cell r="FZ361">
            <v>0</v>
          </cell>
          <cell r="GD361">
            <v>0</v>
          </cell>
          <cell r="GH361">
            <v>0</v>
          </cell>
          <cell r="GL361">
            <v>0</v>
          </cell>
        </row>
        <row r="362">
          <cell r="FZ362">
            <v>0</v>
          </cell>
          <cell r="GD362">
            <v>0</v>
          </cell>
          <cell r="GH362">
            <v>0</v>
          </cell>
          <cell r="GL362">
            <v>0</v>
          </cell>
        </row>
        <row r="363">
          <cell r="FZ363">
            <v>0</v>
          </cell>
          <cell r="GD363">
            <v>0</v>
          </cell>
          <cell r="GH363">
            <v>0</v>
          </cell>
          <cell r="GL363">
            <v>0</v>
          </cell>
        </row>
        <row r="364">
          <cell r="FZ364">
            <v>0</v>
          </cell>
          <cell r="GD364">
            <v>0</v>
          </cell>
          <cell r="GH364">
            <v>0</v>
          </cell>
          <cell r="GL364">
            <v>0</v>
          </cell>
        </row>
        <row r="365">
          <cell r="FZ365">
            <v>0</v>
          </cell>
          <cell r="GD365">
            <v>0</v>
          </cell>
          <cell r="GH365">
            <v>0</v>
          </cell>
          <cell r="GL365">
            <v>0</v>
          </cell>
        </row>
        <row r="366">
          <cell r="FZ366">
            <v>0</v>
          </cell>
          <cell r="GD366">
            <v>0</v>
          </cell>
          <cell r="GH366">
            <v>0</v>
          </cell>
          <cell r="GL366">
            <v>0</v>
          </cell>
        </row>
        <row r="367">
          <cell r="FZ367">
            <v>0</v>
          </cell>
          <cell r="GD367">
            <v>0</v>
          </cell>
          <cell r="GH367">
            <v>0</v>
          </cell>
          <cell r="GL367">
            <v>0</v>
          </cell>
        </row>
        <row r="368">
          <cell r="FZ368">
            <v>0</v>
          </cell>
          <cell r="GD368">
            <v>0</v>
          </cell>
          <cell r="GH368">
            <v>0</v>
          </cell>
          <cell r="GL368">
            <v>0</v>
          </cell>
        </row>
        <row r="369">
          <cell r="FZ369">
            <v>0</v>
          </cell>
          <cell r="GD369">
            <v>0</v>
          </cell>
          <cell r="GH369">
            <v>0</v>
          </cell>
          <cell r="GL369">
            <v>0</v>
          </cell>
        </row>
        <row r="370">
          <cell r="FZ370">
            <v>0</v>
          </cell>
          <cell r="GD370">
            <v>0</v>
          </cell>
          <cell r="GH370">
            <v>0</v>
          </cell>
          <cell r="GL370">
            <v>0</v>
          </cell>
        </row>
        <row r="371">
          <cell r="FZ371">
            <v>0</v>
          </cell>
          <cell r="GD371">
            <v>0</v>
          </cell>
          <cell r="GH371">
            <v>0</v>
          </cell>
          <cell r="GL371">
            <v>0</v>
          </cell>
        </row>
        <row r="372">
          <cell r="FZ372">
            <v>0</v>
          </cell>
          <cell r="GD372">
            <v>0</v>
          </cell>
          <cell r="GH372">
            <v>0</v>
          </cell>
          <cell r="GL372">
            <v>0</v>
          </cell>
        </row>
        <row r="373">
          <cell r="FZ373">
            <v>0</v>
          </cell>
          <cell r="GD373">
            <v>0</v>
          </cell>
          <cell r="GH373">
            <v>0</v>
          </cell>
          <cell r="GL373">
            <v>0</v>
          </cell>
        </row>
        <row r="374">
          <cell r="FZ374">
            <v>0</v>
          </cell>
          <cell r="GD374">
            <v>0</v>
          </cell>
          <cell r="GH374">
            <v>0</v>
          </cell>
          <cell r="GL374">
            <v>0</v>
          </cell>
        </row>
        <row r="375">
          <cell r="FZ375">
            <v>0</v>
          </cell>
          <cell r="GD375">
            <v>0</v>
          </cell>
          <cell r="GH375">
            <v>0</v>
          </cell>
          <cell r="GL375">
            <v>0</v>
          </cell>
        </row>
        <row r="376">
          <cell r="FZ376">
            <v>0</v>
          </cell>
          <cell r="GD376">
            <v>0</v>
          </cell>
          <cell r="GH376">
            <v>0</v>
          </cell>
          <cell r="GL376">
            <v>0</v>
          </cell>
        </row>
        <row r="377">
          <cell r="FZ377">
            <v>0</v>
          </cell>
          <cell r="GD377">
            <v>0</v>
          </cell>
          <cell r="GH377">
            <v>0</v>
          </cell>
          <cell r="GL377">
            <v>0</v>
          </cell>
        </row>
        <row r="378">
          <cell r="FZ378">
            <v>0</v>
          </cell>
          <cell r="GD378">
            <v>0</v>
          </cell>
          <cell r="GH378">
            <v>0</v>
          </cell>
          <cell r="GL378">
            <v>0</v>
          </cell>
        </row>
        <row r="379">
          <cell r="FZ379">
            <v>0</v>
          </cell>
          <cell r="GD379">
            <v>0</v>
          </cell>
          <cell r="GH379">
            <v>0</v>
          </cell>
          <cell r="GL379">
            <v>0</v>
          </cell>
        </row>
        <row r="380">
          <cell r="FZ380">
            <v>0</v>
          </cell>
          <cell r="GD380">
            <v>0</v>
          </cell>
          <cell r="GH380">
            <v>0</v>
          </cell>
          <cell r="GL380">
            <v>0</v>
          </cell>
        </row>
        <row r="381">
          <cell r="FZ381">
            <v>0</v>
          </cell>
          <cell r="GD381">
            <v>0</v>
          </cell>
          <cell r="GH381">
            <v>0</v>
          </cell>
          <cell r="GL381">
            <v>0</v>
          </cell>
        </row>
        <row r="382">
          <cell r="FZ382">
            <v>0</v>
          </cell>
          <cell r="GD382">
            <v>0</v>
          </cell>
          <cell r="GH382">
            <v>0</v>
          </cell>
          <cell r="GL382">
            <v>0</v>
          </cell>
        </row>
        <row r="383">
          <cell r="FZ383">
            <v>0</v>
          </cell>
          <cell r="GD383">
            <v>0</v>
          </cell>
          <cell r="GH383">
            <v>0</v>
          </cell>
          <cell r="GL383">
            <v>0</v>
          </cell>
        </row>
        <row r="384">
          <cell r="FZ384">
            <v>0</v>
          </cell>
          <cell r="GD384">
            <v>0</v>
          </cell>
          <cell r="GH384">
            <v>0</v>
          </cell>
          <cell r="GL384">
            <v>0</v>
          </cell>
        </row>
        <row r="385">
          <cell r="FZ385">
            <v>0</v>
          </cell>
          <cell r="GD385">
            <v>0</v>
          </cell>
          <cell r="GH385">
            <v>0</v>
          </cell>
          <cell r="GL385">
            <v>0</v>
          </cell>
        </row>
        <row r="386">
          <cell r="FZ386">
            <v>0</v>
          </cell>
          <cell r="GD386">
            <v>0</v>
          </cell>
          <cell r="GH386">
            <v>0</v>
          </cell>
          <cell r="GL386">
            <v>0</v>
          </cell>
        </row>
        <row r="387">
          <cell r="FZ387">
            <v>0</v>
          </cell>
          <cell r="GD387">
            <v>0</v>
          </cell>
          <cell r="GH387">
            <v>0</v>
          </cell>
          <cell r="GL387">
            <v>0</v>
          </cell>
        </row>
        <row r="388">
          <cell r="FZ388">
            <v>0</v>
          </cell>
          <cell r="GD388">
            <v>0</v>
          </cell>
          <cell r="GH388">
            <v>0</v>
          </cell>
          <cell r="GL388">
            <v>0</v>
          </cell>
        </row>
        <row r="389">
          <cell r="FZ389">
            <v>0</v>
          </cell>
          <cell r="GD389">
            <v>0</v>
          </cell>
          <cell r="GH389">
            <v>0</v>
          </cell>
          <cell r="GL389">
            <v>0</v>
          </cell>
        </row>
        <row r="390">
          <cell r="FZ390">
            <v>0</v>
          </cell>
          <cell r="GD390">
            <v>0</v>
          </cell>
          <cell r="GH390">
            <v>0</v>
          </cell>
          <cell r="GL390">
            <v>0</v>
          </cell>
        </row>
        <row r="391">
          <cell r="FZ391">
            <v>0</v>
          </cell>
          <cell r="GD391">
            <v>0</v>
          </cell>
          <cell r="GH391">
            <v>0</v>
          </cell>
          <cell r="GL391">
            <v>0</v>
          </cell>
        </row>
        <row r="392">
          <cell r="FZ392">
            <v>0</v>
          </cell>
          <cell r="GD392">
            <v>0</v>
          </cell>
          <cell r="GH392">
            <v>0</v>
          </cell>
          <cell r="GL392">
            <v>0</v>
          </cell>
        </row>
        <row r="393">
          <cell r="FZ393">
            <v>0</v>
          </cell>
          <cell r="GD393">
            <v>0</v>
          </cell>
          <cell r="GH393">
            <v>0</v>
          </cell>
          <cell r="GL393">
            <v>0</v>
          </cell>
        </row>
        <row r="394">
          <cell r="FZ394">
            <v>0</v>
          </cell>
          <cell r="GD394">
            <v>0</v>
          </cell>
          <cell r="GH394">
            <v>0</v>
          </cell>
          <cell r="GL394">
            <v>0</v>
          </cell>
        </row>
        <row r="395">
          <cell r="FZ395">
            <v>0</v>
          </cell>
          <cell r="GD395">
            <v>0</v>
          </cell>
          <cell r="GH395">
            <v>0</v>
          </cell>
          <cell r="GL395">
            <v>0</v>
          </cell>
        </row>
        <row r="396">
          <cell r="FZ396">
            <v>0</v>
          </cell>
          <cell r="GD396">
            <v>0</v>
          </cell>
          <cell r="GH396">
            <v>0</v>
          </cell>
          <cell r="GL396">
            <v>0</v>
          </cell>
        </row>
        <row r="397">
          <cell r="FZ397">
            <v>0</v>
          </cell>
          <cell r="GD397">
            <v>0</v>
          </cell>
          <cell r="GH397">
            <v>0</v>
          </cell>
          <cell r="GL397">
            <v>0</v>
          </cell>
        </row>
        <row r="398">
          <cell r="FZ398">
            <v>0</v>
          </cell>
          <cell r="GD398">
            <v>0</v>
          </cell>
          <cell r="GH398">
            <v>0</v>
          </cell>
          <cell r="GL398">
            <v>0</v>
          </cell>
        </row>
        <row r="399">
          <cell r="FZ399">
            <v>0</v>
          </cell>
          <cell r="GD399">
            <v>0</v>
          </cell>
          <cell r="GH399">
            <v>0</v>
          </cell>
          <cell r="GL399">
            <v>0</v>
          </cell>
        </row>
        <row r="400">
          <cell r="FZ400">
            <v>0</v>
          </cell>
          <cell r="GD400">
            <v>0</v>
          </cell>
          <cell r="GH400">
            <v>0</v>
          </cell>
          <cell r="GL400">
            <v>0</v>
          </cell>
        </row>
        <row r="401">
          <cell r="FZ401">
            <v>0</v>
          </cell>
          <cell r="GD401">
            <v>0</v>
          </cell>
          <cell r="GH401">
            <v>0</v>
          </cell>
          <cell r="GL401">
            <v>0</v>
          </cell>
        </row>
        <row r="402">
          <cell r="FZ402">
            <v>0</v>
          </cell>
          <cell r="GD402">
            <v>0</v>
          </cell>
          <cell r="GH402">
            <v>0</v>
          </cell>
          <cell r="GL402">
            <v>0</v>
          </cell>
        </row>
        <row r="403">
          <cell r="FZ403">
            <v>0</v>
          </cell>
          <cell r="GD403">
            <v>0</v>
          </cell>
          <cell r="GH403">
            <v>0</v>
          </cell>
          <cell r="GL403">
            <v>0</v>
          </cell>
        </row>
        <row r="404">
          <cell r="FZ404">
            <v>0</v>
          </cell>
          <cell r="GD404">
            <v>0</v>
          </cell>
          <cell r="GH404">
            <v>0</v>
          </cell>
          <cell r="GL404">
            <v>0</v>
          </cell>
        </row>
        <row r="405">
          <cell r="FZ405">
            <v>0</v>
          </cell>
          <cell r="GD405">
            <v>0</v>
          </cell>
          <cell r="GH405">
            <v>0</v>
          </cell>
          <cell r="GL405">
            <v>0</v>
          </cell>
        </row>
        <row r="406">
          <cell r="FZ406">
            <v>0</v>
          </cell>
          <cell r="GD406">
            <v>0</v>
          </cell>
          <cell r="GH406">
            <v>0</v>
          </cell>
          <cell r="GL406">
            <v>0</v>
          </cell>
        </row>
        <row r="407">
          <cell r="FZ407">
            <v>0</v>
          </cell>
          <cell r="GD407">
            <v>0</v>
          </cell>
          <cell r="GH407">
            <v>0</v>
          </cell>
          <cell r="GL407">
            <v>0</v>
          </cell>
        </row>
        <row r="408">
          <cell r="FZ408">
            <v>0</v>
          </cell>
          <cell r="GD408">
            <v>0</v>
          </cell>
          <cell r="GH408">
            <v>0</v>
          </cell>
          <cell r="GL408">
            <v>0</v>
          </cell>
        </row>
        <row r="409">
          <cell r="FZ409">
            <v>0</v>
          </cell>
          <cell r="GD409">
            <v>0</v>
          </cell>
          <cell r="GH409">
            <v>0</v>
          </cell>
          <cell r="GL409">
            <v>0</v>
          </cell>
        </row>
        <row r="410">
          <cell r="FZ410">
            <v>0</v>
          </cell>
          <cell r="GD410">
            <v>0</v>
          </cell>
          <cell r="GH410">
            <v>0</v>
          </cell>
          <cell r="GL410">
            <v>0</v>
          </cell>
        </row>
        <row r="411">
          <cell r="FZ411">
            <v>0</v>
          </cell>
          <cell r="GD411">
            <v>0</v>
          </cell>
          <cell r="GH411">
            <v>0</v>
          </cell>
          <cell r="GL411">
            <v>0</v>
          </cell>
        </row>
        <row r="412">
          <cell r="FZ412">
            <v>0</v>
          </cell>
          <cell r="GD412">
            <v>0</v>
          </cell>
          <cell r="GH412">
            <v>0</v>
          </cell>
          <cell r="GL412">
            <v>0</v>
          </cell>
        </row>
      </sheetData>
      <sheetData sheetId="8">
        <row r="24">
          <cell r="T24">
            <v>0</v>
          </cell>
        </row>
      </sheetData>
      <sheetData sheetId="9"/>
      <sheetData sheetId="10"/>
      <sheetData sheetId="11"/>
      <sheetData sheetId="12">
        <row r="10">
          <cell r="L10" t="str">
            <v>*</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94">
          <cell r="A194" t="str">
            <v>Sort: AS LIST</v>
          </cell>
        </row>
        <row r="195">
          <cell r="A195" t="str">
            <v>Sort: BY ID</v>
          </cell>
        </row>
      </sheetData>
      <sheetData sheetId="36"/>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Y6:AA46" totalsRowShown="0" headerRowDxfId="7" tableBorderDxfId="6">
  <autoFilter ref="Y6:AA46" xr:uid="{00000000-0009-0000-0100-000001000000}"/>
  <tableColumns count="3">
    <tableColumn id="1" xr3:uid="{00000000-0010-0000-0000-000001000000}" name="Material de construcție" dataDxfId="5"/>
    <tableColumn id="2" xr3:uid="{00000000-0010-0000-0000-000002000000}" name="λ,W/(m∙K) " dataDxfId="4"/>
    <tableColumn id="3" xr3:uid="{00000000-0010-0000-0000-000003000000}" name="Column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hyperlink" Target="https://re.jrc.ec.europa.eu/pvg_tools/en/"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4"/>
  <sheetViews>
    <sheetView zoomScale="85" zoomScaleNormal="145" workbookViewId="0">
      <selection activeCell="I40" sqref="I40"/>
    </sheetView>
  </sheetViews>
  <sheetFormatPr defaultColWidth="8.6640625" defaultRowHeight="14.4" x14ac:dyDescent="0.3"/>
  <cols>
    <col min="1" max="16384" width="8.6640625" style="46"/>
  </cols>
  <sheetData>
    <row r="2" spans="2:10" x14ac:dyDescent="0.3">
      <c r="B2" s="50" t="s">
        <v>115</v>
      </c>
      <c r="C2" s="47"/>
      <c r="D2" s="47"/>
      <c r="E2" s="47"/>
      <c r="F2" s="47"/>
      <c r="G2" s="47"/>
      <c r="H2" s="47"/>
      <c r="I2" s="47"/>
      <c r="J2" s="47"/>
    </row>
    <row r="3" spans="2:10" x14ac:dyDescent="0.3">
      <c r="B3" s="50"/>
      <c r="C3" s="47"/>
      <c r="D3" s="47"/>
      <c r="E3" s="47"/>
      <c r="F3" s="47"/>
      <c r="G3" s="47"/>
      <c r="H3" s="47"/>
      <c r="I3" s="47"/>
      <c r="J3" s="47"/>
    </row>
    <row r="4" spans="2:10" x14ac:dyDescent="0.3">
      <c r="B4" s="49" t="s">
        <v>116</v>
      </c>
      <c r="C4" s="47"/>
      <c r="D4" s="47"/>
      <c r="E4" s="47"/>
      <c r="F4" s="47"/>
      <c r="G4" s="47"/>
      <c r="H4" s="47"/>
      <c r="I4" s="47"/>
      <c r="J4" s="47"/>
    </row>
    <row r="5" spans="2:10" x14ac:dyDescent="0.3">
      <c r="B5" s="47"/>
      <c r="C5" s="47"/>
      <c r="D5" s="47"/>
      <c r="E5" s="47"/>
      <c r="F5" s="47"/>
      <c r="G5" s="47"/>
      <c r="H5" s="47"/>
      <c r="I5" s="47"/>
      <c r="J5" s="47"/>
    </row>
    <row r="6" spans="2:10" x14ac:dyDescent="0.3">
      <c r="B6" s="70" t="s">
        <v>126</v>
      </c>
      <c r="C6" s="47"/>
      <c r="D6" s="47"/>
      <c r="E6" s="47"/>
      <c r="F6" s="47"/>
      <c r="G6" s="47"/>
      <c r="H6" s="47"/>
      <c r="I6" s="47"/>
      <c r="J6" s="47"/>
    </row>
    <row r="7" spans="2:10" x14ac:dyDescent="0.3">
      <c r="B7" s="47"/>
      <c r="C7" s="47"/>
      <c r="D7" s="47"/>
      <c r="E7" s="47"/>
      <c r="F7" s="47"/>
      <c r="G7" s="47"/>
      <c r="H7" s="47"/>
      <c r="I7" s="47"/>
      <c r="J7" s="47"/>
    </row>
    <row r="8" spans="2:10" x14ac:dyDescent="0.3">
      <c r="B8" s="581" t="s">
        <v>119</v>
      </c>
      <c r="C8" s="581"/>
      <c r="D8" s="581"/>
      <c r="E8" s="581"/>
      <c r="F8" s="581"/>
      <c r="G8" s="581"/>
      <c r="H8" s="581"/>
      <c r="I8" s="581"/>
      <c r="J8" s="581"/>
    </row>
    <row r="9" spans="2:10" x14ac:dyDescent="0.3">
      <c r="B9" s="581"/>
      <c r="C9" s="581"/>
      <c r="D9" s="581"/>
      <c r="E9" s="581"/>
      <c r="F9" s="581"/>
      <c r="G9" s="581"/>
      <c r="H9" s="581"/>
      <c r="I9" s="581"/>
      <c r="J9" s="581"/>
    </row>
    <row r="10" spans="2:10" x14ac:dyDescent="0.3">
      <c r="B10" s="48"/>
      <c r="C10" s="48"/>
      <c r="D10" s="48"/>
      <c r="E10" s="48"/>
      <c r="F10" s="48"/>
      <c r="G10" s="48"/>
      <c r="H10" s="48"/>
      <c r="I10" s="48"/>
      <c r="J10" s="48"/>
    </row>
    <row r="11" spans="2:10" x14ac:dyDescent="0.3">
      <c r="B11" s="47"/>
      <c r="C11" s="45"/>
      <c r="D11" s="47" t="s">
        <v>160</v>
      </c>
      <c r="E11" s="47"/>
      <c r="F11" s="47"/>
      <c r="G11" s="47"/>
      <c r="H11" s="47"/>
      <c r="I11" s="47"/>
      <c r="J11" s="47"/>
    </row>
    <row r="12" spans="2:10" x14ac:dyDescent="0.3">
      <c r="B12" s="47"/>
      <c r="C12" s="47"/>
      <c r="D12" s="47"/>
      <c r="E12" s="47"/>
      <c r="F12" s="47"/>
      <c r="G12" s="47"/>
      <c r="H12" s="47"/>
      <c r="I12" s="47"/>
      <c r="J12" s="47"/>
    </row>
    <row r="13" spans="2:10" x14ac:dyDescent="0.3">
      <c r="B13" s="47"/>
      <c r="D13" s="47" t="s">
        <v>123</v>
      </c>
      <c r="E13" s="47"/>
      <c r="F13" s="47"/>
      <c r="G13" s="47"/>
      <c r="H13" s="47"/>
      <c r="I13" s="47"/>
      <c r="J13" s="47"/>
    </row>
    <row r="14" spans="2:10" x14ac:dyDescent="0.3">
      <c r="B14" s="47"/>
      <c r="C14" s="47"/>
      <c r="D14" s="47"/>
      <c r="E14" s="47"/>
      <c r="F14" s="47"/>
      <c r="G14" s="47"/>
      <c r="H14" s="47"/>
      <c r="I14" s="47"/>
      <c r="J14" s="47"/>
    </row>
    <row r="15" spans="2:10" x14ac:dyDescent="0.3">
      <c r="B15" s="47"/>
      <c r="C15" s="19"/>
      <c r="D15" s="47" t="s">
        <v>117</v>
      </c>
      <c r="E15" s="47"/>
      <c r="F15" s="47"/>
      <c r="G15" s="47"/>
      <c r="H15" s="47"/>
      <c r="I15" s="47"/>
      <c r="J15" s="47"/>
    </row>
    <row r="16" spans="2:10" x14ac:dyDescent="0.3">
      <c r="B16" s="47"/>
      <c r="C16" s="47"/>
      <c r="D16" s="47"/>
      <c r="E16" s="47"/>
      <c r="F16" s="47"/>
      <c r="G16" s="47"/>
      <c r="H16" s="47"/>
      <c r="I16" s="47"/>
      <c r="J16" s="47"/>
    </row>
    <row r="17" spans="2:10" x14ac:dyDescent="0.3">
      <c r="B17" s="51" t="s">
        <v>118</v>
      </c>
      <c r="C17" s="47"/>
      <c r="D17" s="47"/>
      <c r="E17" s="47"/>
      <c r="F17" s="47"/>
      <c r="G17" s="47"/>
      <c r="H17" s="47"/>
      <c r="I17" s="47"/>
      <c r="J17" s="47"/>
    </row>
    <row r="18" spans="2:10" ht="14.7" customHeight="1" x14ac:dyDescent="0.3">
      <c r="B18" s="582" t="s">
        <v>125</v>
      </c>
      <c r="C18" s="582"/>
      <c r="D18" s="582"/>
      <c r="E18" s="582"/>
      <c r="F18" s="582"/>
      <c r="G18" s="582"/>
      <c r="H18" s="582"/>
      <c r="I18" s="582"/>
      <c r="J18" s="582"/>
    </row>
    <row r="19" spans="2:10" x14ac:dyDescent="0.3">
      <c r="B19" s="582"/>
      <c r="C19" s="582"/>
      <c r="D19" s="582"/>
      <c r="E19" s="582"/>
      <c r="F19" s="582"/>
      <c r="G19" s="582"/>
      <c r="H19" s="582"/>
      <c r="I19" s="582"/>
      <c r="J19" s="582"/>
    </row>
    <row r="20" spans="2:10" ht="14.7" customHeight="1" x14ac:dyDescent="0.3">
      <c r="B20" s="582" t="s">
        <v>178</v>
      </c>
      <c r="C20" s="582"/>
      <c r="D20" s="582"/>
      <c r="E20" s="582"/>
      <c r="F20" s="582"/>
      <c r="G20" s="582"/>
      <c r="H20" s="582"/>
      <c r="I20" s="582"/>
      <c r="J20" s="582"/>
    </row>
    <row r="21" spans="2:10" x14ac:dyDescent="0.3">
      <c r="B21" s="582"/>
      <c r="C21" s="582"/>
      <c r="D21" s="582"/>
      <c r="E21" s="582"/>
      <c r="F21" s="582"/>
      <c r="G21" s="582"/>
      <c r="H21" s="582"/>
      <c r="I21" s="582"/>
      <c r="J21" s="582"/>
    </row>
    <row r="22" spans="2:10" x14ac:dyDescent="0.3">
      <c r="B22" s="48"/>
      <c r="C22" s="48"/>
      <c r="D22" s="48"/>
      <c r="E22" s="48"/>
      <c r="F22" s="48"/>
      <c r="G22" s="48"/>
      <c r="H22" s="48"/>
      <c r="I22" s="48"/>
      <c r="J22" s="48"/>
    </row>
    <row r="23" spans="2:10" ht="32.700000000000003" customHeight="1" x14ac:dyDescent="0.3">
      <c r="B23" s="583" t="s">
        <v>315</v>
      </c>
      <c r="C23" s="583"/>
      <c r="D23" s="583"/>
      <c r="E23" s="583"/>
      <c r="F23" s="583"/>
      <c r="G23" s="583"/>
      <c r="H23" s="583"/>
      <c r="I23" s="583"/>
      <c r="J23" s="583"/>
    </row>
    <row r="24" spans="2:10" x14ac:dyDescent="0.3">
      <c r="B24" s="47"/>
      <c r="C24" s="47"/>
      <c r="D24" s="47"/>
      <c r="E24" s="47"/>
      <c r="F24" s="47"/>
      <c r="G24" s="47"/>
      <c r="H24" s="47"/>
      <c r="I24" s="47"/>
      <c r="J24" s="47"/>
    </row>
  </sheetData>
  <mergeCells count="4">
    <mergeCell ref="B8:J9"/>
    <mergeCell ref="B18:J19"/>
    <mergeCell ref="B20:J21"/>
    <mergeCell ref="B23:J23"/>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BF2F-A8E3-4E32-8DEB-061CCF5211A6}">
  <dimension ref="A1:R18"/>
  <sheetViews>
    <sheetView zoomScale="90" workbookViewId="0">
      <selection activeCell="B8" sqref="B8:E8"/>
    </sheetView>
  </sheetViews>
  <sheetFormatPr defaultRowHeight="27.6" customHeight="1" x14ac:dyDescent="0.3"/>
  <cols>
    <col min="1" max="1" width="20.77734375" style="363" customWidth="1"/>
    <col min="2" max="5" width="9" style="573" bestFit="1" customWidth="1"/>
    <col min="6" max="10" width="9" style="363" bestFit="1" customWidth="1"/>
    <col min="11" max="13" width="9" style="573" bestFit="1" customWidth="1"/>
    <col min="14" max="14" width="12.77734375" style="363" customWidth="1"/>
    <col min="15" max="15" width="15.6640625" style="363" customWidth="1"/>
    <col min="16" max="16" width="20.21875" style="363" customWidth="1"/>
    <col min="17" max="17" width="12.77734375" style="363" customWidth="1"/>
    <col min="18" max="18" width="13.88671875" style="363" customWidth="1"/>
    <col min="19" max="16384" width="8.88671875" style="363"/>
  </cols>
  <sheetData>
    <row r="1" spans="1:18" ht="27.6" customHeight="1" x14ac:dyDescent="0.3">
      <c r="A1" s="586" t="s">
        <v>1141</v>
      </c>
      <c r="B1" s="585" t="s">
        <v>1142</v>
      </c>
      <c r="C1" s="585"/>
      <c r="D1" s="585"/>
      <c r="E1" s="585"/>
      <c r="F1" s="585"/>
      <c r="G1" s="585"/>
      <c r="H1" s="585"/>
      <c r="I1" s="585"/>
      <c r="J1" s="585"/>
      <c r="K1" s="585"/>
      <c r="L1" s="585"/>
      <c r="M1" s="585"/>
      <c r="N1" s="585" t="s">
        <v>1143</v>
      </c>
      <c r="O1" s="585" t="s">
        <v>1144</v>
      </c>
      <c r="P1" s="585" t="s">
        <v>1145</v>
      </c>
      <c r="Q1" s="585" t="s">
        <v>1146</v>
      </c>
      <c r="R1" s="585" t="s">
        <v>1147</v>
      </c>
    </row>
    <row r="2" spans="1:18" ht="53.4" customHeight="1" x14ac:dyDescent="0.3">
      <c r="A2" s="586"/>
      <c r="B2" s="571" t="s">
        <v>1148</v>
      </c>
      <c r="C2" s="571" t="s">
        <v>1149</v>
      </c>
      <c r="D2" s="571" t="s">
        <v>1150</v>
      </c>
      <c r="E2" s="571" t="s">
        <v>1151</v>
      </c>
      <c r="F2" s="569" t="s">
        <v>1152</v>
      </c>
      <c r="G2" s="569" t="s">
        <v>1153</v>
      </c>
      <c r="H2" s="569" t="s">
        <v>1154</v>
      </c>
      <c r="I2" s="569" t="s">
        <v>1155</v>
      </c>
      <c r="J2" s="569" t="s">
        <v>1156</v>
      </c>
      <c r="K2" s="571" t="s">
        <v>1157</v>
      </c>
      <c r="L2" s="571" t="s">
        <v>1158</v>
      </c>
      <c r="M2" s="571" t="s">
        <v>1159</v>
      </c>
      <c r="N2" s="585"/>
      <c r="O2" s="585"/>
      <c r="P2" s="585"/>
      <c r="Q2" s="585"/>
      <c r="R2" s="585"/>
    </row>
    <row r="3" spans="1:18" ht="31.8" customHeight="1" x14ac:dyDescent="0.3">
      <c r="A3" s="570">
        <v>1</v>
      </c>
      <c r="B3" s="571">
        <v>2</v>
      </c>
      <c r="C3" s="572">
        <v>3</v>
      </c>
      <c r="D3" s="571">
        <v>4</v>
      </c>
      <c r="E3" s="572">
        <v>5</v>
      </c>
      <c r="F3" s="569">
        <v>6</v>
      </c>
      <c r="G3" s="570">
        <v>7</v>
      </c>
      <c r="H3" s="569">
        <v>8</v>
      </c>
      <c r="I3" s="570">
        <v>9</v>
      </c>
      <c r="J3" s="569">
        <v>10</v>
      </c>
      <c r="K3" s="572">
        <v>11</v>
      </c>
      <c r="L3" s="571">
        <v>12</v>
      </c>
      <c r="M3" s="572">
        <v>13</v>
      </c>
      <c r="N3" s="569">
        <v>14</v>
      </c>
      <c r="O3" s="570">
        <v>15</v>
      </c>
      <c r="P3" s="569">
        <v>16</v>
      </c>
      <c r="Q3" s="570">
        <v>17</v>
      </c>
      <c r="R3" s="569">
        <v>18</v>
      </c>
    </row>
    <row r="4" spans="1:18" ht="27.6" customHeight="1" x14ac:dyDescent="0.3">
      <c r="A4" s="584" t="s">
        <v>954</v>
      </c>
      <c r="B4" s="584"/>
      <c r="C4" s="584"/>
      <c r="D4" s="584"/>
      <c r="E4" s="584"/>
      <c r="F4" s="584"/>
      <c r="G4" s="584"/>
      <c r="H4" s="584"/>
      <c r="I4" s="584"/>
      <c r="J4" s="584"/>
      <c r="K4" s="584"/>
      <c r="L4" s="584"/>
      <c r="M4" s="584"/>
      <c r="N4" s="584"/>
      <c r="O4" s="584"/>
      <c r="P4" s="584"/>
      <c r="Q4" s="584"/>
      <c r="R4" s="584"/>
    </row>
    <row r="5" spans="1:18" ht="27.6" customHeight="1" x14ac:dyDescent="0.3">
      <c r="A5" s="569" t="s">
        <v>955</v>
      </c>
      <c r="B5" s="571" t="s">
        <v>956</v>
      </c>
      <c r="C5" s="571" t="s">
        <v>957</v>
      </c>
      <c r="D5" s="571" t="s">
        <v>958</v>
      </c>
      <c r="E5" s="571" t="s">
        <v>959</v>
      </c>
      <c r="F5" s="569" t="s">
        <v>960</v>
      </c>
      <c r="G5" s="569" t="s">
        <v>961</v>
      </c>
      <c r="H5" s="569" t="s">
        <v>962</v>
      </c>
      <c r="I5" s="569" t="s">
        <v>963</v>
      </c>
      <c r="J5" s="569" t="s">
        <v>964</v>
      </c>
      <c r="K5" s="571" t="s">
        <v>965</v>
      </c>
      <c r="L5" s="571" t="s">
        <v>966</v>
      </c>
      <c r="M5" s="571" t="s">
        <v>967</v>
      </c>
      <c r="N5" s="569" t="s">
        <v>968</v>
      </c>
      <c r="O5" s="569">
        <f>-29.5/1930</f>
        <v>-1.5284974093264249E-2</v>
      </c>
      <c r="P5" s="569" t="s">
        <v>969</v>
      </c>
      <c r="Q5" s="569" t="s">
        <v>970</v>
      </c>
      <c r="R5" s="569" t="s">
        <v>971</v>
      </c>
    </row>
    <row r="6" spans="1:18" ht="27.6" customHeight="1" x14ac:dyDescent="0.3">
      <c r="A6" s="569" t="s">
        <v>972</v>
      </c>
      <c r="B6" s="571" t="s">
        <v>973</v>
      </c>
      <c r="C6" s="571" t="s">
        <v>974</v>
      </c>
      <c r="D6" s="571" t="s">
        <v>975</v>
      </c>
      <c r="E6" s="571" t="s">
        <v>976</v>
      </c>
      <c r="F6" s="569" t="s">
        <v>977</v>
      </c>
      <c r="G6" s="569" t="s">
        <v>978</v>
      </c>
      <c r="H6" s="569" t="s">
        <v>962</v>
      </c>
      <c r="I6" s="569" t="s">
        <v>979</v>
      </c>
      <c r="J6" s="569" t="s">
        <v>980</v>
      </c>
      <c r="K6" s="571" t="s">
        <v>981</v>
      </c>
      <c r="L6" s="571" t="s">
        <v>982</v>
      </c>
      <c r="M6" s="571" t="s">
        <v>983</v>
      </c>
      <c r="N6" s="569" t="s">
        <v>984</v>
      </c>
      <c r="O6" s="569">
        <f>-32/1930</f>
        <v>-1.6580310880829015E-2</v>
      </c>
      <c r="P6" s="569" t="s">
        <v>985</v>
      </c>
      <c r="Q6" s="569" t="s">
        <v>986</v>
      </c>
      <c r="R6" s="569" t="s">
        <v>987</v>
      </c>
    </row>
    <row r="7" spans="1:18" ht="27.6" customHeight="1" x14ac:dyDescent="0.3">
      <c r="A7" s="569" t="s">
        <v>988</v>
      </c>
      <c r="B7" s="571" t="s">
        <v>989</v>
      </c>
      <c r="C7" s="571" t="s">
        <v>967</v>
      </c>
      <c r="D7" s="571" t="s">
        <v>990</v>
      </c>
      <c r="E7" s="571" t="s">
        <v>991</v>
      </c>
      <c r="F7" s="569" t="s">
        <v>992</v>
      </c>
      <c r="G7" s="569" t="s">
        <v>978</v>
      </c>
      <c r="H7" s="569" t="s">
        <v>962</v>
      </c>
      <c r="I7" s="569" t="s">
        <v>993</v>
      </c>
      <c r="J7" s="569" t="s">
        <v>977</v>
      </c>
      <c r="K7" s="571" t="s">
        <v>994</v>
      </c>
      <c r="L7" s="571" t="s">
        <v>995</v>
      </c>
      <c r="M7" s="571" t="s">
        <v>996</v>
      </c>
      <c r="N7" s="569" t="s">
        <v>968</v>
      </c>
      <c r="O7" s="569">
        <f>-27.1/1969</f>
        <v>-1.3763331640426613E-2</v>
      </c>
      <c r="P7" s="569" t="s">
        <v>997</v>
      </c>
      <c r="Q7" s="569" t="s">
        <v>998</v>
      </c>
      <c r="R7" s="569" t="s">
        <v>999</v>
      </c>
    </row>
    <row r="8" spans="1:18" s="573" customFormat="1" ht="27.6" customHeight="1" x14ac:dyDescent="0.3">
      <c r="A8" s="571" t="s">
        <v>1000</v>
      </c>
      <c r="B8" s="571" t="s">
        <v>1001</v>
      </c>
      <c r="C8" s="571" t="s">
        <v>1002</v>
      </c>
      <c r="D8" s="571" t="s">
        <v>1003</v>
      </c>
      <c r="E8" s="571" t="s">
        <v>1004</v>
      </c>
      <c r="F8" s="571" t="s">
        <v>1005</v>
      </c>
      <c r="G8" s="571" t="s">
        <v>1006</v>
      </c>
      <c r="H8" s="571" t="s">
        <v>979</v>
      </c>
      <c r="I8" s="571" t="s">
        <v>1007</v>
      </c>
      <c r="J8" s="571" t="s">
        <v>1008</v>
      </c>
      <c r="K8" s="571" t="s">
        <v>1009</v>
      </c>
      <c r="L8" s="571" t="s">
        <v>1010</v>
      </c>
      <c r="M8" s="571" t="s">
        <v>1011</v>
      </c>
      <c r="N8" s="571" t="s">
        <v>1012</v>
      </c>
      <c r="O8" s="571">
        <f>-32.2/1969</f>
        <v>-1.6353478923311328E-2</v>
      </c>
      <c r="P8" s="571" t="s">
        <v>1013</v>
      </c>
      <c r="Q8" s="571" t="s">
        <v>1014</v>
      </c>
      <c r="R8" s="571" t="s">
        <v>1015</v>
      </c>
    </row>
    <row r="9" spans="1:18" ht="27.6" customHeight="1" x14ac:dyDescent="0.3">
      <c r="A9" s="569" t="s">
        <v>1016</v>
      </c>
      <c r="B9" s="571" t="s">
        <v>1017</v>
      </c>
      <c r="C9" s="571" t="s">
        <v>1018</v>
      </c>
      <c r="D9" s="571" t="s">
        <v>1019</v>
      </c>
      <c r="E9" s="571" t="s">
        <v>1020</v>
      </c>
      <c r="F9" s="569" t="s">
        <v>1021</v>
      </c>
      <c r="G9" s="569" t="s">
        <v>1022</v>
      </c>
      <c r="H9" s="569" t="s">
        <v>1023</v>
      </c>
      <c r="I9" s="569" t="s">
        <v>1024</v>
      </c>
      <c r="J9" s="569" t="s">
        <v>980</v>
      </c>
      <c r="K9" s="571" t="s">
        <v>1025</v>
      </c>
      <c r="L9" s="571" t="s">
        <v>995</v>
      </c>
      <c r="M9" s="571" t="s">
        <v>974</v>
      </c>
      <c r="N9" s="569" t="s">
        <v>1026</v>
      </c>
      <c r="O9" s="569">
        <f>-35/1930</f>
        <v>-1.8134715025906734E-2</v>
      </c>
      <c r="P9" s="569" t="s">
        <v>1027</v>
      </c>
      <c r="Q9" s="569" t="s">
        <v>998</v>
      </c>
      <c r="R9" s="569" t="s">
        <v>1028</v>
      </c>
    </row>
    <row r="10" spans="1:18" ht="27.6" customHeight="1" x14ac:dyDescent="0.3">
      <c r="A10" s="569" t="s">
        <v>1029</v>
      </c>
      <c r="B10" s="571" t="s">
        <v>1030</v>
      </c>
      <c r="C10" s="571" t="s">
        <v>1031</v>
      </c>
      <c r="D10" s="571" t="s">
        <v>1032</v>
      </c>
      <c r="E10" s="571" t="s">
        <v>1033</v>
      </c>
      <c r="F10" s="569" t="s">
        <v>1034</v>
      </c>
      <c r="G10" s="569" t="s">
        <v>1035</v>
      </c>
      <c r="H10" s="569" t="s">
        <v>1036</v>
      </c>
      <c r="I10" s="569" t="s">
        <v>1037</v>
      </c>
      <c r="J10" s="569" t="s">
        <v>1038</v>
      </c>
      <c r="K10" s="571" t="s">
        <v>1039</v>
      </c>
      <c r="L10" s="571" t="s">
        <v>1003</v>
      </c>
      <c r="M10" s="571" t="s">
        <v>1040</v>
      </c>
      <c r="N10" s="569" t="s">
        <v>1026</v>
      </c>
      <c r="O10" s="569">
        <f>-30.2/1930</f>
        <v>-1.5647668393782382E-2</v>
      </c>
      <c r="P10" s="569" t="s">
        <v>1041</v>
      </c>
      <c r="Q10" s="569" t="s">
        <v>1042</v>
      </c>
      <c r="R10" s="569" t="s">
        <v>1043</v>
      </c>
    </row>
    <row r="11" spans="1:18" ht="27.6" customHeight="1" x14ac:dyDescent="0.3">
      <c r="A11" s="569" t="s">
        <v>1044</v>
      </c>
      <c r="B11" s="571" t="s">
        <v>1017</v>
      </c>
      <c r="C11" s="571" t="s">
        <v>1045</v>
      </c>
      <c r="D11" s="571" t="s">
        <v>990</v>
      </c>
      <c r="E11" s="571" t="s">
        <v>1046</v>
      </c>
      <c r="F11" s="569" t="s">
        <v>977</v>
      </c>
      <c r="G11" s="569" t="s">
        <v>1047</v>
      </c>
      <c r="H11" s="569" t="s">
        <v>1048</v>
      </c>
      <c r="I11" s="569" t="s">
        <v>1035</v>
      </c>
      <c r="J11" s="569" t="s">
        <v>977</v>
      </c>
      <c r="K11" s="571" t="s">
        <v>1049</v>
      </c>
      <c r="L11" s="571" t="s">
        <v>1003</v>
      </c>
      <c r="M11" s="571" t="s">
        <v>1050</v>
      </c>
      <c r="N11" s="569" t="s">
        <v>1051</v>
      </c>
      <c r="O11" s="569">
        <f>-20.5/1979</f>
        <v>-1.0358767054067712E-2</v>
      </c>
      <c r="P11" s="569" t="s">
        <v>1052</v>
      </c>
      <c r="Q11" s="569" t="s">
        <v>1042</v>
      </c>
      <c r="R11" s="569" t="s">
        <v>1028</v>
      </c>
    </row>
    <row r="12" spans="1:18" ht="27.6" customHeight="1" x14ac:dyDescent="0.3">
      <c r="A12" s="569" t="s">
        <v>1053</v>
      </c>
      <c r="B12" s="571" t="s">
        <v>1054</v>
      </c>
      <c r="C12" s="571" t="s">
        <v>1055</v>
      </c>
      <c r="D12" s="571" t="s">
        <v>1056</v>
      </c>
      <c r="E12" s="571" t="s">
        <v>1057</v>
      </c>
      <c r="F12" s="569" t="s">
        <v>1058</v>
      </c>
      <c r="G12" s="569" t="s">
        <v>1059</v>
      </c>
      <c r="H12" s="569" t="s">
        <v>961</v>
      </c>
      <c r="I12" s="569" t="s">
        <v>1060</v>
      </c>
      <c r="J12" s="569" t="s">
        <v>1061</v>
      </c>
      <c r="K12" s="571" t="s">
        <v>1062</v>
      </c>
      <c r="L12" s="571" t="s">
        <v>1063</v>
      </c>
      <c r="M12" s="571" t="s">
        <v>974</v>
      </c>
      <c r="N12" s="569" t="s">
        <v>1012</v>
      </c>
      <c r="O12" s="569">
        <f>-27/1935</f>
        <v>-1.3953488372093023E-2</v>
      </c>
      <c r="P12" s="569" t="s">
        <v>1064</v>
      </c>
      <c r="Q12" s="569" t="s">
        <v>1065</v>
      </c>
      <c r="R12" s="569" t="s">
        <v>1066</v>
      </c>
    </row>
    <row r="13" spans="1:18" ht="27.6" customHeight="1" x14ac:dyDescent="0.3">
      <c r="A13" s="569" t="s">
        <v>1067</v>
      </c>
      <c r="B13" s="571" t="s">
        <v>1068</v>
      </c>
      <c r="C13" s="571" t="s">
        <v>1054</v>
      </c>
      <c r="D13" s="571" t="s">
        <v>1069</v>
      </c>
      <c r="E13" s="571" t="s">
        <v>1070</v>
      </c>
      <c r="F13" s="569" t="s">
        <v>1071</v>
      </c>
      <c r="G13" s="569" t="s">
        <v>977</v>
      </c>
      <c r="H13" s="569" t="s">
        <v>1007</v>
      </c>
      <c r="I13" s="569" t="s">
        <v>1072</v>
      </c>
      <c r="J13" s="569" t="s">
        <v>1073</v>
      </c>
      <c r="K13" s="571" t="s">
        <v>1074</v>
      </c>
      <c r="L13" s="571" t="s">
        <v>1075</v>
      </c>
      <c r="M13" s="571" t="s">
        <v>1030</v>
      </c>
      <c r="N13" s="569" t="s">
        <v>1070</v>
      </c>
      <c r="O13" s="569">
        <f>-29.7/1969</f>
        <v>-1.5083798882681564E-2</v>
      </c>
      <c r="P13" s="569" t="s">
        <v>1076</v>
      </c>
      <c r="Q13" s="569" t="s">
        <v>1077</v>
      </c>
      <c r="R13" s="569" t="s">
        <v>1078</v>
      </c>
    </row>
    <row r="14" spans="1:18" ht="27.6" customHeight="1" x14ac:dyDescent="0.3">
      <c r="A14" s="569" t="s">
        <v>1079</v>
      </c>
      <c r="B14" s="571" t="s">
        <v>1080</v>
      </c>
      <c r="C14" s="571" t="s">
        <v>1081</v>
      </c>
      <c r="D14" s="571" t="s">
        <v>1082</v>
      </c>
      <c r="E14" s="571" t="s">
        <v>1083</v>
      </c>
      <c r="F14" s="569" t="s">
        <v>1084</v>
      </c>
      <c r="G14" s="569" t="s">
        <v>1085</v>
      </c>
      <c r="H14" s="569" t="s">
        <v>1086</v>
      </c>
      <c r="I14" s="569" t="s">
        <v>1087</v>
      </c>
      <c r="J14" s="569" t="s">
        <v>1088</v>
      </c>
      <c r="K14" s="571" t="s">
        <v>1070</v>
      </c>
      <c r="L14" s="571" t="s">
        <v>1010</v>
      </c>
      <c r="M14" s="571" t="s">
        <v>1055</v>
      </c>
      <c r="N14" s="569" t="s">
        <v>1089</v>
      </c>
      <c r="O14" s="569">
        <f>-25.4/1974</f>
        <v>-1.2867274569402228E-2</v>
      </c>
      <c r="P14" s="569" t="s">
        <v>1090</v>
      </c>
      <c r="Q14" s="569" t="s">
        <v>1091</v>
      </c>
      <c r="R14" s="569" t="s">
        <v>1092</v>
      </c>
    </row>
    <row r="15" spans="1:18" ht="27.6" customHeight="1" x14ac:dyDescent="0.3">
      <c r="A15" s="569" t="s">
        <v>1093</v>
      </c>
      <c r="B15" s="571" t="s">
        <v>1094</v>
      </c>
      <c r="C15" s="571" t="s">
        <v>1095</v>
      </c>
      <c r="D15" s="571" t="s">
        <v>1017</v>
      </c>
      <c r="E15" s="571" t="s">
        <v>1096</v>
      </c>
      <c r="F15" s="569" t="s">
        <v>1097</v>
      </c>
      <c r="G15" s="569" t="s">
        <v>1098</v>
      </c>
      <c r="H15" s="569" t="s">
        <v>1099</v>
      </c>
      <c r="I15" s="569" t="s">
        <v>1100</v>
      </c>
      <c r="J15" s="569" t="s">
        <v>1101</v>
      </c>
      <c r="K15" s="571" t="s">
        <v>995</v>
      </c>
      <c r="L15" s="571" t="s">
        <v>1102</v>
      </c>
      <c r="M15" s="571" t="s">
        <v>1103</v>
      </c>
      <c r="N15" s="569" t="s">
        <v>1104</v>
      </c>
      <c r="O15" s="569">
        <f>-24.5/1969</f>
        <v>-1.244286439817166E-2</v>
      </c>
      <c r="P15" s="569" t="s">
        <v>1105</v>
      </c>
      <c r="Q15" s="569" t="s">
        <v>1024</v>
      </c>
      <c r="R15" s="569" t="s">
        <v>1106</v>
      </c>
    </row>
    <row r="16" spans="1:18" ht="27.6" customHeight="1" x14ac:dyDescent="0.3">
      <c r="A16" s="569" t="s">
        <v>1107</v>
      </c>
      <c r="B16" s="571" t="s">
        <v>1094</v>
      </c>
      <c r="C16" s="571" t="s">
        <v>1108</v>
      </c>
      <c r="D16" s="571" t="s">
        <v>1109</v>
      </c>
      <c r="E16" s="571" t="s">
        <v>1110</v>
      </c>
      <c r="F16" s="569" t="s">
        <v>1111</v>
      </c>
      <c r="G16" s="569" t="s">
        <v>1112</v>
      </c>
      <c r="H16" s="569" t="s">
        <v>1113</v>
      </c>
      <c r="I16" s="569" t="s">
        <v>1038</v>
      </c>
      <c r="J16" s="569" t="s">
        <v>959</v>
      </c>
      <c r="K16" s="571" t="s">
        <v>975</v>
      </c>
      <c r="L16" s="571" t="s">
        <v>1114</v>
      </c>
      <c r="M16" s="571" t="s">
        <v>1103</v>
      </c>
      <c r="N16" s="569" t="s">
        <v>1115</v>
      </c>
      <c r="O16" s="569">
        <f>-23/1941</f>
        <v>-1.184956208140134E-2</v>
      </c>
      <c r="P16" s="569" t="s">
        <v>1116</v>
      </c>
      <c r="Q16" s="569" t="s">
        <v>993</v>
      </c>
      <c r="R16" s="569" t="s">
        <v>1117</v>
      </c>
    </row>
    <row r="17" spans="1:18" ht="27.6" customHeight="1" x14ac:dyDescent="0.3">
      <c r="A17" s="569" t="s">
        <v>1118</v>
      </c>
      <c r="B17" s="571" t="s">
        <v>1094</v>
      </c>
      <c r="C17" s="571" t="s">
        <v>1119</v>
      </c>
      <c r="D17" s="571" t="s">
        <v>1050</v>
      </c>
      <c r="E17" s="571" t="s">
        <v>1120</v>
      </c>
      <c r="F17" s="569" t="s">
        <v>984</v>
      </c>
      <c r="G17" s="569" t="s">
        <v>1121</v>
      </c>
      <c r="H17" s="569" t="s">
        <v>1021</v>
      </c>
      <c r="I17" s="569" t="s">
        <v>1122</v>
      </c>
      <c r="J17" s="569" t="s">
        <v>1123</v>
      </c>
      <c r="K17" s="571" t="s">
        <v>1019</v>
      </c>
      <c r="L17" s="571" t="s">
        <v>1124</v>
      </c>
      <c r="M17" s="571" t="s">
        <v>1125</v>
      </c>
      <c r="N17" s="569" t="s">
        <v>1126</v>
      </c>
      <c r="O17" s="569">
        <f>-26.9/1943</f>
        <v>-1.3844570252187339E-2</v>
      </c>
      <c r="P17" s="569" t="s">
        <v>1127</v>
      </c>
      <c r="Q17" s="569" t="s">
        <v>1128</v>
      </c>
      <c r="R17" s="569" t="s">
        <v>1129</v>
      </c>
    </row>
    <row r="18" spans="1:18" ht="27.6" customHeight="1" x14ac:dyDescent="0.3">
      <c r="A18" s="569" t="s">
        <v>1130</v>
      </c>
      <c r="B18" s="571" t="s">
        <v>1131</v>
      </c>
      <c r="C18" s="571" t="s">
        <v>1132</v>
      </c>
      <c r="D18" s="571" t="s">
        <v>1133</v>
      </c>
      <c r="E18" s="571" t="s">
        <v>1017</v>
      </c>
      <c r="F18" s="569" t="s">
        <v>1063</v>
      </c>
      <c r="G18" s="569" t="s">
        <v>1134</v>
      </c>
      <c r="H18" s="569" t="s">
        <v>1026</v>
      </c>
      <c r="I18" s="569" t="s">
        <v>1004</v>
      </c>
      <c r="J18" s="569" t="s">
        <v>1135</v>
      </c>
      <c r="K18" s="571" t="s">
        <v>1136</v>
      </c>
      <c r="L18" s="571" t="s">
        <v>1094</v>
      </c>
      <c r="M18" s="571" t="s">
        <v>1137</v>
      </c>
      <c r="N18" s="569" t="s">
        <v>1138</v>
      </c>
      <c r="O18" s="569">
        <f>-31.6/1969</f>
        <v>-1.6048755713560185E-2</v>
      </c>
      <c r="P18" s="569" t="s">
        <v>1139</v>
      </c>
      <c r="Q18" s="569" t="s">
        <v>1086</v>
      </c>
      <c r="R18" s="569" t="s">
        <v>1140</v>
      </c>
    </row>
  </sheetData>
  <mergeCells count="8">
    <mergeCell ref="A4:R4"/>
    <mergeCell ref="B1:M1"/>
    <mergeCell ref="A1:A2"/>
    <mergeCell ref="N1:N2"/>
    <mergeCell ref="O1:O2"/>
    <mergeCell ref="P1:P2"/>
    <mergeCell ref="Q1:Q2"/>
    <mergeCell ref="R1: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8"/>
  <sheetViews>
    <sheetView topLeftCell="A4" zoomScale="174" zoomScaleNormal="89" workbookViewId="0">
      <selection activeCell="E8" sqref="E8"/>
    </sheetView>
  </sheetViews>
  <sheetFormatPr defaultRowHeight="14.4" x14ac:dyDescent="0.3"/>
  <cols>
    <col min="1" max="1" width="5.5546875" customWidth="1"/>
    <col min="2" max="2" width="57.5546875" customWidth="1"/>
    <col min="3" max="3" width="11.33203125" customWidth="1"/>
    <col min="4" max="4" width="8.44140625" customWidth="1"/>
    <col min="5" max="5" width="22.5546875" customWidth="1"/>
  </cols>
  <sheetData>
    <row r="2" spans="2:4" ht="15" thickBot="1" x14ac:dyDescent="0.35"/>
    <row r="3" spans="2:4" ht="26.7" customHeight="1" x14ac:dyDescent="0.3">
      <c r="B3" s="61" t="s">
        <v>1</v>
      </c>
      <c r="C3" s="62" t="s">
        <v>3</v>
      </c>
      <c r="D3" s="63" t="s">
        <v>30</v>
      </c>
    </row>
    <row r="4" spans="2:4" x14ac:dyDescent="0.3">
      <c r="B4" s="64" t="s">
        <v>120</v>
      </c>
      <c r="C4" s="60" t="s">
        <v>31</v>
      </c>
      <c r="D4" s="65">
        <f>Envelope!L95</f>
        <v>2515.415</v>
      </c>
    </row>
    <row r="5" spans="2:4" x14ac:dyDescent="0.3">
      <c r="B5" s="64" t="s">
        <v>122</v>
      </c>
      <c r="C5" s="60" t="s">
        <v>32</v>
      </c>
      <c r="D5" s="65">
        <f>Envelope!M95</f>
        <v>7546.2450000000008</v>
      </c>
    </row>
    <row r="6" spans="2:4" x14ac:dyDescent="0.3">
      <c r="B6" s="64" t="s">
        <v>121</v>
      </c>
      <c r="C6" s="60" t="s">
        <v>31</v>
      </c>
      <c r="D6" s="419">
        <v>0</v>
      </c>
    </row>
    <row r="7" spans="2:4" ht="14.7" customHeight="1" x14ac:dyDescent="0.3">
      <c r="B7" s="64" t="s">
        <v>321</v>
      </c>
      <c r="C7" s="60" t="s">
        <v>33</v>
      </c>
      <c r="D7" s="66">
        <v>163</v>
      </c>
    </row>
    <row r="8" spans="2:4" ht="23.25" customHeight="1" x14ac:dyDescent="0.3">
      <c r="B8" s="64" t="s">
        <v>148</v>
      </c>
      <c r="C8" s="60" t="s">
        <v>34</v>
      </c>
      <c r="D8" s="190">
        <v>14</v>
      </c>
    </row>
    <row r="9" spans="2:4" ht="25.5" customHeight="1" x14ac:dyDescent="0.3">
      <c r="B9" s="64" t="s">
        <v>147</v>
      </c>
      <c r="C9" s="60" t="s">
        <v>34</v>
      </c>
      <c r="D9" s="66">
        <v>22</v>
      </c>
    </row>
    <row r="10" spans="2:4" ht="23.7" customHeight="1" x14ac:dyDescent="0.3">
      <c r="B10" s="64" t="s">
        <v>322</v>
      </c>
      <c r="C10" s="60" t="s">
        <v>34</v>
      </c>
      <c r="D10" s="66">
        <v>3.9</v>
      </c>
    </row>
    <row r="11" spans="2:4" ht="28.8" customHeight="1" x14ac:dyDescent="0.3">
      <c r="B11" s="64" t="s">
        <v>323</v>
      </c>
      <c r="C11" s="60" t="s">
        <v>34</v>
      </c>
      <c r="D11" s="66">
        <v>-14</v>
      </c>
    </row>
    <row r="12" spans="2:4" x14ac:dyDescent="0.3">
      <c r="B12" s="64" t="s">
        <v>35</v>
      </c>
      <c r="C12" s="60" t="s">
        <v>36</v>
      </c>
      <c r="D12" s="66">
        <f>D14*D7</f>
        <v>1630</v>
      </c>
    </row>
    <row r="13" spans="2:4" x14ac:dyDescent="0.3">
      <c r="B13" s="64" t="s">
        <v>37</v>
      </c>
      <c r="C13" s="60" t="s">
        <v>36</v>
      </c>
      <c r="D13" s="66">
        <v>14</v>
      </c>
    </row>
    <row r="14" spans="2:4" x14ac:dyDescent="0.3">
      <c r="B14" s="64" t="s">
        <v>38</v>
      </c>
      <c r="C14" s="60" t="s">
        <v>39</v>
      </c>
      <c r="D14" s="66">
        <v>10</v>
      </c>
    </row>
    <row r="15" spans="2:4" ht="24" x14ac:dyDescent="0.3">
      <c r="B15" s="64" t="s">
        <v>271</v>
      </c>
      <c r="C15" s="60" t="s">
        <v>269</v>
      </c>
      <c r="D15" s="144">
        <v>48.4</v>
      </c>
    </row>
    <row r="16" spans="2:4" x14ac:dyDescent="0.3">
      <c r="B16" s="64" t="s">
        <v>270</v>
      </c>
      <c r="C16" s="60" t="s">
        <v>269</v>
      </c>
      <c r="D16" s="144">
        <v>59.5</v>
      </c>
    </row>
    <row r="17" spans="2:4" x14ac:dyDescent="0.3">
      <c r="B17" s="64" t="s">
        <v>567</v>
      </c>
      <c r="C17" s="60" t="s">
        <v>269</v>
      </c>
      <c r="D17" s="279">
        <v>69.13</v>
      </c>
    </row>
    <row r="18" spans="2:4" ht="15" thickBot="1" x14ac:dyDescent="0.35">
      <c r="B18" s="67" t="s">
        <v>40</v>
      </c>
      <c r="C18" s="68" t="s">
        <v>41</v>
      </c>
      <c r="D18" s="69">
        <f>360+58</f>
        <v>418</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4:AI125"/>
  <sheetViews>
    <sheetView topLeftCell="T78" zoomScale="151" zoomScaleNormal="55" workbookViewId="0">
      <selection activeCell="Z74" sqref="Z74"/>
    </sheetView>
  </sheetViews>
  <sheetFormatPr defaultRowHeight="14.4" x14ac:dyDescent="0.3"/>
  <cols>
    <col min="4" max="5" width="8.6640625" customWidth="1"/>
    <col min="6" max="7" width="9.33203125" customWidth="1"/>
    <col min="8" max="8" width="9.33203125" style="1" customWidth="1"/>
    <col min="9" max="29" width="9.33203125" customWidth="1"/>
    <col min="32" max="32" width="44.44140625" customWidth="1"/>
    <col min="33" max="33" width="10.44140625" customWidth="1"/>
  </cols>
  <sheetData>
    <row r="4" spans="1:32" x14ac:dyDescent="0.3">
      <c r="B4" s="626" t="s">
        <v>497</v>
      </c>
      <c r="C4" s="626" t="s">
        <v>170</v>
      </c>
      <c r="D4" s="626" t="s">
        <v>78</v>
      </c>
      <c r="E4" s="629" t="s">
        <v>97</v>
      </c>
      <c r="F4" s="625" t="s">
        <v>67</v>
      </c>
      <c r="G4" s="625"/>
      <c r="H4" s="625"/>
      <c r="I4" s="625"/>
      <c r="J4" s="625"/>
      <c r="K4" s="625"/>
      <c r="L4" s="625" t="s">
        <v>68</v>
      </c>
      <c r="M4" s="625"/>
      <c r="N4" s="625"/>
      <c r="O4" s="625"/>
      <c r="P4" s="625"/>
      <c r="Q4" s="625"/>
      <c r="R4" s="625"/>
      <c r="S4" s="625"/>
      <c r="T4" s="625"/>
      <c r="U4" s="625" t="s">
        <v>69</v>
      </c>
      <c r="V4" s="625"/>
      <c r="W4" s="625"/>
      <c r="X4" s="625"/>
      <c r="Y4" s="625"/>
      <c r="Z4" s="625"/>
      <c r="AA4" s="625"/>
      <c r="AB4" s="625"/>
      <c r="AC4" s="625"/>
    </row>
    <row r="5" spans="1:32" ht="14.7" customHeight="1" x14ac:dyDescent="0.3">
      <c r="B5" s="626"/>
      <c r="C5" s="626"/>
      <c r="D5" s="626"/>
      <c r="E5" s="630"/>
      <c r="F5" s="625" t="s">
        <v>63</v>
      </c>
      <c r="G5" s="625"/>
      <c r="H5" s="625"/>
      <c r="I5" s="625" t="s">
        <v>50</v>
      </c>
      <c r="J5" s="625"/>
      <c r="K5" s="625"/>
      <c r="L5" s="625" t="s">
        <v>63</v>
      </c>
      <c r="M5" s="625"/>
      <c r="N5" s="625" t="s">
        <v>70</v>
      </c>
      <c r="O5" s="625"/>
      <c r="P5" s="625"/>
      <c r="Q5" s="625" t="s">
        <v>50</v>
      </c>
      <c r="R5" s="625"/>
      <c r="S5" s="625"/>
      <c r="T5" s="626" t="s">
        <v>83</v>
      </c>
      <c r="U5" s="625" t="s">
        <v>63</v>
      </c>
      <c r="V5" s="625"/>
      <c r="W5" s="625" t="s">
        <v>70</v>
      </c>
      <c r="X5" s="625"/>
      <c r="Y5" s="625"/>
      <c r="Z5" s="625" t="s">
        <v>50</v>
      </c>
      <c r="AA5" s="625"/>
      <c r="AB5" s="625"/>
      <c r="AC5" s="626" t="s">
        <v>94</v>
      </c>
    </row>
    <row r="6" spans="1:32" ht="100.8" x14ac:dyDescent="0.3">
      <c r="B6" s="626"/>
      <c r="C6" s="626"/>
      <c r="D6" s="626"/>
      <c r="E6" s="631"/>
      <c r="F6" s="11" t="s">
        <v>64</v>
      </c>
      <c r="G6" s="11" t="s">
        <v>72</v>
      </c>
      <c r="H6" s="11" t="s">
        <v>77</v>
      </c>
      <c r="I6" s="11" t="s">
        <v>79</v>
      </c>
      <c r="J6" s="11" t="s">
        <v>80</v>
      </c>
      <c r="K6" s="11" t="s">
        <v>81</v>
      </c>
      <c r="L6" s="11" t="s">
        <v>64</v>
      </c>
      <c r="M6" s="11" t="s">
        <v>82</v>
      </c>
      <c r="N6" s="11" t="s">
        <v>84</v>
      </c>
      <c r="O6" s="11" t="s">
        <v>85</v>
      </c>
      <c r="P6" s="11" t="s">
        <v>86</v>
      </c>
      <c r="Q6" s="11" t="s">
        <v>87</v>
      </c>
      <c r="R6" s="11" t="s">
        <v>88</v>
      </c>
      <c r="S6" s="11" t="s">
        <v>89</v>
      </c>
      <c r="T6" s="626"/>
      <c r="U6" s="11" t="s">
        <v>64</v>
      </c>
      <c r="V6" s="11" t="s">
        <v>82</v>
      </c>
      <c r="W6" s="11" t="s">
        <v>90</v>
      </c>
      <c r="X6" s="11" t="s">
        <v>91</v>
      </c>
      <c r="Y6" s="11" t="s">
        <v>92</v>
      </c>
      <c r="Z6" s="11" t="s">
        <v>93</v>
      </c>
      <c r="AA6" s="11" t="s">
        <v>95</v>
      </c>
      <c r="AB6" s="11" t="s">
        <v>96</v>
      </c>
      <c r="AC6" s="626"/>
      <c r="AD6" s="428">
        <f>SUM(AD7:AD73)</f>
        <v>256.62</v>
      </c>
    </row>
    <row r="7" spans="1:32" ht="14.4" customHeight="1" x14ac:dyDescent="0.3">
      <c r="A7" t="s">
        <v>621</v>
      </c>
      <c r="B7" s="627" t="s">
        <v>846</v>
      </c>
      <c r="C7" s="38" t="s">
        <v>212</v>
      </c>
      <c r="D7" s="590" t="s">
        <v>71</v>
      </c>
      <c r="E7" s="510" t="s">
        <v>785</v>
      </c>
      <c r="F7" s="511">
        <v>50.7</v>
      </c>
      <c r="G7" s="511">
        <f>3.3*2</f>
        <v>6.6</v>
      </c>
      <c r="H7" s="512"/>
      <c r="I7" s="16">
        <f>F7*G7</f>
        <v>334.62</v>
      </c>
      <c r="J7" s="16">
        <f>F7*H7</f>
        <v>0</v>
      </c>
      <c r="K7" s="16">
        <f t="shared" ref="K7:K70" si="0">I7-Q7-R7-S7-Z7-AA7-AB7</f>
        <v>277.82</v>
      </c>
      <c r="L7" s="513">
        <v>1.2</v>
      </c>
      <c r="M7" s="513">
        <v>1.8</v>
      </c>
      <c r="N7" s="514"/>
      <c r="O7" s="514"/>
      <c r="P7" s="514">
        <v>21</v>
      </c>
      <c r="Q7" s="13">
        <f t="shared" ref="Q7:Q14" si="1">L7*M7*N7</f>
        <v>0</v>
      </c>
      <c r="R7" s="13">
        <f>L7*M7*O7</f>
        <v>0</v>
      </c>
      <c r="S7" s="13">
        <f t="shared" ref="S7:S14" si="2">L7*M7*P7</f>
        <v>45.36</v>
      </c>
      <c r="T7" s="13">
        <f t="shared" ref="T7:T14" si="3">((L7+M7)*2)*(N7+O7+P7)</f>
        <v>126</v>
      </c>
      <c r="U7" s="515">
        <v>2.2000000000000002</v>
      </c>
      <c r="V7" s="515">
        <v>2.6</v>
      </c>
      <c r="W7" s="516">
        <v>2</v>
      </c>
      <c r="X7" s="514"/>
      <c r="Y7" s="514"/>
      <c r="Z7" s="13">
        <f>U7*V7*W7</f>
        <v>11.440000000000001</v>
      </c>
      <c r="AA7" s="13">
        <f>U7*V7*X7</f>
        <v>0</v>
      </c>
      <c r="AB7" s="13">
        <f>U7*V7*Y7</f>
        <v>0</v>
      </c>
      <c r="AC7" s="13">
        <f>((U7+V7)*2)*(W7+X7+Y7)</f>
        <v>19.200000000000003</v>
      </c>
      <c r="AD7" s="444">
        <f>SUM(Q7:S7)</f>
        <v>45.36</v>
      </c>
      <c r="AE7" s="429" t="s">
        <v>211</v>
      </c>
      <c r="AF7" s="427">
        <f t="shared" ref="AF7:AF14" si="4">SUMIF($C$7:$C$73,AE7,$AD$7:$AD$73)</f>
        <v>79.02</v>
      </c>
    </row>
    <row r="8" spans="1:32" ht="36" x14ac:dyDescent="0.3">
      <c r="B8" s="628"/>
      <c r="C8" s="38"/>
      <c r="D8" s="591"/>
      <c r="E8" s="517" t="s">
        <v>796</v>
      </c>
      <c r="F8" s="511">
        <v>50.7</v>
      </c>
      <c r="G8" s="511">
        <v>0.55000000000000004</v>
      </c>
      <c r="H8" s="512"/>
      <c r="I8" s="16">
        <f t="shared" ref="I8:I71" si="5">F8*G8</f>
        <v>27.885000000000005</v>
      </c>
      <c r="J8" s="16">
        <f t="shared" ref="J8:J71" si="6">F8*H8</f>
        <v>0</v>
      </c>
      <c r="K8" s="16">
        <f t="shared" si="0"/>
        <v>22.485000000000003</v>
      </c>
      <c r="L8" s="513">
        <v>1</v>
      </c>
      <c r="M8" s="513">
        <v>1.8</v>
      </c>
      <c r="N8" s="514"/>
      <c r="O8" s="514"/>
      <c r="P8" s="514">
        <v>1</v>
      </c>
      <c r="Q8" s="13">
        <f t="shared" si="1"/>
        <v>0</v>
      </c>
      <c r="R8" s="13">
        <f t="shared" ref="R8:R71" si="7">L8*M8*O8</f>
        <v>0</v>
      </c>
      <c r="S8" s="13">
        <f t="shared" si="2"/>
        <v>1.8</v>
      </c>
      <c r="T8" s="13">
        <f t="shared" si="3"/>
        <v>5.6</v>
      </c>
      <c r="U8" s="518">
        <v>0.9</v>
      </c>
      <c r="V8" s="518">
        <v>2</v>
      </c>
      <c r="W8" s="519">
        <v>2</v>
      </c>
      <c r="X8" s="514"/>
      <c r="Y8" s="514"/>
      <c r="Z8" s="13">
        <f t="shared" ref="Z8:Z71" si="8">U8*V8*W8</f>
        <v>3.6</v>
      </c>
      <c r="AA8" s="13">
        <f t="shared" ref="AA8:AA71" si="9">U8*V8*X8</f>
        <v>0</v>
      </c>
      <c r="AB8" s="13">
        <f t="shared" ref="AB8:AB71" si="10">U8*V8*Y8</f>
        <v>0</v>
      </c>
      <c r="AC8" s="13">
        <f t="shared" ref="AC8:AC71" si="11">((U8+V8)*2)*(W8+X8+Y8)</f>
        <v>11.6</v>
      </c>
      <c r="AD8" s="444">
        <f t="shared" ref="AD8:AD71" si="12">SUM(Q8:S8)</f>
        <v>1.8</v>
      </c>
      <c r="AE8" s="429" t="s">
        <v>212</v>
      </c>
      <c r="AF8" s="427">
        <f t="shared" si="4"/>
        <v>86.4</v>
      </c>
    </row>
    <row r="9" spans="1:32" x14ac:dyDescent="0.3">
      <c r="B9" s="628"/>
      <c r="C9" s="38"/>
      <c r="D9" s="592"/>
      <c r="E9" s="517"/>
      <c r="F9" s="511"/>
      <c r="G9" s="511"/>
      <c r="H9" s="512"/>
      <c r="I9" s="16">
        <f t="shared" si="5"/>
        <v>0</v>
      </c>
      <c r="J9" s="16">
        <f t="shared" si="6"/>
        <v>0</v>
      </c>
      <c r="K9" s="16">
        <f t="shared" si="0"/>
        <v>-2.5600000000000005</v>
      </c>
      <c r="L9" s="513">
        <v>0.8</v>
      </c>
      <c r="M9" s="513">
        <v>0.8</v>
      </c>
      <c r="N9" s="514"/>
      <c r="O9" s="514"/>
      <c r="P9" s="514">
        <v>4</v>
      </c>
      <c r="Q9" s="13">
        <f t="shared" si="1"/>
        <v>0</v>
      </c>
      <c r="R9" s="13">
        <f t="shared" si="7"/>
        <v>0</v>
      </c>
      <c r="S9" s="13">
        <f t="shared" si="2"/>
        <v>2.5600000000000005</v>
      </c>
      <c r="T9" s="13">
        <f t="shared" si="3"/>
        <v>12.8</v>
      </c>
      <c r="U9" s="513"/>
      <c r="V9" s="513"/>
      <c r="W9" s="514"/>
      <c r="X9" s="514"/>
      <c r="Y9" s="514"/>
      <c r="Z9" s="13">
        <f t="shared" si="8"/>
        <v>0</v>
      </c>
      <c r="AA9" s="13">
        <f t="shared" si="9"/>
        <v>0</v>
      </c>
      <c r="AB9" s="13">
        <f t="shared" si="10"/>
        <v>0</v>
      </c>
      <c r="AC9" s="13">
        <f t="shared" si="11"/>
        <v>0</v>
      </c>
      <c r="AD9" s="444">
        <f t="shared" si="12"/>
        <v>2.5600000000000005</v>
      </c>
      <c r="AE9" s="429" t="s">
        <v>214</v>
      </c>
      <c r="AF9" s="427">
        <f t="shared" si="4"/>
        <v>10.8</v>
      </c>
    </row>
    <row r="10" spans="1:32" x14ac:dyDescent="0.3">
      <c r="B10" s="628"/>
      <c r="C10" s="38" t="s">
        <v>215</v>
      </c>
      <c r="D10" s="590" t="s">
        <v>73</v>
      </c>
      <c r="E10" s="510" t="s">
        <v>785</v>
      </c>
      <c r="F10" s="511">
        <v>13.2</v>
      </c>
      <c r="G10" s="511">
        <f>3.3*2</f>
        <v>6.6</v>
      </c>
      <c r="H10" s="512"/>
      <c r="I10" s="16">
        <f t="shared" si="5"/>
        <v>87.11999999999999</v>
      </c>
      <c r="J10" s="16">
        <f t="shared" si="6"/>
        <v>0</v>
      </c>
      <c r="K10" s="16">
        <f t="shared" si="0"/>
        <v>75.239999999999981</v>
      </c>
      <c r="L10" s="513">
        <v>1.2</v>
      </c>
      <c r="M10" s="513">
        <v>1.8</v>
      </c>
      <c r="N10" s="520"/>
      <c r="O10" s="520"/>
      <c r="P10" s="520">
        <v>3</v>
      </c>
      <c r="Q10" s="13">
        <f t="shared" si="1"/>
        <v>0</v>
      </c>
      <c r="R10" s="13">
        <f t="shared" si="7"/>
        <v>0</v>
      </c>
      <c r="S10" s="13">
        <f t="shared" si="2"/>
        <v>6.48</v>
      </c>
      <c r="T10" s="13">
        <f t="shared" si="3"/>
        <v>18</v>
      </c>
      <c r="U10" s="518">
        <v>0.9</v>
      </c>
      <c r="V10" s="518">
        <v>2</v>
      </c>
      <c r="W10" s="519">
        <v>3</v>
      </c>
      <c r="X10" s="514"/>
      <c r="Y10" s="520"/>
      <c r="Z10" s="13">
        <f t="shared" si="8"/>
        <v>5.4</v>
      </c>
      <c r="AA10" s="13">
        <f t="shared" si="9"/>
        <v>0</v>
      </c>
      <c r="AB10" s="13">
        <f t="shared" si="10"/>
        <v>0</v>
      </c>
      <c r="AC10" s="14">
        <f t="shared" si="11"/>
        <v>17.399999999999999</v>
      </c>
      <c r="AD10" s="444">
        <f t="shared" si="12"/>
        <v>6.48</v>
      </c>
      <c r="AE10" s="429" t="s">
        <v>215</v>
      </c>
      <c r="AF10" s="427">
        <f t="shared" si="4"/>
        <v>14.760000000000002</v>
      </c>
    </row>
    <row r="11" spans="1:32" x14ac:dyDescent="0.3">
      <c r="B11" s="628"/>
      <c r="C11" s="38"/>
      <c r="D11" s="592"/>
      <c r="E11" s="510" t="s">
        <v>796</v>
      </c>
      <c r="F11" s="511">
        <v>13.2</v>
      </c>
      <c r="G11" s="511">
        <v>0.55000000000000004</v>
      </c>
      <c r="H11" s="512"/>
      <c r="I11" s="16">
        <f t="shared" si="5"/>
        <v>7.26</v>
      </c>
      <c r="J11" s="16">
        <f t="shared" si="6"/>
        <v>0</v>
      </c>
      <c r="K11" s="16">
        <f>I11-Q11-R11-S11-Z11-AA11-AB11</f>
        <v>5.9999999999999609E-2</v>
      </c>
      <c r="L11" s="513">
        <v>1</v>
      </c>
      <c r="M11" s="513">
        <v>1.8</v>
      </c>
      <c r="N11" s="520"/>
      <c r="O11" s="520"/>
      <c r="P11" s="520">
        <v>4</v>
      </c>
      <c r="Q11" s="13">
        <f t="shared" si="1"/>
        <v>0</v>
      </c>
      <c r="R11" s="13">
        <f t="shared" si="7"/>
        <v>0</v>
      </c>
      <c r="S11" s="13">
        <f t="shared" si="2"/>
        <v>7.2</v>
      </c>
      <c r="T11" s="13">
        <f t="shared" si="3"/>
        <v>22.4</v>
      </c>
      <c r="U11" s="520"/>
      <c r="V11" s="520"/>
      <c r="W11" s="520"/>
      <c r="X11" s="520"/>
      <c r="Y11" s="520"/>
      <c r="Z11" s="13">
        <f t="shared" si="8"/>
        <v>0</v>
      </c>
      <c r="AA11" s="13">
        <f t="shared" si="9"/>
        <v>0</v>
      </c>
      <c r="AB11" s="13">
        <f t="shared" si="10"/>
        <v>0</v>
      </c>
      <c r="AC11" s="14">
        <f t="shared" si="11"/>
        <v>0</v>
      </c>
      <c r="AD11" s="444">
        <f t="shared" si="12"/>
        <v>7.2</v>
      </c>
      <c r="AE11" s="429" t="s">
        <v>217</v>
      </c>
      <c r="AF11" s="427">
        <f t="shared" si="4"/>
        <v>0</v>
      </c>
    </row>
    <row r="12" spans="1:32" x14ac:dyDescent="0.3">
      <c r="B12" s="628"/>
      <c r="C12" s="38" t="s">
        <v>211</v>
      </c>
      <c r="D12" s="590" t="s">
        <v>74</v>
      </c>
      <c r="E12" s="510" t="s">
        <v>785</v>
      </c>
      <c r="F12" s="511">
        <v>24.5</v>
      </c>
      <c r="G12" s="511">
        <v>6.6</v>
      </c>
      <c r="H12" s="512"/>
      <c r="I12" s="16">
        <f t="shared" si="5"/>
        <v>161.69999999999999</v>
      </c>
      <c r="J12" s="16">
        <f t="shared" si="6"/>
        <v>0</v>
      </c>
      <c r="K12" s="16">
        <f t="shared" si="0"/>
        <v>135.77999999999997</v>
      </c>
      <c r="L12" s="513">
        <v>1.2</v>
      </c>
      <c r="M12" s="513">
        <v>1.8</v>
      </c>
      <c r="N12" s="520"/>
      <c r="O12" s="520"/>
      <c r="P12" s="520">
        <v>12</v>
      </c>
      <c r="Q12" s="13">
        <f t="shared" si="1"/>
        <v>0</v>
      </c>
      <c r="R12" s="13">
        <f t="shared" si="7"/>
        <v>0</v>
      </c>
      <c r="S12" s="13">
        <f t="shared" si="2"/>
        <v>25.92</v>
      </c>
      <c r="T12" s="14">
        <f t="shared" si="3"/>
        <v>72</v>
      </c>
      <c r="U12" s="518"/>
      <c r="V12" s="518"/>
      <c r="W12" s="520"/>
      <c r="X12" s="520"/>
      <c r="Y12" s="520"/>
      <c r="Z12" s="13">
        <f t="shared" si="8"/>
        <v>0</v>
      </c>
      <c r="AA12" s="13">
        <f t="shared" si="9"/>
        <v>0</v>
      </c>
      <c r="AB12" s="13">
        <f t="shared" si="10"/>
        <v>0</v>
      </c>
      <c r="AC12" s="14">
        <f t="shared" si="11"/>
        <v>0</v>
      </c>
      <c r="AD12" s="444">
        <f t="shared" si="12"/>
        <v>25.92</v>
      </c>
      <c r="AE12" s="429" t="s">
        <v>216</v>
      </c>
      <c r="AF12" s="427">
        <f t="shared" si="4"/>
        <v>0</v>
      </c>
    </row>
    <row r="13" spans="1:32" ht="36" x14ac:dyDescent="0.3">
      <c r="B13" s="628"/>
      <c r="C13" s="38"/>
      <c r="D13" s="592"/>
      <c r="E13" s="517" t="s">
        <v>796</v>
      </c>
      <c r="F13" s="511">
        <v>24.5</v>
      </c>
      <c r="G13" s="512">
        <v>0.55000000000000004</v>
      </c>
      <c r="H13" s="512"/>
      <c r="I13" s="16">
        <f t="shared" si="5"/>
        <v>13.475000000000001</v>
      </c>
      <c r="J13" s="16">
        <f t="shared" si="6"/>
        <v>0</v>
      </c>
      <c r="K13" s="16">
        <f t="shared" si="0"/>
        <v>12.195</v>
      </c>
      <c r="L13" s="513">
        <v>0.8</v>
      </c>
      <c r="M13" s="513">
        <v>0.8</v>
      </c>
      <c r="N13" s="520"/>
      <c r="O13" s="520"/>
      <c r="P13" s="520">
        <v>2</v>
      </c>
      <c r="Q13" s="13">
        <f t="shared" si="1"/>
        <v>0</v>
      </c>
      <c r="R13" s="13">
        <f t="shared" si="7"/>
        <v>0</v>
      </c>
      <c r="S13" s="13">
        <f t="shared" si="2"/>
        <v>1.2800000000000002</v>
      </c>
      <c r="T13" s="14">
        <f t="shared" si="3"/>
        <v>6.4</v>
      </c>
      <c r="U13" s="520"/>
      <c r="V13" s="520"/>
      <c r="W13" s="520"/>
      <c r="X13" s="520"/>
      <c r="Y13" s="520"/>
      <c r="Z13" s="13">
        <f t="shared" si="8"/>
        <v>0</v>
      </c>
      <c r="AA13" s="13">
        <f t="shared" si="9"/>
        <v>0</v>
      </c>
      <c r="AB13" s="13">
        <f>U13*V13*Y13</f>
        <v>0</v>
      </c>
      <c r="AC13" s="14">
        <f>((U13+V13)*2)*(W13+X13+Y13)</f>
        <v>0</v>
      </c>
      <c r="AD13" s="444">
        <f t="shared" si="12"/>
        <v>1.2800000000000002</v>
      </c>
      <c r="AE13" s="429" t="s">
        <v>218</v>
      </c>
      <c r="AF13" s="427">
        <f t="shared" si="4"/>
        <v>0</v>
      </c>
    </row>
    <row r="14" spans="1:32" x14ac:dyDescent="0.3">
      <c r="B14" s="628"/>
      <c r="C14" s="38" t="s">
        <v>215</v>
      </c>
      <c r="D14" s="590" t="s">
        <v>75</v>
      </c>
      <c r="E14" s="510" t="s">
        <v>785</v>
      </c>
      <c r="F14" s="511">
        <v>13.25</v>
      </c>
      <c r="G14" s="511">
        <v>3.3</v>
      </c>
      <c r="H14" s="512"/>
      <c r="I14" s="16">
        <f t="shared" si="5"/>
        <v>43.724999999999994</v>
      </c>
      <c r="J14" s="16">
        <f t="shared" si="6"/>
        <v>0</v>
      </c>
      <c r="K14" s="16">
        <f t="shared" si="0"/>
        <v>40.125</v>
      </c>
      <c r="L14" s="513">
        <v>1</v>
      </c>
      <c r="M14" s="513">
        <v>1.8</v>
      </c>
      <c r="N14" s="514"/>
      <c r="O14" s="514"/>
      <c r="P14" s="514">
        <v>1</v>
      </c>
      <c r="Q14" s="13">
        <f t="shared" si="1"/>
        <v>0</v>
      </c>
      <c r="R14" s="13">
        <f t="shared" si="7"/>
        <v>0</v>
      </c>
      <c r="S14" s="13">
        <f t="shared" si="2"/>
        <v>1.8</v>
      </c>
      <c r="T14" s="14">
        <f t="shared" si="3"/>
        <v>5.6</v>
      </c>
      <c r="U14" s="520">
        <v>0.9</v>
      </c>
      <c r="V14" s="520">
        <v>2</v>
      </c>
      <c r="W14" s="520">
        <v>1</v>
      </c>
      <c r="X14" s="520"/>
      <c r="Y14" s="520"/>
      <c r="Z14" s="13">
        <f t="shared" si="8"/>
        <v>1.8</v>
      </c>
      <c r="AA14" s="13">
        <f t="shared" si="9"/>
        <v>0</v>
      </c>
      <c r="AB14" s="13">
        <f>U14*V14*Y14</f>
        <v>0</v>
      </c>
      <c r="AC14" s="14">
        <f>((U14+V14)*2)*(W14+X14+Y14)</f>
        <v>5.8</v>
      </c>
      <c r="AD14" s="444">
        <f t="shared" si="12"/>
        <v>1.8</v>
      </c>
      <c r="AE14" s="429" t="s">
        <v>219</v>
      </c>
      <c r="AF14" s="427">
        <f t="shared" si="4"/>
        <v>0</v>
      </c>
    </row>
    <row r="15" spans="1:32" ht="36" x14ac:dyDescent="0.3">
      <c r="B15" s="628"/>
      <c r="C15" s="38"/>
      <c r="D15" s="591"/>
      <c r="E15" s="517" t="s">
        <v>796</v>
      </c>
      <c r="F15" s="511">
        <v>13.25</v>
      </c>
      <c r="G15" s="511">
        <v>0.55000000000000004</v>
      </c>
      <c r="H15" s="512"/>
      <c r="I15" s="16">
        <f t="shared" si="5"/>
        <v>7.2875000000000005</v>
      </c>
      <c r="J15" s="16">
        <f t="shared" si="6"/>
        <v>0</v>
      </c>
      <c r="K15" s="16">
        <f t="shared" si="0"/>
        <v>7.2875000000000005</v>
      </c>
      <c r="L15" s="513"/>
      <c r="M15" s="513"/>
      <c r="N15" s="520"/>
      <c r="O15" s="520"/>
      <c r="P15" s="520"/>
      <c r="Q15" s="13">
        <f t="shared" ref="Q15:Q71" si="13">L15*M15*N15</f>
        <v>0</v>
      </c>
      <c r="R15" s="13">
        <f t="shared" si="7"/>
        <v>0</v>
      </c>
      <c r="S15" s="13">
        <f t="shared" ref="S15:S71" si="14">L15*M15*P15</f>
        <v>0</v>
      </c>
      <c r="T15" s="14">
        <f t="shared" ref="T15:T71" si="15">((L15+M15)*2)*(N15+O15+P15)</f>
        <v>0</v>
      </c>
      <c r="U15" s="520"/>
      <c r="V15" s="520"/>
      <c r="W15" s="520"/>
      <c r="X15" s="520"/>
      <c r="Y15" s="520"/>
      <c r="Z15" s="13">
        <f t="shared" si="8"/>
        <v>0</v>
      </c>
      <c r="AA15" s="13">
        <f t="shared" si="9"/>
        <v>0</v>
      </c>
      <c r="AB15" s="13">
        <f t="shared" si="10"/>
        <v>0</v>
      </c>
      <c r="AC15" s="14">
        <f t="shared" si="11"/>
        <v>0</v>
      </c>
      <c r="AD15" s="444">
        <f t="shared" si="12"/>
        <v>0</v>
      </c>
    </row>
    <row r="16" spans="1:32" x14ac:dyDescent="0.3">
      <c r="B16" s="628"/>
      <c r="C16" s="38"/>
      <c r="D16" s="591"/>
      <c r="E16" s="517"/>
      <c r="F16" s="511"/>
      <c r="G16" s="511"/>
      <c r="H16" s="512"/>
      <c r="I16" s="16">
        <f t="shared" si="5"/>
        <v>0</v>
      </c>
      <c r="J16" s="16">
        <f t="shared" si="6"/>
        <v>0</v>
      </c>
      <c r="K16" s="16">
        <f t="shared" si="0"/>
        <v>0</v>
      </c>
      <c r="L16" s="513"/>
      <c r="M16" s="513"/>
      <c r="N16" s="520"/>
      <c r="O16" s="520"/>
      <c r="P16" s="520"/>
      <c r="Q16" s="13">
        <f t="shared" si="13"/>
        <v>0</v>
      </c>
      <c r="R16" s="13">
        <f t="shared" si="7"/>
        <v>0</v>
      </c>
      <c r="S16" s="13">
        <f t="shared" si="14"/>
        <v>0</v>
      </c>
      <c r="T16" s="14">
        <f t="shared" si="15"/>
        <v>0</v>
      </c>
      <c r="U16" s="520"/>
      <c r="V16" s="520"/>
      <c r="W16" s="520"/>
      <c r="X16" s="520"/>
      <c r="Y16" s="520"/>
      <c r="Z16" s="13">
        <f t="shared" si="8"/>
        <v>0</v>
      </c>
      <c r="AA16" s="13">
        <f t="shared" si="9"/>
        <v>0</v>
      </c>
      <c r="AB16" s="13">
        <f t="shared" si="10"/>
        <v>0</v>
      </c>
      <c r="AC16" s="14">
        <f t="shared" si="11"/>
        <v>0</v>
      </c>
      <c r="AD16" s="444">
        <f t="shared" si="12"/>
        <v>0</v>
      </c>
    </row>
    <row r="17" spans="2:30" x14ac:dyDescent="0.3">
      <c r="B17" s="628"/>
      <c r="C17" s="38"/>
      <c r="D17" s="591"/>
      <c r="E17" s="362"/>
      <c r="F17" s="453"/>
      <c r="G17" s="453"/>
      <c r="H17" s="453"/>
      <c r="I17" s="16">
        <f t="shared" si="5"/>
        <v>0</v>
      </c>
      <c r="J17" s="16">
        <f t="shared" si="6"/>
        <v>0</v>
      </c>
      <c r="K17" s="16">
        <f t="shared" si="0"/>
        <v>0</v>
      </c>
      <c r="L17" s="35"/>
      <c r="M17" s="35"/>
      <c r="N17" s="35"/>
      <c r="O17" s="35"/>
      <c r="P17" s="35"/>
      <c r="Q17" s="13">
        <f t="shared" si="13"/>
        <v>0</v>
      </c>
      <c r="R17" s="13">
        <f t="shared" si="7"/>
        <v>0</v>
      </c>
      <c r="S17" s="13">
        <f t="shared" si="14"/>
        <v>0</v>
      </c>
      <c r="T17" s="14">
        <f t="shared" si="15"/>
        <v>0</v>
      </c>
      <c r="U17" s="35"/>
      <c r="V17" s="35"/>
      <c r="W17" s="35"/>
      <c r="X17" s="35"/>
      <c r="Y17" s="35"/>
      <c r="Z17" s="13">
        <f t="shared" si="8"/>
        <v>0</v>
      </c>
      <c r="AA17" s="13">
        <f t="shared" si="9"/>
        <v>0</v>
      </c>
      <c r="AB17" s="13">
        <f t="shared" si="10"/>
        <v>0</v>
      </c>
      <c r="AC17" s="14">
        <f t="shared" si="11"/>
        <v>0</v>
      </c>
      <c r="AD17" s="444">
        <f t="shared" si="12"/>
        <v>0</v>
      </c>
    </row>
    <row r="18" spans="2:30" x14ac:dyDescent="0.3">
      <c r="B18" s="628"/>
      <c r="C18" s="38"/>
      <c r="D18" s="592"/>
      <c r="E18" s="362"/>
      <c r="F18" s="453"/>
      <c r="G18" s="453"/>
      <c r="H18" s="453"/>
      <c r="I18" s="16">
        <f t="shared" si="5"/>
        <v>0</v>
      </c>
      <c r="J18" s="16">
        <f t="shared" si="6"/>
        <v>0</v>
      </c>
      <c r="K18" s="16">
        <f t="shared" si="0"/>
        <v>0</v>
      </c>
      <c r="L18" s="35"/>
      <c r="M18" s="35"/>
      <c r="N18" s="35"/>
      <c r="O18" s="35"/>
      <c r="P18" s="35"/>
      <c r="Q18" s="13">
        <f t="shared" si="13"/>
        <v>0</v>
      </c>
      <c r="R18" s="13">
        <f t="shared" si="7"/>
        <v>0</v>
      </c>
      <c r="S18" s="13">
        <f t="shared" si="14"/>
        <v>0</v>
      </c>
      <c r="T18" s="14">
        <f t="shared" si="15"/>
        <v>0</v>
      </c>
      <c r="U18" s="35"/>
      <c r="V18" s="35"/>
      <c r="W18" s="35"/>
      <c r="X18" s="35"/>
      <c r="Y18" s="35"/>
      <c r="Z18" s="13">
        <f t="shared" si="8"/>
        <v>0</v>
      </c>
      <c r="AA18" s="13">
        <f t="shared" si="9"/>
        <v>0</v>
      </c>
      <c r="AB18" s="13">
        <f t="shared" si="10"/>
        <v>0</v>
      </c>
      <c r="AC18" s="14">
        <f t="shared" si="11"/>
        <v>0</v>
      </c>
      <c r="AD18" s="444">
        <f t="shared" si="12"/>
        <v>0</v>
      </c>
    </row>
    <row r="19" spans="2:30" x14ac:dyDescent="0.3">
      <c r="B19" s="628"/>
      <c r="C19" s="38" t="s">
        <v>212</v>
      </c>
      <c r="D19" s="590" t="s">
        <v>76</v>
      </c>
      <c r="E19" s="510" t="s">
        <v>785</v>
      </c>
      <c r="F19" s="511">
        <v>24.5</v>
      </c>
      <c r="G19" s="511">
        <v>6.6</v>
      </c>
      <c r="H19" s="511"/>
      <c r="I19" s="16">
        <f t="shared" si="5"/>
        <v>161.69999999999999</v>
      </c>
      <c r="J19" s="16">
        <f t="shared" si="6"/>
        <v>0</v>
      </c>
      <c r="K19" s="16">
        <f t="shared" si="0"/>
        <v>135.77999999999997</v>
      </c>
      <c r="L19" s="513">
        <v>1.2</v>
      </c>
      <c r="M19" s="513">
        <v>1.8</v>
      </c>
      <c r="N19" s="514"/>
      <c r="O19" s="520"/>
      <c r="P19" s="514">
        <v>12</v>
      </c>
      <c r="Q19" s="13">
        <f t="shared" si="13"/>
        <v>0</v>
      </c>
      <c r="R19" s="13">
        <f t="shared" si="7"/>
        <v>0</v>
      </c>
      <c r="S19" s="13">
        <f t="shared" si="14"/>
        <v>25.92</v>
      </c>
      <c r="T19" s="14">
        <f t="shared" si="15"/>
        <v>72</v>
      </c>
      <c r="U19" s="520"/>
      <c r="V19" s="520"/>
      <c r="W19" s="520"/>
      <c r="X19" s="520"/>
      <c r="Y19" s="520"/>
      <c r="Z19" s="13">
        <f t="shared" si="8"/>
        <v>0</v>
      </c>
      <c r="AA19" s="13">
        <f t="shared" si="9"/>
        <v>0</v>
      </c>
      <c r="AB19" s="13">
        <f t="shared" si="10"/>
        <v>0</v>
      </c>
      <c r="AC19" s="14">
        <f t="shared" si="11"/>
        <v>0</v>
      </c>
      <c r="AD19" s="444">
        <f t="shared" si="12"/>
        <v>25.92</v>
      </c>
    </row>
    <row r="20" spans="2:30" x14ac:dyDescent="0.3">
      <c r="B20" s="628"/>
      <c r="C20" s="38"/>
      <c r="D20" s="591"/>
      <c r="E20" s="510" t="s">
        <v>796</v>
      </c>
      <c r="F20" s="511">
        <v>24.5</v>
      </c>
      <c r="G20" s="453">
        <v>0.55000000000000004</v>
      </c>
      <c r="H20" s="453"/>
      <c r="I20" s="16">
        <f t="shared" si="5"/>
        <v>13.475000000000001</v>
      </c>
      <c r="J20" s="16">
        <f t="shared" si="6"/>
        <v>0</v>
      </c>
      <c r="K20" s="16">
        <f t="shared" si="0"/>
        <v>12.195</v>
      </c>
      <c r="L20" s="513">
        <v>0.8</v>
      </c>
      <c r="M20" s="513">
        <v>0.8</v>
      </c>
      <c r="N20" s="514"/>
      <c r="O20" s="520"/>
      <c r="P20" s="514">
        <v>2</v>
      </c>
      <c r="Q20" s="13">
        <f t="shared" si="13"/>
        <v>0</v>
      </c>
      <c r="R20" s="13">
        <f t="shared" si="7"/>
        <v>0</v>
      </c>
      <c r="S20" s="13">
        <f t="shared" si="14"/>
        <v>1.2800000000000002</v>
      </c>
      <c r="T20" s="14">
        <f t="shared" si="15"/>
        <v>6.4</v>
      </c>
      <c r="U20" s="520"/>
      <c r="V20" s="520"/>
      <c r="W20" s="520"/>
      <c r="X20" s="520"/>
      <c r="Y20" s="520"/>
      <c r="Z20" s="13">
        <f t="shared" si="8"/>
        <v>0</v>
      </c>
      <c r="AA20" s="13">
        <f t="shared" si="9"/>
        <v>0</v>
      </c>
      <c r="AB20" s="13">
        <f t="shared" si="10"/>
        <v>0</v>
      </c>
      <c r="AC20" s="14">
        <f t="shared" si="11"/>
        <v>0</v>
      </c>
      <c r="AD20" s="444">
        <f t="shared" si="12"/>
        <v>1.2800000000000002</v>
      </c>
    </row>
    <row r="21" spans="2:30" x14ac:dyDescent="0.3">
      <c r="B21" s="628"/>
      <c r="C21" s="38"/>
      <c r="D21" s="591"/>
      <c r="E21" s="231"/>
      <c r="F21" s="453"/>
      <c r="G21" s="453"/>
      <c r="H21" s="453"/>
      <c r="I21" s="16">
        <f t="shared" si="5"/>
        <v>0</v>
      </c>
      <c r="J21" s="16">
        <f t="shared" si="6"/>
        <v>0</v>
      </c>
      <c r="K21" s="16">
        <f t="shared" si="0"/>
        <v>0</v>
      </c>
      <c r="L21" s="35"/>
      <c r="M21" s="35"/>
      <c r="N21" s="35"/>
      <c r="O21" s="35"/>
      <c r="P21" s="35"/>
      <c r="Q21" s="13">
        <f t="shared" si="13"/>
        <v>0</v>
      </c>
      <c r="R21" s="13">
        <f t="shared" si="7"/>
        <v>0</v>
      </c>
      <c r="S21" s="13">
        <f t="shared" si="14"/>
        <v>0</v>
      </c>
      <c r="T21" s="14">
        <f t="shared" si="15"/>
        <v>0</v>
      </c>
      <c r="U21" s="35"/>
      <c r="V21" s="35"/>
      <c r="W21" s="35"/>
      <c r="X21" s="35"/>
      <c r="Y21" s="35"/>
      <c r="Z21" s="13">
        <f t="shared" si="8"/>
        <v>0</v>
      </c>
      <c r="AA21" s="13">
        <f t="shared" si="9"/>
        <v>0</v>
      </c>
      <c r="AB21" s="13">
        <f t="shared" si="10"/>
        <v>0</v>
      </c>
      <c r="AC21" s="14">
        <f t="shared" si="11"/>
        <v>0</v>
      </c>
      <c r="AD21" s="444">
        <f t="shared" si="12"/>
        <v>0</v>
      </c>
    </row>
    <row r="22" spans="2:30" x14ac:dyDescent="0.3">
      <c r="B22" s="628"/>
      <c r="C22" s="38"/>
      <c r="D22" s="591"/>
      <c r="E22" s="362"/>
      <c r="F22" s="453"/>
      <c r="G22" s="453"/>
      <c r="H22" s="453"/>
      <c r="I22" s="16"/>
      <c r="J22" s="16"/>
      <c r="K22" s="16"/>
      <c r="L22" s="35"/>
      <c r="M22" s="35"/>
      <c r="N22" s="35"/>
      <c r="O22" s="35"/>
      <c r="P22" s="35"/>
      <c r="Q22" s="13">
        <f t="shared" si="13"/>
        <v>0</v>
      </c>
      <c r="R22" s="13">
        <f t="shared" si="7"/>
        <v>0</v>
      </c>
      <c r="S22" s="13">
        <f t="shared" si="14"/>
        <v>0</v>
      </c>
      <c r="T22" s="14">
        <f t="shared" si="15"/>
        <v>0</v>
      </c>
      <c r="U22" s="35"/>
      <c r="V22" s="35"/>
      <c r="W22" s="35"/>
      <c r="X22" s="35"/>
      <c r="Y22" s="35"/>
      <c r="Z22" s="13">
        <f t="shared" si="8"/>
        <v>0</v>
      </c>
      <c r="AA22" s="13">
        <f t="shared" si="9"/>
        <v>0</v>
      </c>
      <c r="AB22" s="13">
        <f t="shared" si="10"/>
        <v>0</v>
      </c>
      <c r="AC22" s="14">
        <f t="shared" si="11"/>
        <v>0</v>
      </c>
      <c r="AD22" s="444">
        <f t="shared" si="12"/>
        <v>0</v>
      </c>
    </row>
    <row r="23" spans="2:30" x14ac:dyDescent="0.3">
      <c r="B23" s="628"/>
      <c r="C23" s="38"/>
      <c r="D23" s="592"/>
      <c r="E23" s="231"/>
      <c r="F23" s="453"/>
      <c r="G23" s="453"/>
      <c r="H23" s="453"/>
      <c r="I23" s="16"/>
      <c r="J23" s="16"/>
      <c r="K23" s="16"/>
      <c r="L23" s="35"/>
      <c r="M23" s="35"/>
      <c r="N23" s="35"/>
      <c r="O23" s="35"/>
      <c r="P23" s="35"/>
      <c r="Q23" s="13">
        <f t="shared" si="13"/>
        <v>0</v>
      </c>
      <c r="R23" s="13">
        <f t="shared" si="7"/>
        <v>0</v>
      </c>
      <c r="S23" s="13">
        <f t="shared" si="14"/>
        <v>0</v>
      </c>
      <c r="T23" s="14">
        <f t="shared" si="15"/>
        <v>0</v>
      </c>
      <c r="U23" s="35"/>
      <c r="V23" s="35"/>
      <c r="W23" s="35"/>
      <c r="X23" s="35"/>
      <c r="Y23" s="35"/>
      <c r="Z23" s="13">
        <f t="shared" si="8"/>
        <v>0</v>
      </c>
      <c r="AA23" s="13">
        <f t="shared" si="9"/>
        <v>0</v>
      </c>
      <c r="AB23" s="13">
        <f t="shared" si="10"/>
        <v>0</v>
      </c>
      <c r="AC23" s="14">
        <f t="shared" si="11"/>
        <v>0</v>
      </c>
      <c r="AD23" s="444">
        <f t="shared" si="12"/>
        <v>0</v>
      </c>
    </row>
    <row r="24" spans="2:30" x14ac:dyDescent="0.3">
      <c r="B24" s="628"/>
      <c r="C24" s="38" t="s">
        <v>215</v>
      </c>
      <c r="D24" s="590" t="s">
        <v>786</v>
      </c>
      <c r="E24" s="231" t="s">
        <v>785</v>
      </c>
      <c r="F24" s="511">
        <v>13.2</v>
      </c>
      <c r="G24" s="511">
        <v>6.6</v>
      </c>
      <c r="H24" s="454"/>
      <c r="I24" s="16">
        <f t="shared" si="5"/>
        <v>87.11999999999999</v>
      </c>
      <c r="J24" s="16">
        <f t="shared" si="6"/>
        <v>0</v>
      </c>
      <c r="K24" s="16">
        <f t="shared" si="0"/>
        <v>75.239999999999981</v>
      </c>
      <c r="L24" s="513">
        <v>1.2</v>
      </c>
      <c r="M24" s="513">
        <v>1.8</v>
      </c>
      <c r="N24" s="514"/>
      <c r="O24" s="35"/>
      <c r="P24" s="514">
        <v>3</v>
      </c>
      <c r="Q24" s="13">
        <f t="shared" si="13"/>
        <v>0</v>
      </c>
      <c r="R24" s="13">
        <f t="shared" si="7"/>
        <v>0</v>
      </c>
      <c r="S24" s="13">
        <f t="shared" si="14"/>
        <v>6.48</v>
      </c>
      <c r="T24" s="14">
        <f t="shared" si="15"/>
        <v>18</v>
      </c>
      <c r="U24" s="518">
        <v>0.9</v>
      </c>
      <c r="V24" s="518">
        <v>2</v>
      </c>
      <c r="W24" s="519">
        <v>3</v>
      </c>
      <c r="X24" s="35"/>
      <c r="Y24" s="35"/>
      <c r="Z24" s="13">
        <f t="shared" si="8"/>
        <v>5.4</v>
      </c>
      <c r="AA24" s="13">
        <f t="shared" si="9"/>
        <v>0</v>
      </c>
      <c r="AB24" s="13">
        <f t="shared" si="10"/>
        <v>0</v>
      </c>
      <c r="AC24" s="14">
        <f t="shared" si="11"/>
        <v>17.399999999999999</v>
      </c>
      <c r="AD24" s="444">
        <f t="shared" si="12"/>
        <v>6.48</v>
      </c>
    </row>
    <row r="25" spans="2:30" ht="36" x14ac:dyDescent="0.3">
      <c r="B25" s="628"/>
      <c r="C25" s="38"/>
      <c r="D25" s="591"/>
      <c r="E25" s="362" t="s">
        <v>796</v>
      </c>
      <c r="F25" s="511">
        <v>13.2</v>
      </c>
      <c r="G25" s="511">
        <v>0.55000000000000004</v>
      </c>
      <c r="H25" s="454"/>
      <c r="I25" s="16">
        <f t="shared" si="5"/>
        <v>7.26</v>
      </c>
      <c r="J25" s="16">
        <f t="shared" si="6"/>
        <v>0</v>
      </c>
      <c r="K25" s="16">
        <f t="shared" si="0"/>
        <v>-1.7400000000000002</v>
      </c>
      <c r="L25" s="513">
        <v>1</v>
      </c>
      <c r="M25" s="513">
        <v>1.8</v>
      </c>
      <c r="N25" s="514"/>
      <c r="O25" s="35"/>
      <c r="P25" s="514">
        <v>5</v>
      </c>
      <c r="Q25" s="13">
        <f t="shared" si="13"/>
        <v>0</v>
      </c>
      <c r="R25" s="13">
        <f t="shared" si="7"/>
        <v>0</v>
      </c>
      <c r="S25" s="13">
        <f t="shared" si="14"/>
        <v>9</v>
      </c>
      <c r="T25" s="14">
        <f t="shared" si="15"/>
        <v>28</v>
      </c>
      <c r="U25" s="35"/>
      <c r="V25" s="35"/>
      <c r="W25" s="35"/>
      <c r="X25" s="35"/>
      <c r="Y25" s="35"/>
      <c r="Z25" s="13">
        <f t="shared" si="8"/>
        <v>0</v>
      </c>
      <c r="AA25" s="13">
        <f t="shared" si="9"/>
        <v>0</v>
      </c>
      <c r="AB25" s="13">
        <f t="shared" si="10"/>
        <v>0</v>
      </c>
      <c r="AC25" s="14">
        <f t="shared" si="11"/>
        <v>0</v>
      </c>
      <c r="AD25" s="444">
        <f t="shared" si="12"/>
        <v>9</v>
      </c>
    </row>
    <row r="26" spans="2:30" x14ac:dyDescent="0.3">
      <c r="B26" s="628"/>
      <c r="C26" s="38"/>
      <c r="D26" s="592"/>
      <c r="E26" s="231"/>
      <c r="F26" s="453"/>
      <c r="G26" s="453"/>
      <c r="H26" s="453"/>
      <c r="I26" s="16">
        <f t="shared" si="5"/>
        <v>0</v>
      </c>
      <c r="J26" s="16">
        <f t="shared" si="6"/>
        <v>0</v>
      </c>
      <c r="K26" s="16">
        <f t="shared" si="0"/>
        <v>0</v>
      </c>
      <c r="L26" s="35"/>
      <c r="M26" s="35"/>
      <c r="N26" s="35"/>
      <c r="O26" s="35"/>
      <c r="P26" s="35"/>
      <c r="Q26" s="13">
        <f t="shared" si="13"/>
        <v>0</v>
      </c>
      <c r="R26" s="13">
        <f t="shared" si="7"/>
        <v>0</v>
      </c>
      <c r="S26" s="13">
        <f t="shared" si="14"/>
        <v>0</v>
      </c>
      <c r="T26" s="14">
        <f t="shared" si="15"/>
        <v>0</v>
      </c>
      <c r="U26" s="35"/>
      <c r="V26" s="35"/>
      <c r="W26" s="35"/>
      <c r="X26" s="35"/>
      <c r="Y26" s="35"/>
      <c r="Z26" s="13">
        <f t="shared" si="8"/>
        <v>0</v>
      </c>
      <c r="AA26" s="13">
        <f t="shared" si="9"/>
        <v>0</v>
      </c>
      <c r="AB26" s="13">
        <f t="shared" si="10"/>
        <v>0</v>
      </c>
      <c r="AC26" s="14">
        <f t="shared" si="11"/>
        <v>0</v>
      </c>
      <c r="AD26" s="444">
        <f t="shared" si="12"/>
        <v>0</v>
      </c>
    </row>
    <row r="27" spans="2:30" x14ac:dyDescent="0.3">
      <c r="B27" s="628"/>
      <c r="C27" s="38" t="s">
        <v>211</v>
      </c>
      <c r="D27" s="590" t="s">
        <v>787</v>
      </c>
      <c r="E27" s="231" t="s">
        <v>785</v>
      </c>
      <c r="F27" s="511">
        <v>50.7</v>
      </c>
      <c r="G27" s="511">
        <v>6.6</v>
      </c>
      <c r="H27" s="453"/>
      <c r="I27" s="16">
        <f t="shared" si="5"/>
        <v>334.62</v>
      </c>
      <c r="J27" s="16">
        <f t="shared" si="6"/>
        <v>0</v>
      </c>
      <c r="K27" s="16">
        <f t="shared" si="0"/>
        <v>275.66000000000003</v>
      </c>
      <c r="L27" s="513">
        <v>1.2</v>
      </c>
      <c r="M27" s="513">
        <v>1.8</v>
      </c>
      <c r="N27" s="514"/>
      <c r="O27" s="35"/>
      <c r="P27" s="514">
        <v>22</v>
      </c>
      <c r="Q27" s="13">
        <f t="shared" si="13"/>
        <v>0</v>
      </c>
      <c r="R27" s="13">
        <f t="shared" si="7"/>
        <v>0</v>
      </c>
      <c r="S27" s="13">
        <f t="shared" si="14"/>
        <v>47.52</v>
      </c>
      <c r="T27" s="14">
        <f t="shared" si="15"/>
        <v>132</v>
      </c>
      <c r="U27" s="515">
        <v>2.2000000000000002</v>
      </c>
      <c r="V27" s="515">
        <v>2.6</v>
      </c>
      <c r="W27" s="516">
        <v>2</v>
      </c>
      <c r="X27" s="35"/>
      <c r="Y27" s="35"/>
      <c r="Z27" s="13">
        <f t="shared" si="8"/>
        <v>11.440000000000001</v>
      </c>
      <c r="AA27" s="13">
        <f t="shared" si="9"/>
        <v>0</v>
      </c>
      <c r="AB27" s="13">
        <f t="shared" si="10"/>
        <v>0</v>
      </c>
      <c r="AC27" s="14">
        <f t="shared" si="11"/>
        <v>19.200000000000003</v>
      </c>
      <c r="AD27" s="444">
        <f t="shared" si="12"/>
        <v>47.52</v>
      </c>
    </row>
    <row r="28" spans="2:30" ht="36" x14ac:dyDescent="0.3">
      <c r="B28" s="628"/>
      <c r="C28" s="38"/>
      <c r="D28" s="591"/>
      <c r="E28" s="362" t="s">
        <v>796</v>
      </c>
      <c r="F28" s="511">
        <v>50.7</v>
      </c>
      <c r="G28" s="511">
        <v>0.55000000000000004</v>
      </c>
      <c r="H28" s="453"/>
      <c r="I28" s="16">
        <f t="shared" si="5"/>
        <v>27.885000000000005</v>
      </c>
      <c r="J28" s="16">
        <f t="shared" si="6"/>
        <v>0</v>
      </c>
      <c r="K28" s="16">
        <f t="shared" si="0"/>
        <v>21.725000000000001</v>
      </c>
      <c r="L28" s="513">
        <v>0.8</v>
      </c>
      <c r="M28" s="513">
        <v>0.8</v>
      </c>
      <c r="N28" s="514"/>
      <c r="O28" s="35"/>
      <c r="P28" s="514">
        <v>4</v>
      </c>
      <c r="Q28" s="13">
        <f>L28*M28*N28</f>
        <v>0</v>
      </c>
      <c r="R28" s="13">
        <f>L28*M28*O28</f>
        <v>0</v>
      </c>
      <c r="S28" s="13">
        <f>L28*M28*P28</f>
        <v>2.5600000000000005</v>
      </c>
      <c r="T28" s="14">
        <f>((L28+M28)*2)*(N28+O28+P28)</f>
        <v>12.8</v>
      </c>
      <c r="U28" s="518">
        <v>0.9</v>
      </c>
      <c r="V28" s="518">
        <v>2</v>
      </c>
      <c r="W28" s="519">
        <v>2</v>
      </c>
      <c r="X28" s="35"/>
      <c r="Y28" s="35"/>
      <c r="Z28" s="13">
        <f t="shared" si="8"/>
        <v>3.6</v>
      </c>
      <c r="AA28" s="13">
        <f t="shared" si="9"/>
        <v>0</v>
      </c>
      <c r="AB28" s="13">
        <f t="shared" si="10"/>
        <v>0</v>
      </c>
      <c r="AC28" s="14">
        <f t="shared" si="11"/>
        <v>11.6</v>
      </c>
      <c r="AD28" s="444">
        <f t="shared" si="12"/>
        <v>2.5600000000000005</v>
      </c>
    </row>
    <row r="29" spans="2:30" x14ac:dyDescent="0.3">
      <c r="B29" s="628"/>
      <c r="C29" s="38"/>
      <c r="D29" s="591"/>
      <c r="E29" s="231"/>
      <c r="F29" s="453"/>
      <c r="G29" s="453"/>
      <c r="H29" s="453"/>
      <c r="I29" s="16">
        <f t="shared" si="5"/>
        <v>0</v>
      </c>
      <c r="J29" s="16">
        <f t="shared" si="6"/>
        <v>0</v>
      </c>
      <c r="K29" s="16">
        <f t="shared" si="0"/>
        <v>0</v>
      </c>
      <c r="L29" s="513"/>
      <c r="M29" s="513"/>
      <c r="N29" s="514"/>
      <c r="O29" s="35"/>
      <c r="P29" s="514"/>
      <c r="Q29" s="13">
        <f>L29*M29*N29</f>
        <v>0</v>
      </c>
      <c r="R29" s="13">
        <f>L29*M29*O29</f>
        <v>0</v>
      </c>
      <c r="S29" s="13">
        <f>L29*M29*P29</f>
        <v>0</v>
      </c>
      <c r="T29" s="14">
        <f>((L29+M29)*2)*(N29+O29+P29)</f>
        <v>0</v>
      </c>
      <c r="U29" s="35"/>
      <c r="V29" s="35"/>
      <c r="W29" s="35"/>
      <c r="X29" s="35"/>
      <c r="Y29" s="35"/>
      <c r="Z29" s="13">
        <f t="shared" si="8"/>
        <v>0</v>
      </c>
      <c r="AA29" s="13">
        <f t="shared" si="9"/>
        <v>0</v>
      </c>
      <c r="AB29" s="13">
        <f t="shared" si="10"/>
        <v>0</v>
      </c>
      <c r="AC29" s="14">
        <f t="shared" si="11"/>
        <v>0</v>
      </c>
      <c r="AD29" s="444">
        <f t="shared" si="12"/>
        <v>0</v>
      </c>
    </row>
    <row r="30" spans="2:30" x14ac:dyDescent="0.3">
      <c r="B30" s="628"/>
      <c r="C30" s="38"/>
      <c r="D30" s="591"/>
      <c r="E30" s="362"/>
      <c r="F30" s="453"/>
      <c r="G30" s="453"/>
      <c r="H30" s="453"/>
      <c r="I30" s="16">
        <f t="shared" si="5"/>
        <v>0</v>
      </c>
      <c r="J30" s="16">
        <f t="shared" si="6"/>
        <v>0</v>
      </c>
      <c r="K30" s="16">
        <f t="shared" si="0"/>
        <v>0</v>
      </c>
      <c r="L30" s="35"/>
      <c r="M30" s="35"/>
      <c r="N30" s="35"/>
      <c r="O30" s="35"/>
      <c r="P30" s="35"/>
      <c r="Q30" s="13">
        <f t="shared" si="13"/>
        <v>0</v>
      </c>
      <c r="R30" s="13">
        <f t="shared" si="7"/>
        <v>0</v>
      </c>
      <c r="S30" s="13">
        <f t="shared" si="14"/>
        <v>0</v>
      </c>
      <c r="T30" s="14">
        <f t="shared" si="15"/>
        <v>0</v>
      </c>
      <c r="U30" s="35"/>
      <c r="V30" s="35"/>
      <c r="W30" s="35"/>
      <c r="X30" s="35"/>
      <c r="Y30" s="35"/>
      <c r="Z30" s="13">
        <f t="shared" si="8"/>
        <v>0</v>
      </c>
      <c r="AA30" s="13">
        <f t="shared" si="9"/>
        <v>0</v>
      </c>
      <c r="AB30" s="13">
        <f t="shared" si="10"/>
        <v>0</v>
      </c>
      <c r="AC30" s="14">
        <f t="shared" si="11"/>
        <v>0</v>
      </c>
      <c r="AD30" s="444">
        <f t="shared" si="12"/>
        <v>0</v>
      </c>
    </row>
    <row r="31" spans="2:30" x14ac:dyDescent="0.3">
      <c r="B31" s="628"/>
      <c r="C31" s="38"/>
      <c r="D31" s="591"/>
      <c r="E31" s="362"/>
      <c r="F31" s="453"/>
      <c r="G31" s="453"/>
      <c r="H31" s="453"/>
      <c r="I31" s="16">
        <f t="shared" si="5"/>
        <v>0</v>
      </c>
      <c r="J31" s="16">
        <f t="shared" si="6"/>
        <v>0</v>
      </c>
      <c r="K31" s="16">
        <f t="shared" si="0"/>
        <v>0</v>
      </c>
      <c r="L31" s="35"/>
      <c r="M31" s="35"/>
      <c r="N31" s="35"/>
      <c r="O31" s="35"/>
      <c r="P31" s="35"/>
      <c r="Q31" s="13">
        <f t="shared" si="13"/>
        <v>0</v>
      </c>
      <c r="R31" s="13">
        <f t="shared" si="7"/>
        <v>0</v>
      </c>
      <c r="S31" s="13">
        <f t="shared" si="14"/>
        <v>0</v>
      </c>
      <c r="T31" s="14">
        <f t="shared" si="15"/>
        <v>0</v>
      </c>
      <c r="U31" s="35"/>
      <c r="V31" s="35"/>
      <c r="W31" s="35"/>
      <c r="X31" s="35"/>
      <c r="Y31" s="35"/>
      <c r="Z31" s="13">
        <f t="shared" si="8"/>
        <v>0</v>
      </c>
      <c r="AA31" s="13">
        <f t="shared" si="9"/>
        <v>0</v>
      </c>
      <c r="AB31" s="13">
        <f t="shared" si="10"/>
        <v>0</v>
      </c>
      <c r="AC31" s="14">
        <f t="shared" si="11"/>
        <v>0</v>
      </c>
      <c r="AD31" s="444">
        <f t="shared" si="12"/>
        <v>0</v>
      </c>
    </row>
    <row r="32" spans="2:30" x14ac:dyDescent="0.3">
      <c r="B32" s="628"/>
      <c r="C32" s="38" t="s">
        <v>214</v>
      </c>
      <c r="D32" s="590" t="s">
        <v>788</v>
      </c>
      <c r="E32" s="231" t="s">
        <v>785</v>
      </c>
      <c r="F32" s="511">
        <v>13.2</v>
      </c>
      <c r="G32" s="511">
        <v>6.6</v>
      </c>
      <c r="H32" s="453"/>
      <c r="I32" s="16">
        <f t="shared" si="5"/>
        <v>87.11999999999999</v>
      </c>
      <c r="J32" s="16">
        <f t="shared" si="6"/>
        <v>0</v>
      </c>
      <c r="K32" s="16">
        <f t="shared" si="0"/>
        <v>79.199999999999989</v>
      </c>
      <c r="L32" s="513">
        <v>1.2</v>
      </c>
      <c r="M32" s="513">
        <v>1.8</v>
      </c>
      <c r="N32" s="514"/>
      <c r="O32" s="35"/>
      <c r="P32" s="514">
        <v>2</v>
      </c>
      <c r="Q32" s="13">
        <f t="shared" si="13"/>
        <v>0</v>
      </c>
      <c r="R32" s="13">
        <f t="shared" si="7"/>
        <v>0</v>
      </c>
      <c r="S32" s="13">
        <f t="shared" si="14"/>
        <v>4.32</v>
      </c>
      <c r="T32" s="14">
        <f t="shared" si="15"/>
        <v>12</v>
      </c>
      <c r="U32" s="518">
        <v>0.9</v>
      </c>
      <c r="V32" s="518">
        <v>2</v>
      </c>
      <c r="W32" s="519">
        <v>2</v>
      </c>
      <c r="X32" s="35"/>
      <c r="Y32" s="35"/>
      <c r="Z32" s="13">
        <f t="shared" si="8"/>
        <v>3.6</v>
      </c>
      <c r="AA32" s="13">
        <f t="shared" si="9"/>
        <v>0</v>
      </c>
      <c r="AB32" s="13">
        <f t="shared" si="10"/>
        <v>0</v>
      </c>
      <c r="AC32" s="14">
        <f t="shared" si="11"/>
        <v>11.6</v>
      </c>
      <c r="AD32" s="444">
        <f t="shared" si="12"/>
        <v>4.32</v>
      </c>
    </row>
    <row r="33" spans="2:30" ht="36" x14ac:dyDescent="0.3">
      <c r="B33" s="628"/>
      <c r="C33" s="38"/>
      <c r="D33" s="591"/>
      <c r="E33" s="362" t="s">
        <v>796</v>
      </c>
      <c r="F33" s="511">
        <v>13.2</v>
      </c>
      <c r="G33" s="453">
        <v>0.55000000000000004</v>
      </c>
      <c r="H33" s="453"/>
      <c r="I33" s="16">
        <f t="shared" si="5"/>
        <v>7.26</v>
      </c>
      <c r="J33" s="16">
        <f t="shared" si="6"/>
        <v>0</v>
      </c>
      <c r="K33" s="16">
        <f t="shared" si="0"/>
        <v>5.9999999999999609E-2</v>
      </c>
      <c r="L33" s="513">
        <v>1</v>
      </c>
      <c r="M33" s="513">
        <v>1.8</v>
      </c>
      <c r="N33" s="514"/>
      <c r="O33" s="35"/>
      <c r="P33" s="514">
        <v>4</v>
      </c>
      <c r="Q33" s="13">
        <f t="shared" si="13"/>
        <v>0</v>
      </c>
      <c r="R33" s="13">
        <f t="shared" si="7"/>
        <v>0</v>
      </c>
      <c r="S33" s="13">
        <f t="shared" si="14"/>
        <v>7.2</v>
      </c>
      <c r="T33" s="14">
        <f t="shared" si="15"/>
        <v>22.4</v>
      </c>
      <c r="U33" s="35"/>
      <c r="V33" s="35"/>
      <c r="W33" s="35"/>
      <c r="X33" s="35"/>
      <c r="Y33" s="35"/>
      <c r="Z33" s="13">
        <f t="shared" si="8"/>
        <v>0</v>
      </c>
      <c r="AA33" s="13">
        <f t="shared" si="9"/>
        <v>0</v>
      </c>
      <c r="AB33" s="13">
        <f t="shared" si="10"/>
        <v>0</v>
      </c>
      <c r="AC33" s="14">
        <f t="shared" si="11"/>
        <v>0</v>
      </c>
      <c r="AD33" s="444">
        <f t="shared" si="12"/>
        <v>7.2</v>
      </c>
    </row>
    <row r="34" spans="2:30" x14ac:dyDescent="0.3">
      <c r="B34" s="628"/>
      <c r="C34" s="38"/>
      <c r="D34" s="592"/>
      <c r="E34" s="231"/>
      <c r="F34" s="453"/>
      <c r="G34" s="453"/>
      <c r="H34" s="453"/>
      <c r="I34" s="16">
        <f t="shared" si="5"/>
        <v>0</v>
      </c>
      <c r="J34" s="16">
        <f t="shared" si="6"/>
        <v>0</v>
      </c>
      <c r="K34" s="16">
        <f t="shared" si="0"/>
        <v>0</v>
      </c>
      <c r="L34" s="35"/>
      <c r="M34" s="35"/>
      <c r="N34" s="35"/>
      <c r="O34" s="35"/>
      <c r="P34" s="35"/>
      <c r="Q34" s="13">
        <f t="shared" si="13"/>
        <v>0</v>
      </c>
      <c r="R34" s="13">
        <f t="shared" si="7"/>
        <v>0</v>
      </c>
      <c r="S34" s="13">
        <f t="shared" si="14"/>
        <v>0</v>
      </c>
      <c r="T34" s="14">
        <f t="shared" si="15"/>
        <v>0</v>
      </c>
      <c r="U34" s="35"/>
      <c r="V34" s="35"/>
      <c r="W34" s="35"/>
      <c r="X34" s="35"/>
      <c r="Y34" s="35"/>
      <c r="Z34" s="13">
        <f t="shared" si="8"/>
        <v>0</v>
      </c>
      <c r="AA34" s="13">
        <f t="shared" si="9"/>
        <v>0</v>
      </c>
      <c r="AB34" s="13">
        <f t="shared" si="10"/>
        <v>0</v>
      </c>
      <c r="AC34" s="14">
        <f t="shared" si="11"/>
        <v>0</v>
      </c>
      <c r="AD34" s="444">
        <f t="shared" si="12"/>
        <v>0</v>
      </c>
    </row>
    <row r="35" spans="2:30" x14ac:dyDescent="0.3">
      <c r="B35" s="628"/>
      <c r="C35" s="38" t="s">
        <v>212</v>
      </c>
      <c r="D35" s="590" t="s">
        <v>789</v>
      </c>
      <c r="E35" s="231" t="s">
        <v>785</v>
      </c>
      <c r="F35" s="511">
        <v>21.3</v>
      </c>
      <c r="G35" s="511">
        <v>6.6</v>
      </c>
      <c r="H35" s="454"/>
      <c r="I35" s="16">
        <f t="shared" si="5"/>
        <v>140.57999999999998</v>
      </c>
      <c r="J35" s="16">
        <f t="shared" si="6"/>
        <v>0</v>
      </c>
      <c r="K35" s="16">
        <f t="shared" si="0"/>
        <v>125.81999999999998</v>
      </c>
      <c r="L35" s="513">
        <v>1.2</v>
      </c>
      <c r="M35" s="513">
        <v>1.8</v>
      </c>
      <c r="N35" s="514"/>
      <c r="O35" s="35"/>
      <c r="P35" s="514">
        <v>6</v>
      </c>
      <c r="Q35" s="13">
        <f t="shared" si="13"/>
        <v>0</v>
      </c>
      <c r="R35" s="13">
        <f t="shared" si="7"/>
        <v>0</v>
      </c>
      <c r="S35" s="13">
        <f t="shared" si="14"/>
        <v>12.96</v>
      </c>
      <c r="T35" s="14">
        <f t="shared" si="15"/>
        <v>36</v>
      </c>
      <c r="U35" s="518">
        <v>0.9</v>
      </c>
      <c r="V35" s="518">
        <v>2</v>
      </c>
      <c r="W35" s="519">
        <v>1</v>
      </c>
      <c r="X35" s="35"/>
      <c r="Y35" s="35"/>
      <c r="Z35" s="13">
        <f t="shared" si="8"/>
        <v>1.8</v>
      </c>
      <c r="AA35" s="13">
        <f t="shared" si="9"/>
        <v>0</v>
      </c>
      <c r="AB35" s="13">
        <f t="shared" si="10"/>
        <v>0</v>
      </c>
      <c r="AC35" s="14">
        <f t="shared" si="11"/>
        <v>5.8</v>
      </c>
      <c r="AD35" s="444">
        <f t="shared" si="12"/>
        <v>12.96</v>
      </c>
    </row>
    <row r="36" spans="2:30" x14ac:dyDescent="0.3">
      <c r="B36" s="628"/>
      <c r="C36" s="38"/>
      <c r="D36" s="591"/>
      <c r="E36" s="231" t="s">
        <v>796</v>
      </c>
      <c r="F36" s="511">
        <v>21.3</v>
      </c>
      <c r="G36" s="511">
        <v>0.55000000000000004</v>
      </c>
      <c r="H36" s="454"/>
      <c r="I36" s="16">
        <f t="shared" si="5"/>
        <v>11.715000000000002</v>
      </c>
      <c r="J36" s="16">
        <f t="shared" si="6"/>
        <v>0</v>
      </c>
      <c r="K36" s="16">
        <f t="shared" si="0"/>
        <v>9.9150000000000009</v>
      </c>
      <c r="L36" s="513">
        <v>1</v>
      </c>
      <c r="M36" s="513">
        <v>1.8</v>
      </c>
      <c r="N36" s="514"/>
      <c r="O36" s="35"/>
      <c r="P36" s="514">
        <v>1</v>
      </c>
      <c r="Q36" s="13">
        <f t="shared" si="13"/>
        <v>0</v>
      </c>
      <c r="R36" s="13">
        <f t="shared" si="7"/>
        <v>0</v>
      </c>
      <c r="S36" s="13">
        <f t="shared" si="14"/>
        <v>1.8</v>
      </c>
      <c r="T36" s="14">
        <f t="shared" si="15"/>
        <v>5.6</v>
      </c>
      <c r="U36" s="35"/>
      <c r="V36" s="35"/>
      <c r="W36" s="35"/>
      <c r="X36" s="35"/>
      <c r="Y36" s="35"/>
      <c r="Z36" s="13">
        <f t="shared" si="8"/>
        <v>0</v>
      </c>
      <c r="AA36" s="13">
        <f t="shared" si="9"/>
        <v>0</v>
      </c>
      <c r="AB36" s="13">
        <f t="shared" si="10"/>
        <v>0</v>
      </c>
      <c r="AC36" s="14">
        <f t="shared" si="11"/>
        <v>0</v>
      </c>
      <c r="AD36" s="444">
        <f t="shared" si="12"/>
        <v>1.8</v>
      </c>
    </row>
    <row r="37" spans="2:30" x14ac:dyDescent="0.3">
      <c r="B37" s="628"/>
      <c r="C37" s="38"/>
      <c r="D37" s="591"/>
      <c r="E37" s="362"/>
      <c r="F37" s="453"/>
      <c r="G37" s="453"/>
      <c r="H37" s="454"/>
      <c r="I37" s="16">
        <f t="shared" si="5"/>
        <v>0</v>
      </c>
      <c r="J37" s="16">
        <f t="shared" si="6"/>
        <v>0</v>
      </c>
      <c r="K37" s="16">
        <f t="shared" si="0"/>
        <v>0</v>
      </c>
      <c r="L37" s="520"/>
      <c r="M37" s="520"/>
      <c r="N37" s="520"/>
      <c r="O37" s="35"/>
      <c r="P37" s="520"/>
      <c r="Q37" s="13">
        <f t="shared" si="13"/>
        <v>0</v>
      </c>
      <c r="R37" s="13">
        <f t="shared" si="7"/>
        <v>0</v>
      </c>
      <c r="S37" s="13">
        <f t="shared" si="14"/>
        <v>0</v>
      </c>
      <c r="T37" s="14">
        <f t="shared" si="15"/>
        <v>0</v>
      </c>
      <c r="U37" s="35"/>
      <c r="V37" s="35"/>
      <c r="W37" s="35"/>
      <c r="X37" s="35"/>
      <c r="Y37" s="35"/>
      <c r="Z37" s="13">
        <f t="shared" si="8"/>
        <v>0</v>
      </c>
      <c r="AA37" s="13">
        <f t="shared" si="9"/>
        <v>0</v>
      </c>
      <c r="AB37" s="13">
        <f t="shared" si="10"/>
        <v>0</v>
      </c>
      <c r="AC37" s="14">
        <f t="shared" si="11"/>
        <v>0</v>
      </c>
      <c r="AD37" s="444">
        <f t="shared" si="12"/>
        <v>0</v>
      </c>
    </row>
    <row r="38" spans="2:30" x14ac:dyDescent="0.3">
      <c r="B38" s="628"/>
      <c r="C38" s="38"/>
      <c r="D38" s="592"/>
      <c r="E38" s="231"/>
      <c r="F38" s="453"/>
      <c r="G38" s="453"/>
      <c r="H38" s="453"/>
      <c r="I38" s="16">
        <f t="shared" si="5"/>
        <v>0</v>
      </c>
      <c r="J38" s="16">
        <f t="shared" si="6"/>
        <v>0</v>
      </c>
      <c r="K38" s="16">
        <f t="shared" si="0"/>
        <v>0</v>
      </c>
      <c r="L38" s="35"/>
      <c r="M38" s="35"/>
      <c r="N38" s="35"/>
      <c r="O38" s="35"/>
      <c r="P38" s="35"/>
      <c r="Q38" s="13">
        <f t="shared" si="13"/>
        <v>0</v>
      </c>
      <c r="R38" s="13">
        <f t="shared" si="7"/>
        <v>0</v>
      </c>
      <c r="S38" s="13">
        <f t="shared" si="14"/>
        <v>0</v>
      </c>
      <c r="T38" s="14">
        <f t="shared" si="15"/>
        <v>0</v>
      </c>
      <c r="U38" s="35"/>
      <c r="V38" s="35"/>
      <c r="W38" s="35"/>
      <c r="X38" s="35"/>
      <c r="Y38" s="35"/>
      <c r="Z38" s="13">
        <f t="shared" si="8"/>
        <v>0</v>
      </c>
      <c r="AA38" s="13">
        <f t="shared" si="9"/>
        <v>0</v>
      </c>
      <c r="AB38" s="13">
        <f t="shared" si="10"/>
        <v>0</v>
      </c>
      <c r="AC38" s="14">
        <f t="shared" si="11"/>
        <v>0</v>
      </c>
      <c r="AD38" s="444">
        <f t="shared" si="12"/>
        <v>0</v>
      </c>
    </row>
    <row r="39" spans="2:30" x14ac:dyDescent="0.3">
      <c r="B39" s="628"/>
      <c r="C39" s="38" t="s">
        <v>214</v>
      </c>
      <c r="D39" s="590" t="s">
        <v>790</v>
      </c>
      <c r="E39" s="231" t="s">
        <v>785</v>
      </c>
      <c r="F39" s="511">
        <v>13.25</v>
      </c>
      <c r="G39" s="511">
        <v>3.3</v>
      </c>
      <c r="H39" s="454"/>
      <c r="I39" s="16">
        <f t="shared" si="5"/>
        <v>43.724999999999994</v>
      </c>
      <c r="J39" s="16">
        <f t="shared" si="6"/>
        <v>0</v>
      </c>
      <c r="K39" s="16">
        <f t="shared" si="0"/>
        <v>39.374999999999993</v>
      </c>
      <c r="L39" s="35"/>
      <c r="M39" s="35"/>
      <c r="N39" s="35"/>
      <c r="O39" s="35"/>
      <c r="P39" s="35"/>
      <c r="Q39" s="13">
        <f t="shared" si="13"/>
        <v>0</v>
      </c>
      <c r="R39" s="13">
        <f t="shared" si="7"/>
        <v>0</v>
      </c>
      <c r="S39" s="13">
        <f t="shared" si="14"/>
        <v>0</v>
      </c>
      <c r="T39" s="14">
        <f t="shared" si="15"/>
        <v>0</v>
      </c>
      <c r="U39" s="520">
        <v>1.5</v>
      </c>
      <c r="V39" s="520">
        <v>2.9</v>
      </c>
      <c r="W39" s="520">
        <v>1</v>
      </c>
      <c r="X39" s="35"/>
      <c r="Y39" s="35"/>
      <c r="Z39" s="13">
        <f t="shared" si="8"/>
        <v>4.3499999999999996</v>
      </c>
      <c r="AA39" s="13">
        <f t="shared" si="9"/>
        <v>0</v>
      </c>
      <c r="AB39" s="13">
        <f t="shared" si="10"/>
        <v>0</v>
      </c>
      <c r="AC39" s="14">
        <f t="shared" si="11"/>
        <v>8.8000000000000007</v>
      </c>
      <c r="AD39" s="444">
        <f t="shared" si="12"/>
        <v>0</v>
      </c>
    </row>
    <row r="40" spans="2:30" x14ac:dyDescent="0.3">
      <c r="B40" s="628"/>
      <c r="C40" s="38"/>
      <c r="D40" s="591"/>
      <c r="E40" s="231" t="s">
        <v>796</v>
      </c>
      <c r="F40" s="511">
        <v>13.25</v>
      </c>
      <c r="G40" s="453">
        <v>0.55000000000000004</v>
      </c>
      <c r="H40" s="453"/>
      <c r="I40" s="16">
        <f t="shared" si="5"/>
        <v>7.2875000000000005</v>
      </c>
      <c r="J40" s="16">
        <f t="shared" si="6"/>
        <v>0</v>
      </c>
      <c r="K40" s="16">
        <f t="shared" si="0"/>
        <v>7.2875000000000005</v>
      </c>
      <c r="L40" s="35"/>
      <c r="M40" s="35"/>
      <c r="N40" s="35"/>
      <c r="O40" s="35"/>
      <c r="P40" s="35"/>
      <c r="Q40" s="13">
        <f t="shared" si="13"/>
        <v>0</v>
      </c>
      <c r="R40" s="13">
        <f t="shared" si="7"/>
        <v>0</v>
      </c>
      <c r="S40" s="13">
        <f t="shared" si="14"/>
        <v>0</v>
      </c>
      <c r="T40" s="14">
        <f t="shared" si="15"/>
        <v>0</v>
      </c>
      <c r="U40" s="35"/>
      <c r="V40" s="35"/>
      <c r="W40" s="35"/>
      <c r="X40" s="35"/>
      <c r="Y40" s="35"/>
      <c r="Z40" s="13">
        <f t="shared" si="8"/>
        <v>0</v>
      </c>
      <c r="AA40" s="13">
        <f t="shared" si="9"/>
        <v>0</v>
      </c>
      <c r="AB40" s="13">
        <f t="shared" si="10"/>
        <v>0</v>
      </c>
      <c r="AC40" s="14">
        <f t="shared" si="11"/>
        <v>0</v>
      </c>
      <c r="AD40" s="444">
        <f t="shared" si="12"/>
        <v>0</v>
      </c>
    </row>
    <row r="41" spans="2:30" x14ac:dyDescent="0.3">
      <c r="B41" s="628"/>
      <c r="C41" s="38"/>
      <c r="D41" s="591"/>
      <c r="E41" s="362"/>
      <c r="F41" s="453"/>
      <c r="G41" s="453"/>
      <c r="H41" s="453"/>
      <c r="I41" s="16">
        <f t="shared" si="5"/>
        <v>0</v>
      </c>
      <c r="J41" s="16">
        <f t="shared" si="6"/>
        <v>0</v>
      </c>
      <c r="K41" s="16">
        <f t="shared" si="0"/>
        <v>0</v>
      </c>
      <c r="L41" s="35"/>
      <c r="M41" s="35"/>
      <c r="N41" s="35"/>
      <c r="O41" s="35"/>
      <c r="P41" s="35"/>
      <c r="Q41" s="13">
        <f t="shared" si="13"/>
        <v>0</v>
      </c>
      <c r="R41" s="13">
        <f t="shared" si="7"/>
        <v>0</v>
      </c>
      <c r="S41" s="13">
        <f t="shared" si="14"/>
        <v>0</v>
      </c>
      <c r="T41" s="14">
        <f t="shared" si="15"/>
        <v>0</v>
      </c>
      <c r="U41" s="35"/>
      <c r="V41" s="35"/>
      <c r="W41" s="35"/>
      <c r="X41" s="35"/>
      <c r="Y41" s="35"/>
      <c r="Z41" s="13">
        <f t="shared" si="8"/>
        <v>0</v>
      </c>
      <c r="AA41" s="13">
        <f t="shared" si="9"/>
        <v>0</v>
      </c>
      <c r="AB41" s="13">
        <f t="shared" si="10"/>
        <v>0</v>
      </c>
      <c r="AC41" s="14">
        <f t="shared" si="11"/>
        <v>0</v>
      </c>
      <c r="AD41" s="444">
        <f t="shared" si="12"/>
        <v>0</v>
      </c>
    </row>
    <row r="42" spans="2:30" x14ac:dyDescent="0.3">
      <c r="B42" s="628"/>
      <c r="C42" s="38"/>
      <c r="D42" s="592"/>
      <c r="E42" s="362"/>
      <c r="F42" s="453"/>
      <c r="G42" s="453"/>
      <c r="H42" s="453"/>
      <c r="I42" s="16">
        <f t="shared" si="5"/>
        <v>0</v>
      </c>
      <c r="J42" s="16">
        <f t="shared" si="6"/>
        <v>0</v>
      </c>
      <c r="K42" s="16">
        <f t="shared" si="0"/>
        <v>0</v>
      </c>
      <c r="L42" s="35"/>
      <c r="M42" s="35"/>
      <c r="N42" s="35"/>
      <c r="O42" s="35"/>
      <c r="P42" s="35"/>
      <c r="Q42" s="13">
        <f t="shared" si="13"/>
        <v>0</v>
      </c>
      <c r="R42" s="13">
        <f t="shared" si="7"/>
        <v>0</v>
      </c>
      <c r="S42" s="13">
        <f t="shared" si="14"/>
        <v>0</v>
      </c>
      <c r="T42" s="14">
        <f t="shared" si="15"/>
        <v>0</v>
      </c>
      <c r="U42" s="35"/>
      <c r="V42" s="35"/>
      <c r="W42" s="35"/>
      <c r="X42" s="35"/>
      <c r="Y42" s="35"/>
      <c r="Z42" s="13">
        <f t="shared" si="8"/>
        <v>0</v>
      </c>
      <c r="AA42" s="13">
        <f t="shared" si="9"/>
        <v>0</v>
      </c>
      <c r="AB42" s="13">
        <f t="shared" si="10"/>
        <v>0</v>
      </c>
      <c r="AC42" s="14">
        <f t="shared" si="11"/>
        <v>0</v>
      </c>
      <c r="AD42" s="444">
        <f t="shared" si="12"/>
        <v>0</v>
      </c>
    </row>
    <row r="43" spans="2:30" x14ac:dyDescent="0.3">
      <c r="B43" s="628"/>
      <c r="C43" s="38" t="s">
        <v>211</v>
      </c>
      <c r="D43" s="590" t="s">
        <v>791</v>
      </c>
      <c r="E43" s="510" t="s">
        <v>785</v>
      </c>
      <c r="F43" s="511">
        <f>10.3+11</f>
        <v>21.3</v>
      </c>
      <c r="G43" s="511">
        <v>6.6</v>
      </c>
      <c r="H43" s="512"/>
      <c r="I43" s="16">
        <f t="shared" si="5"/>
        <v>140.57999999999998</v>
      </c>
      <c r="J43" s="16">
        <f t="shared" si="6"/>
        <v>0</v>
      </c>
      <c r="K43" s="16">
        <f t="shared" si="0"/>
        <v>133.56</v>
      </c>
      <c r="L43" s="520">
        <v>1.9</v>
      </c>
      <c r="M43" s="520">
        <v>1.8</v>
      </c>
      <c r="N43" s="520"/>
      <c r="O43" s="35"/>
      <c r="P43" s="520">
        <v>1</v>
      </c>
      <c r="Q43" s="13">
        <f t="shared" si="13"/>
        <v>0</v>
      </c>
      <c r="R43" s="13">
        <f t="shared" si="7"/>
        <v>0</v>
      </c>
      <c r="S43" s="13">
        <f t="shared" si="14"/>
        <v>3.42</v>
      </c>
      <c r="T43" s="14">
        <f t="shared" si="15"/>
        <v>7.4</v>
      </c>
      <c r="U43" s="518">
        <v>0.9</v>
      </c>
      <c r="V43" s="518">
        <v>2</v>
      </c>
      <c r="W43" s="519">
        <v>2</v>
      </c>
      <c r="X43" s="35"/>
      <c r="Y43" s="35"/>
      <c r="Z43" s="13">
        <f t="shared" si="8"/>
        <v>3.6</v>
      </c>
      <c r="AA43" s="13">
        <f t="shared" si="9"/>
        <v>0</v>
      </c>
      <c r="AB43" s="13">
        <f t="shared" si="10"/>
        <v>0</v>
      </c>
      <c r="AC43" s="14">
        <f t="shared" si="11"/>
        <v>11.6</v>
      </c>
      <c r="AD43" s="444">
        <f t="shared" si="12"/>
        <v>3.42</v>
      </c>
    </row>
    <row r="44" spans="2:30" x14ac:dyDescent="0.3">
      <c r="B44" s="628"/>
      <c r="C44" s="38"/>
      <c r="D44" s="591"/>
      <c r="E44" s="231" t="s">
        <v>796</v>
      </c>
      <c r="F44" s="511">
        <f>10.3+11</f>
        <v>21.3</v>
      </c>
      <c r="G44" s="453">
        <v>0.55000000000000004</v>
      </c>
      <c r="H44" s="454"/>
      <c r="I44" s="16">
        <f t="shared" si="5"/>
        <v>11.715000000000002</v>
      </c>
      <c r="J44" s="16">
        <f t="shared" si="6"/>
        <v>0</v>
      </c>
      <c r="K44" s="16">
        <f t="shared" si="0"/>
        <v>9.5550000000000015</v>
      </c>
      <c r="L44" s="513">
        <v>1.2</v>
      </c>
      <c r="M44" s="513">
        <v>1.8</v>
      </c>
      <c r="N44" s="514"/>
      <c r="O44" s="35"/>
      <c r="P44" s="514">
        <v>1</v>
      </c>
      <c r="Q44" s="13">
        <f t="shared" si="13"/>
        <v>0</v>
      </c>
      <c r="R44" s="13">
        <f t="shared" si="7"/>
        <v>0</v>
      </c>
      <c r="S44" s="13">
        <f t="shared" si="14"/>
        <v>2.16</v>
      </c>
      <c r="T44" s="14">
        <f t="shared" si="15"/>
        <v>6</v>
      </c>
      <c r="U44" s="35"/>
      <c r="V44" s="35"/>
      <c r="W44" s="35"/>
      <c r="X44" s="35"/>
      <c r="Y44" s="35"/>
      <c r="Z44" s="13">
        <f t="shared" si="8"/>
        <v>0</v>
      </c>
      <c r="AA44" s="13">
        <f t="shared" si="9"/>
        <v>0</v>
      </c>
      <c r="AB44" s="13">
        <f t="shared" si="10"/>
        <v>0</v>
      </c>
      <c r="AC44" s="14">
        <f t="shared" si="11"/>
        <v>0</v>
      </c>
      <c r="AD44" s="444">
        <f t="shared" si="12"/>
        <v>2.16</v>
      </c>
    </row>
    <row r="45" spans="2:30" x14ac:dyDescent="0.3">
      <c r="B45" s="628"/>
      <c r="C45" s="38"/>
      <c r="D45" s="591"/>
      <c r="E45" s="362"/>
      <c r="F45" s="453"/>
      <c r="G45" s="453"/>
      <c r="H45" s="453"/>
      <c r="I45" s="16">
        <f t="shared" si="5"/>
        <v>0</v>
      </c>
      <c r="J45" s="16">
        <f t="shared" si="6"/>
        <v>0</v>
      </c>
      <c r="K45" s="16">
        <f t="shared" si="0"/>
        <v>-19.8</v>
      </c>
      <c r="L45" s="513">
        <v>1</v>
      </c>
      <c r="M45" s="513">
        <v>1.8</v>
      </c>
      <c r="N45" s="514"/>
      <c r="O45" s="35"/>
      <c r="P45" s="514">
        <v>11</v>
      </c>
      <c r="Q45" s="13">
        <f t="shared" si="13"/>
        <v>0</v>
      </c>
      <c r="R45" s="13">
        <f t="shared" si="7"/>
        <v>0</v>
      </c>
      <c r="S45" s="13">
        <f t="shared" si="14"/>
        <v>19.8</v>
      </c>
      <c r="T45" s="14">
        <f t="shared" si="15"/>
        <v>61.599999999999994</v>
      </c>
      <c r="U45" s="35"/>
      <c r="V45" s="35"/>
      <c r="W45" s="35"/>
      <c r="X45" s="35"/>
      <c r="Y45" s="35"/>
      <c r="Z45" s="13">
        <f t="shared" si="8"/>
        <v>0</v>
      </c>
      <c r="AA45" s="13">
        <f t="shared" si="9"/>
        <v>0</v>
      </c>
      <c r="AB45" s="13">
        <f t="shared" si="10"/>
        <v>0</v>
      </c>
      <c r="AC45" s="14">
        <f t="shared" si="11"/>
        <v>0</v>
      </c>
      <c r="AD45" s="444">
        <f t="shared" si="12"/>
        <v>19.8</v>
      </c>
    </row>
    <row r="46" spans="2:30" x14ac:dyDescent="0.3">
      <c r="B46" s="628"/>
      <c r="C46" s="38"/>
      <c r="D46" s="591"/>
      <c r="E46" s="231"/>
      <c r="F46" s="453"/>
      <c r="G46" s="453"/>
      <c r="H46" s="453"/>
      <c r="I46" s="16">
        <f t="shared" si="5"/>
        <v>0</v>
      </c>
      <c r="J46" s="16">
        <f t="shared" si="6"/>
        <v>0</v>
      </c>
      <c r="K46" s="16">
        <f t="shared" si="0"/>
        <v>0</v>
      </c>
      <c r="L46" s="35"/>
      <c r="M46" s="35"/>
      <c r="N46" s="35"/>
      <c r="O46" s="35"/>
      <c r="P46" s="35"/>
      <c r="Q46" s="13">
        <f t="shared" si="13"/>
        <v>0</v>
      </c>
      <c r="R46" s="13">
        <f t="shared" si="7"/>
        <v>0</v>
      </c>
      <c r="S46" s="13">
        <f t="shared" si="14"/>
        <v>0</v>
      </c>
      <c r="T46" s="14">
        <f t="shared" si="15"/>
        <v>0</v>
      </c>
      <c r="U46" s="35"/>
      <c r="V46" s="35"/>
      <c r="W46" s="35"/>
      <c r="X46" s="35"/>
      <c r="Y46" s="35"/>
      <c r="Z46" s="13">
        <f t="shared" si="8"/>
        <v>0</v>
      </c>
      <c r="AA46" s="13">
        <f t="shared" si="9"/>
        <v>0</v>
      </c>
      <c r="AB46" s="13">
        <f t="shared" si="10"/>
        <v>0</v>
      </c>
      <c r="AC46" s="14">
        <f t="shared" si="11"/>
        <v>0</v>
      </c>
      <c r="AD46" s="444">
        <f t="shared" si="12"/>
        <v>0</v>
      </c>
    </row>
    <row r="47" spans="2:30" x14ac:dyDescent="0.3">
      <c r="B47" s="628"/>
      <c r="C47" s="38"/>
      <c r="D47" s="591"/>
      <c r="E47" s="231"/>
      <c r="F47" s="453"/>
      <c r="G47" s="453"/>
      <c r="H47" s="453"/>
      <c r="I47" s="16">
        <f t="shared" si="5"/>
        <v>0</v>
      </c>
      <c r="J47" s="16">
        <f t="shared" si="6"/>
        <v>0</v>
      </c>
      <c r="K47" s="16">
        <f t="shared" si="0"/>
        <v>0</v>
      </c>
      <c r="L47" s="35"/>
      <c r="M47" s="35"/>
      <c r="N47" s="35"/>
      <c r="O47" s="35"/>
      <c r="P47" s="35"/>
      <c r="Q47" s="13">
        <f t="shared" si="13"/>
        <v>0</v>
      </c>
      <c r="R47" s="13">
        <f t="shared" si="7"/>
        <v>0</v>
      </c>
      <c r="S47" s="13">
        <f t="shared" si="14"/>
        <v>0</v>
      </c>
      <c r="T47" s="14">
        <f t="shared" si="15"/>
        <v>0</v>
      </c>
      <c r="U47" s="35"/>
      <c r="V47" s="35"/>
      <c r="W47" s="35"/>
      <c r="X47" s="35"/>
      <c r="Y47" s="452"/>
      <c r="Z47" s="13">
        <f t="shared" si="8"/>
        <v>0</v>
      </c>
      <c r="AA47" s="13">
        <f t="shared" si="9"/>
        <v>0</v>
      </c>
      <c r="AB47" s="13">
        <f t="shared" si="10"/>
        <v>0</v>
      </c>
      <c r="AC47" s="14">
        <f t="shared" si="11"/>
        <v>0</v>
      </c>
      <c r="AD47" s="444">
        <f t="shared" si="12"/>
        <v>0</v>
      </c>
    </row>
    <row r="48" spans="2:30" x14ac:dyDescent="0.3">
      <c r="B48" s="628"/>
      <c r="C48" s="38"/>
      <c r="D48" s="591"/>
      <c r="E48" s="231"/>
      <c r="F48" s="453"/>
      <c r="G48" s="453"/>
      <c r="H48" s="453"/>
      <c r="I48" s="16">
        <f t="shared" si="5"/>
        <v>0</v>
      </c>
      <c r="J48" s="16">
        <f t="shared" si="6"/>
        <v>0</v>
      </c>
      <c r="K48" s="16">
        <f t="shared" si="0"/>
        <v>0</v>
      </c>
      <c r="L48" s="35"/>
      <c r="M48" s="35"/>
      <c r="N48" s="35"/>
      <c r="O48" s="35"/>
      <c r="P48" s="35"/>
      <c r="Q48" s="13">
        <f t="shared" si="13"/>
        <v>0</v>
      </c>
      <c r="R48" s="13">
        <f t="shared" si="7"/>
        <v>0</v>
      </c>
      <c r="S48" s="13">
        <f t="shared" si="14"/>
        <v>0</v>
      </c>
      <c r="T48" s="14">
        <f t="shared" si="15"/>
        <v>0</v>
      </c>
      <c r="U48" s="35"/>
      <c r="V48" s="35"/>
      <c r="W48" s="35"/>
      <c r="X48" s="35"/>
      <c r="Y48" s="452"/>
      <c r="Z48" s="13">
        <f t="shared" si="8"/>
        <v>0</v>
      </c>
      <c r="AA48" s="13">
        <f t="shared" si="9"/>
        <v>0</v>
      </c>
      <c r="AB48" s="13">
        <f t="shared" si="10"/>
        <v>0</v>
      </c>
      <c r="AC48" s="14">
        <f t="shared" si="11"/>
        <v>0</v>
      </c>
      <c r="AD48" s="444">
        <f t="shared" si="12"/>
        <v>0</v>
      </c>
    </row>
    <row r="49" spans="2:30" x14ac:dyDescent="0.3">
      <c r="B49" s="628"/>
      <c r="C49" s="38"/>
      <c r="D49" s="591"/>
      <c r="E49" s="231"/>
      <c r="F49" s="453"/>
      <c r="G49" s="453"/>
      <c r="H49" s="453"/>
      <c r="I49" s="16">
        <f t="shared" si="5"/>
        <v>0</v>
      </c>
      <c r="J49" s="16">
        <f t="shared" si="6"/>
        <v>0</v>
      </c>
      <c r="K49" s="16">
        <f t="shared" si="0"/>
        <v>0</v>
      </c>
      <c r="L49" s="35"/>
      <c r="M49" s="35"/>
      <c r="N49" s="35"/>
      <c r="O49" s="35"/>
      <c r="P49" s="35"/>
      <c r="Q49" s="13">
        <f t="shared" si="13"/>
        <v>0</v>
      </c>
      <c r="R49" s="13">
        <f t="shared" si="7"/>
        <v>0</v>
      </c>
      <c r="S49" s="13">
        <f t="shared" si="14"/>
        <v>0</v>
      </c>
      <c r="T49" s="14">
        <f t="shared" si="15"/>
        <v>0</v>
      </c>
      <c r="U49" s="35"/>
      <c r="V49" s="35"/>
      <c r="W49" s="35"/>
      <c r="X49" s="35"/>
      <c r="Y49" s="452"/>
      <c r="Z49" s="13">
        <f t="shared" si="8"/>
        <v>0</v>
      </c>
      <c r="AA49" s="13">
        <f t="shared" si="9"/>
        <v>0</v>
      </c>
      <c r="AB49" s="13">
        <f t="shared" si="10"/>
        <v>0</v>
      </c>
      <c r="AC49" s="14">
        <f t="shared" si="11"/>
        <v>0</v>
      </c>
      <c r="AD49" s="444">
        <f t="shared" si="12"/>
        <v>0</v>
      </c>
    </row>
    <row r="50" spans="2:30" x14ac:dyDescent="0.3">
      <c r="B50" s="628"/>
      <c r="C50" s="38"/>
      <c r="D50" s="591"/>
      <c r="E50" s="362"/>
      <c r="F50" s="453"/>
      <c r="G50" s="453"/>
      <c r="H50" s="453"/>
      <c r="I50" s="16">
        <f t="shared" si="5"/>
        <v>0</v>
      </c>
      <c r="J50" s="16">
        <f t="shared" si="6"/>
        <v>0</v>
      </c>
      <c r="K50" s="16">
        <f t="shared" si="0"/>
        <v>0</v>
      </c>
      <c r="L50" s="35"/>
      <c r="M50" s="35"/>
      <c r="N50" s="35"/>
      <c r="O50" s="35"/>
      <c r="P50" s="35"/>
      <c r="Q50" s="13">
        <f t="shared" si="13"/>
        <v>0</v>
      </c>
      <c r="R50" s="13">
        <f t="shared" si="7"/>
        <v>0</v>
      </c>
      <c r="S50" s="13">
        <f t="shared" si="14"/>
        <v>0</v>
      </c>
      <c r="T50" s="14">
        <f t="shared" si="15"/>
        <v>0</v>
      </c>
      <c r="U50" s="35"/>
      <c r="V50" s="35"/>
      <c r="W50" s="35"/>
      <c r="X50" s="35"/>
      <c r="Y50" s="35"/>
      <c r="Z50" s="13">
        <f t="shared" si="8"/>
        <v>0</v>
      </c>
      <c r="AA50" s="13">
        <f t="shared" si="9"/>
        <v>0</v>
      </c>
      <c r="AB50" s="13">
        <f t="shared" si="10"/>
        <v>0</v>
      </c>
      <c r="AC50" s="14">
        <f t="shared" si="11"/>
        <v>0</v>
      </c>
      <c r="AD50" s="444">
        <f t="shared" si="12"/>
        <v>0</v>
      </c>
    </row>
    <row r="51" spans="2:30" x14ac:dyDescent="0.3">
      <c r="B51" s="628"/>
      <c r="C51" s="38"/>
      <c r="D51" s="592"/>
      <c r="E51" s="231"/>
      <c r="F51" s="453"/>
      <c r="G51" s="453"/>
      <c r="H51" s="453"/>
      <c r="I51" s="16">
        <f t="shared" si="5"/>
        <v>0</v>
      </c>
      <c r="J51" s="16">
        <f t="shared" si="6"/>
        <v>0</v>
      </c>
      <c r="K51" s="16">
        <f t="shared" si="0"/>
        <v>0</v>
      </c>
      <c r="L51" s="35"/>
      <c r="M51" s="35"/>
      <c r="N51" s="35"/>
      <c r="O51" s="35"/>
      <c r="P51" s="35"/>
      <c r="Q51" s="13">
        <f t="shared" si="13"/>
        <v>0</v>
      </c>
      <c r="R51" s="13">
        <f t="shared" si="7"/>
        <v>0</v>
      </c>
      <c r="S51" s="13">
        <f t="shared" si="14"/>
        <v>0</v>
      </c>
      <c r="T51" s="14">
        <f t="shared" si="15"/>
        <v>0</v>
      </c>
      <c r="U51" s="35"/>
      <c r="V51" s="35"/>
      <c r="W51" s="35"/>
      <c r="X51" s="35"/>
      <c r="Y51" s="35"/>
      <c r="Z51" s="13">
        <f t="shared" si="8"/>
        <v>0</v>
      </c>
      <c r="AA51" s="13">
        <f t="shared" si="9"/>
        <v>0</v>
      </c>
      <c r="AB51" s="13">
        <f t="shared" si="10"/>
        <v>0</v>
      </c>
      <c r="AC51" s="14">
        <f t="shared" si="11"/>
        <v>0</v>
      </c>
      <c r="AD51" s="444">
        <f t="shared" si="12"/>
        <v>0</v>
      </c>
    </row>
    <row r="52" spans="2:30" x14ac:dyDescent="0.3">
      <c r="B52" s="628"/>
      <c r="C52" s="38" t="s">
        <v>214</v>
      </c>
      <c r="D52" s="590" t="s">
        <v>792</v>
      </c>
      <c r="E52" s="231" t="s">
        <v>785</v>
      </c>
      <c r="F52" s="511">
        <v>13.2</v>
      </c>
      <c r="G52" s="511">
        <v>6.6</v>
      </c>
      <c r="H52" s="512"/>
      <c r="I52" s="16">
        <f t="shared" si="5"/>
        <v>87.11999999999999</v>
      </c>
      <c r="J52" s="16">
        <f t="shared" si="6"/>
        <v>0</v>
      </c>
      <c r="K52" s="16">
        <f t="shared" si="0"/>
        <v>75.239999999999981</v>
      </c>
      <c r="L52" s="513">
        <v>1.2</v>
      </c>
      <c r="M52" s="513">
        <v>1.8</v>
      </c>
      <c r="N52" s="514"/>
      <c r="O52" s="35"/>
      <c r="P52" s="514">
        <v>3</v>
      </c>
      <c r="Q52" s="13">
        <f t="shared" si="13"/>
        <v>0</v>
      </c>
      <c r="R52" s="13">
        <f t="shared" si="7"/>
        <v>0</v>
      </c>
      <c r="S52" s="13">
        <f t="shared" si="14"/>
        <v>6.48</v>
      </c>
      <c r="T52" s="14">
        <f t="shared" si="15"/>
        <v>18</v>
      </c>
      <c r="U52" s="518">
        <v>0.9</v>
      </c>
      <c r="V52" s="518">
        <v>2</v>
      </c>
      <c r="W52" s="519">
        <v>3</v>
      </c>
      <c r="X52" s="35"/>
      <c r="Y52" s="35"/>
      <c r="Z52" s="13">
        <f t="shared" si="8"/>
        <v>5.4</v>
      </c>
      <c r="AA52" s="13">
        <f t="shared" si="9"/>
        <v>0</v>
      </c>
      <c r="AB52" s="13">
        <f t="shared" si="10"/>
        <v>0</v>
      </c>
      <c r="AC52" s="14">
        <f t="shared" si="11"/>
        <v>17.399999999999999</v>
      </c>
      <c r="AD52" s="444">
        <f t="shared" si="12"/>
        <v>6.48</v>
      </c>
    </row>
    <row r="53" spans="2:30" x14ac:dyDescent="0.3">
      <c r="B53" s="628"/>
      <c r="C53" s="38"/>
      <c r="D53" s="591"/>
      <c r="E53" s="231" t="s">
        <v>796</v>
      </c>
      <c r="F53" s="511">
        <v>13.2</v>
      </c>
      <c r="G53" s="453">
        <v>0.55000000000000004</v>
      </c>
      <c r="H53" s="454"/>
      <c r="I53" s="16">
        <f t="shared" si="5"/>
        <v>7.26</v>
      </c>
      <c r="J53" s="16">
        <f t="shared" si="6"/>
        <v>0</v>
      </c>
      <c r="K53" s="16">
        <f t="shared" si="0"/>
        <v>5.9999999999999609E-2</v>
      </c>
      <c r="L53" s="513">
        <v>1</v>
      </c>
      <c r="M53" s="513">
        <v>1.8</v>
      </c>
      <c r="N53" s="514"/>
      <c r="O53" s="35"/>
      <c r="P53" s="514">
        <v>4</v>
      </c>
      <c r="Q53" s="13">
        <f t="shared" si="13"/>
        <v>0</v>
      </c>
      <c r="R53" s="13">
        <f t="shared" si="7"/>
        <v>0</v>
      </c>
      <c r="S53" s="13">
        <f t="shared" si="14"/>
        <v>7.2</v>
      </c>
      <c r="T53" s="14">
        <f t="shared" si="15"/>
        <v>22.4</v>
      </c>
      <c r="U53" s="35"/>
      <c r="V53" s="35"/>
      <c r="W53" s="35"/>
      <c r="X53" s="35"/>
      <c r="Y53" s="35"/>
      <c r="Z53" s="13">
        <f t="shared" si="8"/>
        <v>0</v>
      </c>
      <c r="AA53" s="13">
        <f t="shared" si="9"/>
        <v>0</v>
      </c>
      <c r="AB53" s="13">
        <f t="shared" si="10"/>
        <v>0</v>
      </c>
      <c r="AC53" s="14">
        <f t="shared" si="11"/>
        <v>0</v>
      </c>
      <c r="AD53" s="444">
        <f t="shared" si="12"/>
        <v>7.2</v>
      </c>
    </row>
    <row r="54" spans="2:30" x14ac:dyDescent="0.3">
      <c r="B54" s="628"/>
      <c r="C54" s="38"/>
      <c r="D54" s="591"/>
      <c r="E54" s="362"/>
      <c r="F54" s="453"/>
      <c r="G54" s="453"/>
      <c r="H54" s="453"/>
      <c r="I54" s="16">
        <f t="shared" si="5"/>
        <v>0</v>
      </c>
      <c r="J54" s="16">
        <f t="shared" si="6"/>
        <v>0</v>
      </c>
      <c r="K54" s="16">
        <f t="shared" si="0"/>
        <v>0</v>
      </c>
      <c r="L54" s="35"/>
      <c r="M54" s="35"/>
      <c r="N54" s="35"/>
      <c r="O54" s="35"/>
      <c r="P54" s="35"/>
      <c r="Q54" s="13">
        <f t="shared" si="13"/>
        <v>0</v>
      </c>
      <c r="R54" s="13">
        <f t="shared" si="7"/>
        <v>0</v>
      </c>
      <c r="S54" s="13">
        <f t="shared" si="14"/>
        <v>0</v>
      </c>
      <c r="T54" s="14">
        <f t="shared" si="15"/>
        <v>0</v>
      </c>
      <c r="U54" s="35"/>
      <c r="V54" s="35"/>
      <c r="W54" s="35"/>
      <c r="X54" s="35"/>
      <c r="Y54" s="35"/>
      <c r="Z54" s="13">
        <f t="shared" si="8"/>
        <v>0</v>
      </c>
      <c r="AA54" s="13">
        <f t="shared" si="9"/>
        <v>0</v>
      </c>
      <c r="AB54" s="13">
        <f t="shared" si="10"/>
        <v>0</v>
      </c>
      <c r="AC54" s="14">
        <f t="shared" si="11"/>
        <v>0</v>
      </c>
      <c r="AD54" s="444">
        <f t="shared" si="12"/>
        <v>0</v>
      </c>
    </row>
    <row r="55" spans="2:30" x14ac:dyDescent="0.3">
      <c r="B55" s="628"/>
      <c r="C55" s="38"/>
      <c r="D55" s="592"/>
      <c r="E55" s="231"/>
      <c r="F55" s="453"/>
      <c r="G55" s="453"/>
      <c r="H55" s="453"/>
      <c r="I55" s="16">
        <f t="shared" si="5"/>
        <v>0</v>
      </c>
      <c r="J55" s="16">
        <f t="shared" si="6"/>
        <v>0</v>
      </c>
      <c r="K55" s="16">
        <f t="shared" si="0"/>
        <v>0</v>
      </c>
      <c r="L55" s="35"/>
      <c r="M55" s="35"/>
      <c r="N55" s="35"/>
      <c r="O55" s="35"/>
      <c r="P55" s="35"/>
      <c r="Q55" s="13">
        <f t="shared" si="13"/>
        <v>0</v>
      </c>
      <c r="R55" s="13">
        <f t="shared" si="7"/>
        <v>0</v>
      </c>
      <c r="S55" s="13">
        <f t="shared" si="14"/>
        <v>0</v>
      </c>
      <c r="T55" s="14">
        <f t="shared" si="15"/>
        <v>0</v>
      </c>
      <c r="U55" s="35"/>
      <c r="V55" s="35"/>
      <c r="W55" s="35"/>
      <c r="X55" s="35"/>
      <c r="Y55" s="35"/>
      <c r="Z55" s="13">
        <f t="shared" si="8"/>
        <v>0</v>
      </c>
      <c r="AA55" s="13">
        <f t="shared" si="9"/>
        <v>0</v>
      </c>
      <c r="AB55" s="13">
        <f t="shared" si="10"/>
        <v>0</v>
      </c>
      <c r="AC55" s="14">
        <f t="shared" si="11"/>
        <v>0</v>
      </c>
      <c r="AD55" s="444">
        <f t="shared" si="12"/>
        <v>0</v>
      </c>
    </row>
    <row r="56" spans="2:30" x14ac:dyDescent="0.3">
      <c r="B56" s="628"/>
      <c r="C56" s="38" t="s">
        <v>211</v>
      </c>
      <c r="D56" s="590" t="s">
        <v>793</v>
      </c>
      <c r="E56" s="455" t="s">
        <v>785</v>
      </c>
      <c r="F56" s="511">
        <v>4.3</v>
      </c>
      <c r="G56" s="511">
        <v>3.3</v>
      </c>
      <c r="H56" s="453"/>
      <c r="I56" s="16">
        <f t="shared" si="5"/>
        <v>14.19</v>
      </c>
      <c r="J56" s="16">
        <f t="shared" si="6"/>
        <v>0</v>
      </c>
      <c r="K56" s="16">
        <f t="shared" si="0"/>
        <v>12.03</v>
      </c>
      <c r="L56" s="513">
        <v>1.2</v>
      </c>
      <c r="M56" s="513">
        <v>1.8</v>
      </c>
      <c r="N56" s="514"/>
      <c r="O56" s="35"/>
      <c r="P56" s="514">
        <v>1</v>
      </c>
      <c r="Q56" s="13">
        <f t="shared" si="13"/>
        <v>0</v>
      </c>
      <c r="R56" s="13">
        <f t="shared" si="7"/>
        <v>0</v>
      </c>
      <c r="S56" s="13">
        <f t="shared" si="14"/>
        <v>2.16</v>
      </c>
      <c r="T56" s="14">
        <f t="shared" si="15"/>
        <v>6</v>
      </c>
      <c r="U56" s="35"/>
      <c r="V56" s="35"/>
      <c r="W56" s="35"/>
      <c r="X56" s="35"/>
      <c r="Y56" s="35"/>
      <c r="Z56" s="13">
        <f t="shared" si="8"/>
        <v>0</v>
      </c>
      <c r="AA56" s="13">
        <f t="shared" si="9"/>
        <v>0</v>
      </c>
      <c r="AB56" s="13">
        <f t="shared" si="10"/>
        <v>0</v>
      </c>
      <c r="AC56" s="14">
        <f t="shared" si="11"/>
        <v>0</v>
      </c>
      <c r="AD56" s="444">
        <f t="shared" si="12"/>
        <v>2.16</v>
      </c>
    </row>
    <row r="57" spans="2:30" ht="36" x14ac:dyDescent="0.3">
      <c r="B57" s="628"/>
      <c r="C57" s="38"/>
      <c r="D57" s="591"/>
      <c r="E57" s="456" t="s">
        <v>796</v>
      </c>
      <c r="F57" s="511">
        <v>4.3</v>
      </c>
      <c r="G57" s="453">
        <v>0.55000000000000004</v>
      </c>
      <c r="H57" s="453"/>
      <c r="I57" s="16">
        <f t="shared" si="5"/>
        <v>2.3650000000000002</v>
      </c>
      <c r="J57" s="16">
        <f t="shared" si="6"/>
        <v>0</v>
      </c>
      <c r="K57" s="16">
        <f t="shared" si="0"/>
        <v>0.56500000000000017</v>
      </c>
      <c r="L57" s="513">
        <v>1</v>
      </c>
      <c r="M57" s="513">
        <v>1.8</v>
      </c>
      <c r="N57" s="514"/>
      <c r="O57" s="35"/>
      <c r="P57" s="514">
        <v>1</v>
      </c>
      <c r="Q57" s="13">
        <f t="shared" si="13"/>
        <v>0</v>
      </c>
      <c r="R57" s="13">
        <f t="shared" si="7"/>
        <v>0</v>
      </c>
      <c r="S57" s="13">
        <f t="shared" si="14"/>
        <v>1.8</v>
      </c>
      <c r="T57" s="14">
        <f t="shared" si="15"/>
        <v>5.6</v>
      </c>
      <c r="U57" s="35"/>
      <c r="V57" s="35"/>
      <c r="W57" s="35"/>
      <c r="X57" s="35"/>
      <c r="Y57" s="35"/>
      <c r="Z57" s="13">
        <f t="shared" si="8"/>
        <v>0</v>
      </c>
      <c r="AA57" s="13">
        <f t="shared" si="9"/>
        <v>0</v>
      </c>
      <c r="AB57" s="13">
        <f t="shared" si="10"/>
        <v>0</v>
      </c>
      <c r="AC57" s="14">
        <f t="shared" si="11"/>
        <v>0</v>
      </c>
      <c r="AD57" s="444">
        <f t="shared" si="12"/>
        <v>1.8</v>
      </c>
    </row>
    <row r="58" spans="2:30" x14ac:dyDescent="0.3">
      <c r="B58" s="628"/>
      <c r="C58" s="38"/>
      <c r="D58" s="592"/>
      <c r="E58" s="455"/>
      <c r="F58" s="453"/>
      <c r="G58" s="453"/>
      <c r="H58" s="453"/>
      <c r="I58" s="16">
        <f t="shared" si="5"/>
        <v>0</v>
      </c>
      <c r="J58" s="16">
        <f t="shared" si="6"/>
        <v>0</v>
      </c>
      <c r="K58" s="16">
        <f t="shared" si="0"/>
        <v>0</v>
      </c>
      <c r="L58" s="35"/>
      <c r="M58" s="35"/>
      <c r="N58" s="35"/>
      <c r="O58" s="35"/>
      <c r="P58" s="35"/>
      <c r="Q58" s="13">
        <f t="shared" si="13"/>
        <v>0</v>
      </c>
      <c r="R58" s="13">
        <f t="shared" si="7"/>
        <v>0</v>
      </c>
      <c r="S58" s="13">
        <f t="shared" si="14"/>
        <v>0</v>
      </c>
      <c r="T58" s="14">
        <f t="shared" si="15"/>
        <v>0</v>
      </c>
      <c r="U58" s="35"/>
      <c r="V58" s="35"/>
      <c r="W58" s="35"/>
      <c r="X58" s="35"/>
      <c r="Y58" s="35"/>
      <c r="Z58" s="13">
        <f t="shared" si="8"/>
        <v>0</v>
      </c>
      <c r="AA58" s="13">
        <f t="shared" si="9"/>
        <v>0</v>
      </c>
      <c r="AB58" s="13">
        <f t="shared" si="10"/>
        <v>0</v>
      </c>
      <c r="AC58" s="14">
        <f t="shared" si="11"/>
        <v>0</v>
      </c>
      <c r="AD58" s="444">
        <f t="shared" si="12"/>
        <v>0</v>
      </c>
    </row>
    <row r="59" spans="2:30" ht="24" customHeight="1" x14ac:dyDescent="0.3">
      <c r="B59" s="628"/>
      <c r="C59" s="38" t="s">
        <v>212</v>
      </c>
      <c r="D59" s="593" t="s">
        <v>847</v>
      </c>
      <c r="E59" s="456" t="s">
        <v>785</v>
      </c>
      <c r="F59" s="511">
        <v>4.3</v>
      </c>
      <c r="G59" s="511">
        <v>3.3</v>
      </c>
      <c r="H59" s="453"/>
      <c r="I59" s="16">
        <f t="shared" si="5"/>
        <v>14.19</v>
      </c>
      <c r="J59" s="16">
        <f t="shared" si="6"/>
        <v>0</v>
      </c>
      <c r="K59" s="16">
        <f t="shared" si="0"/>
        <v>12.03</v>
      </c>
      <c r="L59" s="513">
        <v>1.2</v>
      </c>
      <c r="M59" s="513">
        <v>1.8</v>
      </c>
      <c r="N59" s="514"/>
      <c r="O59" s="35"/>
      <c r="P59" s="514">
        <v>1</v>
      </c>
      <c r="Q59" s="13">
        <f t="shared" si="13"/>
        <v>0</v>
      </c>
      <c r="R59" s="13">
        <f t="shared" si="7"/>
        <v>0</v>
      </c>
      <c r="S59" s="13">
        <f t="shared" si="14"/>
        <v>2.16</v>
      </c>
      <c r="T59" s="14">
        <f t="shared" si="15"/>
        <v>6</v>
      </c>
      <c r="U59" s="35"/>
      <c r="V59" s="35"/>
      <c r="W59" s="35"/>
      <c r="X59" s="35"/>
      <c r="Y59" s="35"/>
      <c r="Z59" s="13">
        <f t="shared" si="8"/>
        <v>0</v>
      </c>
      <c r="AA59" s="13">
        <f t="shared" si="9"/>
        <v>0</v>
      </c>
      <c r="AB59" s="13">
        <f t="shared" si="10"/>
        <v>0</v>
      </c>
      <c r="AC59" s="14">
        <f t="shared" si="11"/>
        <v>0</v>
      </c>
      <c r="AD59" s="444">
        <f t="shared" si="12"/>
        <v>2.16</v>
      </c>
    </row>
    <row r="60" spans="2:30" ht="27" customHeight="1" x14ac:dyDescent="0.3">
      <c r="B60" s="628"/>
      <c r="C60" s="38"/>
      <c r="D60" s="594"/>
      <c r="E60" s="455" t="s">
        <v>796</v>
      </c>
      <c r="F60" s="511">
        <v>4.3</v>
      </c>
      <c r="G60" s="453">
        <v>0.55000000000000004</v>
      </c>
      <c r="H60" s="453"/>
      <c r="I60" s="16">
        <f t="shared" si="5"/>
        <v>2.3650000000000002</v>
      </c>
      <c r="J60" s="16">
        <f t="shared" si="6"/>
        <v>0</v>
      </c>
      <c r="K60" s="16">
        <f t="shared" si="0"/>
        <v>2.3650000000000002</v>
      </c>
      <c r="L60" s="35"/>
      <c r="M60" s="35"/>
      <c r="N60" s="35"/>
      <c r="O60" s="35"/>
      <c r="P60" s="35"/>
      <c r="Q60" s="13">
        <f t="shared" si="13"/>
        <v>0</v>
      </c>
      <c r="R60" s="13">
        <f t="shared" si="7"/>
        <v>0</v>
      </c>
      <c r="S60" s="13">
        <f t="shared" si="14"/>
        <v>0</v>
      </c>
      <c r="T60" s="14">
        <f t="shared" si="15"/>
        <v>0</v>
      </c>
      <c r="U60" s="35"/>
      <c r="V60" s="35"/>
      <c r="W60" s="35"/>
      <c r="X60" s="35"/>
      <c r="Y60" s="35"/>
      <c r="Z60" s="13">
        <f t="shared" si="8"/>
        <v>0</v>
      </c>
      <c r="AA60" s="13">
        <f t="shared" si="9"/>
        <v>0</v>
      </c>
      <c r="AB60" s="13">
        <f t="shared" si="10"/>
        <v>0</v>
      </c>
      <c r="AC60" s="14">
        <f t="shared" si="11"/>
        <v>0</v>
      </c>
      <c r="AD60" s="444">
        <f t="shared" si="12"/>
        <v>0</v>
      </c>
    </row>
    <row r="61" spans="2:30" x14ac:dyDescent="0.3">
      <c r="B61" s="628"/>
      <c r="C61" s="38"/>
      <c r="D61" s="587"/>
      <c r="E61" s="231"/>
      <c r="F61" s="453"/>
      <c r="G61" s="453"/>
      <c r="H61" s="454"/>
      <c r="I61" s="16">
        <f t="shared" si="5"/>
        <v>0</v>
      </c>
      <c r="J61" s="16">
        <f t="shared" si="6"/>
        <v>0</v>
      </c>
      <c r="K61" s="16">
        <f t="shared" si="0"/>
        <v>0</v>
      </c>
      <c r="L61" s="35"/>
      <c r="M61" s="35"/>
      <c r="N61" s="35"/>
      <c r="O61" s="35"/>
      <c r="P61" s="35"/>
      <c r="Q61" s="13">
        <f t="shared" si="13"/>
        <v>0</v>
      </c>
      <c r="R61" s="13">
        <f t="shared" si="7"/>
        <v>0</v>
      </c>
      <c r="S61" s="13">
        <f t="shared" si="14"/>
        <v>0</v>
      </c>
      <c r="T61" s="14">
        <f t="shared" si="15"/>
        <v>0</v>
      </c>
      <c r="U61" s="35"/>
      <c r="V61" s="35"/>
      <c r="W61" s="35"/>
      <c r="X61" s="35"/>
      <c r="Y61" s="35"/>
      <c r="Z61" s="13">
        <f t="shared" si="8"/>
        <v>0</v>
      </c>
      <c r="AA61" s="13">
        <f t="shared" si="9"/>
        <v>0</v>
      </c>
      <c r="AB61" s="13">
        <f t="shared" si="10"/>
        <v>0</v>
      </c>
      <c r="AC61" s="14">
        <f t="shared" si="11"/>
        <v>0</v>
      </c>
      <c r="AD61" s="444">
        <f t="shared" si="12"/>
        <v>0</v>
      </c>
    </row>
    <row r="62" spans="2:30" x14ac:dyDescent="0.3">
      <c r="B62" s="628"/>
      <c r="C62" s="38"/>
      <c r="D62" s="588"/>
      <c r="E62" s="231"/>
      <c r="F62" s="453"/>
      <c r="G62" s="453"/>
      <c r="H62" s="454"/>
      <c r="I62" s="16">
        <f t="shared" si="5"/>
        <v>0</v>
      </c>
      <c r="J62" s="16">
        <f t="shared" si="6"/>
        <v>0</v>
      </c>
      <c r="K62" s="16">
        <f t="shared" si="0"/>
        <v>0</v>
      </c>
      <c r="L62" s="35"/>
      <c r="M62" s="35"/>
      <c r="N62" s="35"/>
      <c r="O62" s="35"/>
      <c r="P62" s="35"/>
      <c r="Q62" s="13">
        <f t="shared" si="13"/>
        <v>0</v>
      </c>
      <c r="R62" s="13">
        <f t="shared" si="7"/>
        <v>0</v>
      </c>
      <c r="S62" s="13">
        <f t="shared" si="14"/>
        <v>0</v>
      </c>
      <c r="T62" s="14">
        <f t="shared" si="15"/>
        <v>0</v>
      </c>
      <c r="U62" s="35"/>
      <c r="V62" s="35"/>
      <c r="W62" s="35"/>
      <c r="X62" s="35"/>
      <c r="Y62" s="35"/>
      <c r="Z62" s="13">
        <f t="shared" si="8"/>
        <v>0</v>
      </c>
      <c r="AA62" s="13">
        <f t="shared" si="9"/>
        <v>0</v>
      </c>
      <c r="AB62" s="13">
        <f t="shared" si="10"/>
        <v>0</v>
      </c>
      <c r="AC62" s="14">
        <f t="shared" si="11"/>
        <v>0</v>
      </c>
      <c r="AD62" s="444">
        <f t="shared" si="12"/>
        <v>0</v>
      </c>
    </row>
    <row r="63" spans="2:30" x14ac:dyDescent="0.3">
      <c r="B63" s="628"/>
      <c r="C63" s="38"/>
      <c r="D63" s="588"/>
      <c r="E63" s="231"/>
      <c r="F63" s="453"/>
      <c r="G63" s="453"/>
      <c r="H63" s="454"/>
      <c r="I63" s="16">
        <f t="shared" si="5"/>
        <v>0</v>
      </c>
      <c r="J63" s="16">
        <f t="shared" si="6"/>
        <v>0</v>
      </c>
      <c r="K63" s="16">
        <f t="shared" si="0"/>
        <v>0</v>
      </c>
      <c r="L63" s="35"/>
      <c r="M63" s="35"/>
      <c r="N63" s="35"/>
      <c r="O63" s="35"/>
      <c r="P63" s="35"/>
      <c r="Q63" s="13">
        <f t="shared" si="13"/>
        <v>0</v>
      </c>
      <c r="R63" s="13">
        <f t="shared" si="7"/>
        <v>0</v>
      </c>
      <c r="S63" s="13">
        <f t="shared" si="14"/>
        <v>0</v>
      </c>
      <c r="T63" s="14">
        <f t="shared" si="15"/>
        <v>0</v>
      </c>
      <c r="U63" s="35"/>
      <c r="V63" s="35"/>
      <c r="W63" s="35"/>
      <c r="X63" s="35"/>
      <c r="Y63" s="35"/>
      <c r="Z63" s="13">
        <f t="shared" si="8"/>
        <v>0</v>
      </c>
      <c r="AA63" s="13">
        <f t="shared" si="9"/>
        <v>0</v>
      </c>
      <c r="AB63" s="13">
        <f t="shared" si="10"/>
        <v>0</v>
      </c>
      <c r="AC63" s="14">
        <f t="shared" si="11"/>
        <v>0</v>
      </c>
      <c r="AD63" s="444">
        <f t="shared" si="12"/>
        <v>0</v>
      </c>
    </row>
    <row r="64" spans="2:30" x14ac:dyDescent="0.3">
      <c r="B64" s="628"/>
      <c r="C64" s="38"/>
      <c r="D64" s="588"/>
      <c r="E64" s="362"/>
      <c r="F64" s="453"/>
      <c r="G64" s="453"/>
      <c r="H64" s="454"/>
      <c r="I64" s="16">
        <f t="shared" si="5"/>
        <v>0</v>
      </c>
      <c r="J64" s="16">
        <f t="shared" si="6"/>
        <v>0</v>
      </c>
      <c r="K64" s="16">
        <f t="shared" si="0"/>
        <v>0</v>
      </c>
      <c r="L64" s="35"/>
      <c r="M64" s="35"/>
      <c r="N64" s="35"/>
      <c r="O64" s="35"/>
      <c r="P64" s="35"/>
      <c r="Q64" s="13">
        <f t="shared" si="13"/>
        <v>0</v>
      </c>
      <c r="R64" s="13">
        <f t="shared" si="7"/>
        <v>0</v>
      </c>
      <c r="S64" s="13">
        <f t="shared" si="14"/>
        <v>0</v>
      </c>
      <c r="T64" s="14">
        <f t="shared" si="15"/>
        <v>0</v>
      </c>
      <c r="U64" s="35"/>
      <c r="V64" s="35"/>
      <c r="W64" s="35"/>
      <c r="X64" s="35"/>
      <c r="Y64" s="35"/>
      <c r="Z64" s="13">
        <f t="shared" si="8"/>
        <v>0</v>
      </c>
      <c r="AA64" s="13">
        <f t="shared" si="9"/>
        <v>0</v>
      </c>
      <c r="AB64" s="13">
        <f t="shared" si="10"/>
        <v>0</v>
      </c>
      <c r="AC64" s="14">
        <f t="shared" si="11"/>
        <v>0</v>
      </c>
      <c r="AD64" s="444">
        <f t="shared" si="12"/>
        <v>0</v>
      </c>
    </row>
    <row r="65" spans="2:30" x14ac:dyDescent="0.3">
      <c r="B65" s="628"/>
      <c r="C65" s="38"/>
      <c r="D65" s="589"/>
      <c r="E65" s="231"/>
      <c r="F65" s="453"/>
      <c r="G65" s="454"/>
      <c r="H65" s="453"/>
      <c r="I65" s="16">
        <f t="shared" si="5"/>
        <v>0</v>
      </c>
      <c r="J65" s="16">
        <f t="shared" si="6"/>
        <v>0</v>
      </c>
      <c r="K65" s="16">
        <f t="shared" si="0"/>
        <v>0</v>
      </c>
      <c r="L65" s="35"/>
      <c r="M65" s="35"/>
      <c r="N65" s="35"/>
      <c r="O65" s="35"/>
      <c r="P65" s="35"/>
      <c r="Q65" s="13">
        <f t="shared" si="13"/>
        <v>0</v>
      </c>
      <c r="R65" s="13">
        <f t="shared" si="7"/>
        <v>0</v>
      </c>
      <c r="S65" s="13">
        <f t="shared" si="14"/>
        <v>0</v>
      </c>
      <c r="T65" s="14">
        <f t="shared" si="15"/>
        <v>0</v>
      </c>
      <c r="U65" s="35"/>
      <c r="V65" s="35"/>
      <c r="W65" s="35"/>
      <c r="X65" s="35"/>
      <c r="Y65" s="35"/>
      <c r="Z65" s="13">
        <f t="shared" si="8"/>
        <v>0</v>
      </c>
      <c r="AA65" s="13">
        <f t="shared" si="9"/>
        <v>0</v>
      </c>
      <c r="AB65" s="13">
        <f t="shared" si="10"/>
        <v>0</v>
      </c>
      <c r="AC65" s="14">
        <f t="shared" si="11"/>
        <v>0</v>
      </c>
      <c r="AD65" s="444">
        <f t="shared" si="12"/>
        <v>0</v>
      </c>
    </row>
    <row r="66" spans="2:30" x14ac:dyDescent="0.3">
      <c r="B66" s="628"/>
      <c r="C66" s="38"/>
      <c r="D66" s="587"/>
      <c r="E66" s="231"/>
      <c r="F66" s="453"/>
      <c r="G66" s="453"/>
      <c r="H66" s="453"/>
      <c r="I66" s="16">
        <f t="shared" si="5"/>
        <v>0</v>
      </c>
      <c r="J66" s="16">
        <f t="shared" si="6"/>
        <v>0</v>
      </c>
      <c r="K66" s="16">
        <f t="shared" si="0"/>
        <v>0</v>
      </c>
      <c r="L66" s="35"/>
      <c r="M66" s="35"/>
      <c r="N66" s="35"/>
      <c r="O66" s="35"/>
      <c r="P66" s="35"/>
      <c r="Q66" s="13">
        <f t="shared" si="13"/>
        <v>0</v>
      </c>
      <c r="R66" s="13">
        <f t="shared" si="7"/>
        <v>0</v>
      </c>
      <c r="S66" s="13">
        <f t="shared" si="14"/>
        <v>0</v>
      </c>
      <c r="T66" s="14">
        <f t="shared" si="15"/>
        <v>0</v>
      </c>
      <c r="U66" s="35"/>
      <c r="V66" s="35"/>
      <c r="W66" s="35"/>
      <c r="X66" s="35"/>
      <c r="Y66" s="35"/>
      <c r="Z66" s="13">
        <f t="shared" si="8"/>
        <v>0</v>
      </c>
      <c r="AA66" s="13">
        <f t="shared" si="9"/>
        <v>0</v>
      </c>
      <c r="AB66" s="13">
        <f t="shared" si="10"/>
        <v>0</v>
      </c>
      <c r="AC66" s="14">
        <f t="shared" si="11"/>
        <v>0</v>
      </c>
      <c r="AD66" s="444">
        <f t="shared" si="12"/>
        <v>0</v>
      </c>
    </row>
    <row r="67" spans="2:30" x14ac:dyDescent="0.3">
      <c r="B67" s="628"/>
      <c r="C67" s="38"/>
      <c r="D67" s="588"/>
      <c r="E67" s="231"/>
      <c r="F67" s="453"/>
      <c r="G67" s="453"/>
      <c r="H67" s="453"/>
      <c r="I67" s="16">
        <f t="shared" si="5"/>
        <v>0</v>
      </c>
      <c r="J67" s="16">
        <f t="shared" si="6"/>
        <v>0</v>
      </c>
      <c r="K67" s="16">
        <f t="shared" si="0"/>
        <v>0</v>
      </c>
      <c r="L67" s="35"/>
      <c r="M67" s="35"/>
      <c r="N67" s="35"/>
      <c r="O67" s="35"/>
      <c r="P67" s="35"/>
      <c r="Q67" s="13">
        <f t="shared" si="13"/>
        <v>0</v>
      </c>
      <c r="R67" s="13">
        <f t="shared" si="7"/>
        <v>0</v>
      </c>
      <c r="S67" s="13">
        <f t="shared" si="14"/>
        <v>0</v>
      </c>
      <c r="T67" s="14">
        <f t="shared" si="15"/>
        <v>0</v>
      </c>
      <c r="U67" s="35"/>
      <c r="V67" s="35"/>
      <c r="W67" s="35"/>
      <c r="X67" s="35"/>
      <c r="Y67" s="35"/>
      <c r="Z67" s="13">
        <f t="shared" si="8"/>
        <v>0</v>
      </c>
      <c r="AA67" s="13">
        <f t="shared" si="9"/>
        <v>0</v>
      </c>
      <c r="AB67" s="13">
        <f t="shared" si="10"/>
        <v>0</v>
      </c>
      <c r="AC67" s="14">
        <f t="shared" si="11"/>
        <v>0</v>
      </c>
      <c r="AD67" s="444">
        <f t="shared" si="12"/>
        <v>0</v>
      </c>
    </row>
    <row r="68" spans="2:30" x14ac:dyDescent="0.3">
      <c r="B68" s="628"/>
      <c r="C68" s="38"/>
      <c r="D68" s="588"/>
      <c r="E68" s="231"/>
      <c r="F68" s="453"/>
      <c r="G68" s="453"/>
      <c r="H68" s="453"/>
      <c r="I68" s="16">
        <f t="shared" si="5"/>
        <v>0</v>
      </c>
      <c r="J68" s="16">
        <f t="shared" si="6"/>
        <v>0</v>
      </c>
      <c r="K68" s="16">
        <f t="shared" si="0"/>
        <v>0</v>
      </c>
      <c r="L68" s="35"/>
      <c r="M68" s="35"/>
      <c r="N68" s="35"/>
      <c r="O68" s="35"/>
      <c r="P68" s="35"/>
      <c r="Q68" s="13">
        <f t="shared" si="13"/>
        <v>0</v>
      </c>
      <c r="R68" s="13">
        <f t="shared" si="7"/>
        <v>0</v>
      </c>
      <c r="S68" s="13">
        <f t="shared" si="14"/>
        <v>0</v>
      </c>
      <c r="T68" s="14">
        <f t="shared" si="15"/>
        <v>0</v>
      </c>
      <c r="U68" s="35"/>
      <c r="V68" s="35"/>
      <c r="W68" s="35"/>
      <c r="X68" s="35"/>
      <c r="Y68" s="35"/>
      <c r="Z68" s="13">
        <f t="shared" si="8"/>
        <v>0</v>
      </c>
      <c r="AA68" s="13">
        <f t="shared" si="9"/>
        <v>0</v>
      </c>
      <c r="AB68" s="13">
        <f t="shared" si="10"/>
        <v>0</v>
      </c>
      <c r="AC68" s="14">
        <f t="shared" si="11"/>
        <v>0</v>
      </c>
      <c r="AD68" s="444">
        <f t="shared" si="12"/>
        <v>0</v>
      </c>
    </row>
    <row r="69" spans="2:30" x14ac:dyDescent="0.3">
      <c r="B69" s="628"/>
      <c r="C69" s="38"/>
      <c r="D69" s="588"/>
      <c r="E69" s="362"/>
      <c r="F69" s="453"/>
      <c r="G69" s="453"/>
      <c r="H69" s="453"/>
      <c r="I69" s="16">
        <f t="shared" si="5"/>
        <v>0</v>
      </c>
      <c r="J69" s="16">
        <f t="shared" si="6"/>
        <v>0</v>
      </c>
      <c r="K69" s="16">
        <f t="shared" si="0"/>
        <v>0</v>
      </c>
      <c r="L69" s="35"/>
      <c r="M69" s="35"/>
      <c r="N69" s="35"/>
      <c r="O69" s="35"/>
      <c r="P69" s="35"/>
      <c r="Q69" s="13">
        <f t="shared" si="13"/>
        <v>0</v>
      </c>
      <c r="R69" s="13">
        <f t="shared" si="7"/>
        <v>0</v>
      </c>
      <c r="S69" s="13">
        <f t="shared" si="14"/>
        <v>0</v>
      </c>
      <c r="T69" s="14">
        <f t="shared" si="15"/>
        <v>0</v>
      </c>
      <c r="U69" s="35"/>
      <c r="V69" s="35"/>
      <c r="W69" s="35"/>
      <c r="X69" s="35"/>
      <c r="Y69" s="35"/>
      <c r="Z69" s="13">
        <f t="shared" si="8"/>
        <v>0</v>
      </c>
      <c r="AA69" s="13">
        <f t="shared" si="9"/>
        <v>0</v>
      </c>
      <c r="AB69" s="13">
        <f t="shared" si="10"/>
        <v>0</v>
      </c>
      <c r="AC69" s="14">
        <f t="shared" si="11"/>
        <v>0</v>
      </c>
      <c r="AD69" s="444">
        <f t="shared" si="12"/>
        <v>0</v>
      </c>
    </row>
    <row r="70" spans="2:30" x14ac:dyDescent="0.3">
      <c r="B70" s="628"/>
      <c r="C70" s="38"/>
      <c r="D70" s="589"/>
      <c r="E70" s="231"/>
      <c r="F70" s="453"/>
      <c r="G70" s="453"/>
      <c r="H70" s="453"/>
      <c r="I70" s="16">
        <f t="shared" si="5"/>
        <v>0</v>
      </c>
      <c r="J70" s="16">
        <f t="shared" si="6"/>
        <v>0</v>
      </c>
      <c r="K70" s="16">
        <f t="shared" si="0"/>
        <v>0</v>
      </c>
      <c r="L70" s="452"/>
      <c r="M70" s="452"/>
      <c r="N70" s="452"/>
      <c r="O70" s="35"/>
      <c r="P70" s="35"/>
      <c r="Q70" s="13">
        <f t="shared" si="13"/>
        <v>0</v>
      </c>
      <c r="R70" s="13">
        <f t="shared" si="7"/>
        <v>0</v>
      </c>
      <c r="S70" s="13">
        <f t="shared" si="14"/>
        <v>0</v>
      </c>
      <c r="T70" s="14">
        <f t="shared" si="15"/>
        <v>0</v>
      </c>
      <c r="U70" s="35"/>
      <c r="V70" s="35"/>
      <c r="W70" s="35"/>
      <c r="X70" s="35"/>
      <c r="Y70" s="35"/>
      <c r="Z70" s="13">
        <f t="shared" si="8"/>
        <v>0</v>
      </c>
      <c r="AA70" s="13">
        <f t="shared" si="9"/>
        <v>0</v>
      </c>
      <c r="AB70" s="13">
        <f t="shared" si="10"/>
        <v>0</v>
      </c>
      <c r="AC70" s="14">
        <f t="shared" si="11"/>
        <v>0</v>
      </c>
      <c r="AD70" s="444">
        <f t="shared" si="12"/>
        <v>0</v>
      </c>
    </row>
    <row r="71" spans="2:30" x14ac:dyDescent="0.3">
      <c r="B71" s="628"/>
      <c r="C71" s="38"/>
      <c r="D71" s="587"/>
      <c r="E71" s="231"/>
      <c r="F71" s="453"/>
      <c r="G71" s="453"/>
      <c r="H71" s="454"/>
      <c r="I71" s="16">
        <f t="shared" si="5"/>
        <v>0</v>
      </c>
      <c r="J71" s="16">
        <f t="shared" si="6"/>
        <v>0</v>
      </c>
      <c r="K71" s="16">
        <f t="shared" ref="K71:K73" si="16">I71-Q71-R71-S71-Z71-AA71-AB71</f>
        <v>0</v>
      </c>
      <c r="L71" s="452"/>
      <c r="M71" s="452"/>
      <c r="N71" s="452"/>
      <c r="O71" s="35"/>
      <c r="P71" s="35"/>
      <c r="Q71" s="13">
        <f t="shared" si="13"/>
        <v>0</v>
      </c>
      <c r="R71" s="13">
        <f t="shared" si="7"/>
        <v>0</v>
      </c>
      <c r="S71" s="13">
        <f t="shared" si="14"/>
        <v>0</v>
      </c>
      <c r="T71" s="14">
        <f t="shared" si="15"/>
        <v>0</v>
      </c>
      <c r="U71" s="35"/>
      <c r="V71" s="35"/>
      <c r="W71" s="35"/>
      <c r="X71" s="35"/>
      <c r="Y71" s="35"/>
      <c r="Z71" s="13">
        <f t="shared" si="8"/>
        <v>0</v>
      </c>
      <c r="AA71" s="13">
        <f t="shared" si="9"/>
        <v>0</v>
      </c>
      <c r="AB71" s="13">
        <f t="shared" si="10"/>
        <v>0</v>
      </c>
      <c r="AC71" s="14">
        <f t="shared" si="11"/>
        <v>0</v>
      </c>
      <c r="AD71" s="444">
        <f t="shared" si="12"/>
        <v>0</v>
      </c>
    </row>
    <row r="72" spans="2:30" x14ac:dyDescent="0.3">
      <c r="B72" s="628"/>
      <c r="C72" s="38"/>
      <c r="D72" s="588"/>
      <c r="E72" s="362"/>
      <c r="F72" s="453"/>
      <c r="G72" s="453"/>
      <c r="H72" s="454"/>
      <c r="I72" s="16">
        <f t="shared" ref="I72:I73" si="17">F72*G72</f>
        <v>0</v>
      </c>
      <c r="J72" s="16">
        <f t="shared" ref="J72:J73" si="18">F72*H72</f>
        <v>0</v>
      </c>
      <c r="K72" s="16">
        <f t="shared" si="16"/>
        <v>0</v>
      </c>
      <c r="L72" s="452"/>
      <c r="M72" s="452"/>
      <c r="N72" s="452"/>
      <c r="O72" s="35"/>
      <c r="P72" s="35"/>
      <c r="Q72" s="13">
        <f t="shared" ref="Q72:Q73" si="19">L72*M72*N72</f>
        <v>0</v>
      </c>
      <c r="R72" s="13">
        <f t="shared" ref="R72:R73" si="20">L72*M72*O72</f>
        <v>0</v>
      </c>
      <c r="S72" s="13">
        <f t="shared" ref="S72:S73" si="21">L72*M72*P72</f>
        <v>0</v>
      </c>
      <c r="T72" s="14">
        <f t="shared" ref="T72:T73" si="22">((L72+M72)*2)*(N72+O72+P72)</f>
        <v>0</v>
      </c>
      <c r="U72" s="35"/>
      <c r="V72" s="35"/>
      <c r="W72" s="35"/>
      <c r="X72" s="35"/>
      <c r="Y72" s="35"/>
      <c r="Z72" s="13">
        <f t="shared" ref="Z72:Z73" si="23">U72*V72*W72</f>
        <v>0</v>
      </c>
      <c r="AA72" s="13">
        <f t="shared" ref="AA72:AA73" si="24">U72*V72*X72</f>
        <v>0</v>
      </c>
      <c r="AB72" s="13">
        <f t="shared" ref="AB72:AB73" si="25">U72*V72*Y72</f>
        <v>0</v>
      </c>
      <c r="AC72" s="14">
        <f t="shared" ref="AC72:AC73" si="26">((U72+V72)*2)*(W72+X72+Y72)</f>
        <v>0</v>
      </c>
      <c r="AD72" s="444">
        <f t="shared" ref="AD72:AD73" si="27">SUM(Q72:S72)</f>
        <v>0</v>
      </c>
    </row>
    <row r="73" spans="2:30" x14ac:dyDescent="0.3">
      <c r="B73" s="628"/>
      <c r="C73" s="38"/>
      <c r="D73" s="589"/>
      <c r="E73" s="231"/>
      <c r="F73" s="454"/>
      <c r="G73" s="454"/>
      <c r="H73" s="454"/>
      <c r="I73" s="16">
        <f t="shared" si="17"/>
        <v>0</v>
      </c>
      <c r="J73" s="16">
        <f t="shared" si="18"/>
        <v>0</v>
      </c>
      <c r="K73" s="16">
        <f t="shared" si="16"/>
        <v>0</v>
      </c>
      <c r="L73" s="35"/>
      <c r="M73" s="35"/>
      <c r="N73" s="35"/>
      <c r="O73" s="35"/>
      <c r="P73" s="35"/>
      <c r="Q73" s="13">
        <f t="shared" si="19"/>
        <v>0</v>
      </c>
      <c r="R73" s="13">
        <f t="shared" si="20"/>
        <v>0</v>
      </c>
      <c r="S73" s="13">
        <f t="shared" si="21"/>
        <v>0</v>
      </c>
      <c r="T73" s="14">
        <f t="shared" si="22"/>
        <v>0</v>
      </c>
      <c r="U73" s="35"/>
      <c r="V73" s="35"/>
      <c r="W73" s="35"/>
      <c r="X73" s="35"/>
      <c r="Y73" s="35"/>
      <c r="Z73" s="13">
        <f t="shared" si="23"/>
        <v>0</v>
      </c>
      <c r="AA73" s="13">
        <f t="shared" si="24"/>
        <v>0</v>
      </c>
      <c r="AB73" s="13">
        <f t="shared" si="25"/>
        <v>0</v>
      </c>
      <c r="AC73" s="14">
        <f t="shared" si="26"/>
        <v>0</v>
      </c>
      <c r="AD73" s="444">
        <f t="shared" si="27"/>
        <v>0</v>
      </c>
    </row>
    <row r="74" spans="2:30" x14ac:dyDescent="0.3">
      <c r="D74" s="609" t="s">
        <v>0</v>
      </c>
      <c r="E74" s="15" t="s">
        <v>785</v>
      </c>
      <c r="F74" s="15"/>
      <c r="G74" s="611"/>
      <c r="H74" s="611"/>
      <c r="I74" s="611"/>
      <c r="J74" s="612"/>
      <c r="K74" s="338">
        <f>SUMIF(E7:E73,E74,K7:K73)</f>
        <v>1492.8999999999999</v>
      </c>
      <c r="L74" s="607" t="s">
        <v>99</v>
      </c>
      <c r="M74" s="608"/>
      <c r="N74" s="445"/>
      <c r="O74" s="445"/>
      <c r="P74" s="445"/>
      <c r="Q74" s="39">
        <f>SUM(Q7:Q73)</f>
        <v>0</v>
      </c>
      <c r="R74" s="39">
        <f>SUM(R7:R73)</f>
        <v>0</v>
      </c>
      <c r="S74" s="39">
        <f>SUM(S7:S73)</f>
        <v>256.62</v>
      </c>
      <c r="T74" s="44"/>
      <c r="U74" s="20"/>
      <c r="V74" s="20"/>
      <c r="W74" s="20"/>
      <c r="X74" s="20"/>
      <c r="Y74" s="20"/>
      <c r="Z74" s="39">
        <f>SUM(Z7:Z73)</f>
        <v>61.43</v>
      </c>
      <c r="AA74" s="39">
        <f>SUM(AA7:AA73)</f>
        <v>0</v>
      </c>
      <c r="AB74" s="39">
        <f>SUM(AB7:AB73)</f>
        <v>0</v>
      </c>
      <c r="AC74" s="446"/>
      <c r="AD74" s="447"/>
    </row>
    <row r="75" spans="2:30" ht="24" x14ac:dyDescent="0.3">
      <c r="D75" s="610"/>
      <c r="E75" s="361" t="s">
        <v>800</v>
      </c>
      <c r="F75" s="15"/>
      <c r="G75" s="613"/>
      <c r="H75" s="613"/>
      <c r="I75" s="613"/>
      <c r="J75" s="614"/>
      <c r="K75" s="338">
        <f>SUMIF(E7:E73,E75,K7:K73)</f>
        <v>0</v>
      </c>
      <c r="L75" s="339"/>
      <c r="M75" s="340"/>
      <c r="N75" s="445"/>
      <c r="O75" s="445"/>
      <c r="P75" s="445"/>
      <c r="Q75" s="354"/>
      <c r="R75" s="355"/>
      <c r="S75" s="356"/>
      <c r="T75" s="44"/>
      <c r="U75" s="20"/>
      <c r="V75" s="20"/>
      <c r="W75" s="20"/>
      <c r="X75" s="20"/>
      <c r="Y75" s="20"/>
      <c r="Z75" s="354"/>
      <c r="AA75" s="355"/>
      <c r="AB75" s="356"/>
      <c r="AC75" s="446"/>
      <c r="AD75" s="447"/>
    </row>
    <row r="76" spans="2:30" ht="52.5" customHeight="1" x14ac:dyDescent="0.3">
      <c r="D76" s="610"/>
      <c r="E76" s="361" t="s">
        <v>795</v>
      </c>
      <c r="F76" s="15"/>
      <c r="G76" s="613"/>
      <c r="H76" s="613"/>
      <c r="I76" s="613"/>
      <c r="J76" s="614"/>
      <c r="K76" s="338">
        <f>SUMIF(E7:E73,E76,K7:K73)</f>
        <v>0</v>
      </c>
      <c r="L76" s="615" t="s">
        <v>100</v>
      </c>
      <c r="M76" s="616"/>
      <c r="N76" s="439"/>
      <c r="O76" s="439"/>
      <c r="P76" s="439"/>
      <c r="Q76" s="622">
        <f>Q74+R74+S74</f>
        <v>256.62</v>
      </c>
      <c r="R76" s="623"/>
      <c r="S76" s="624"/>
      <c r="T76" s="152"/>
      <c r="U76" s="439"/>
      <c r="V76" s="439"/>
      <c r="W76" s="439"/>
      <c r="X76" s="439"/>
      <c r="Y76" s="439"/>
      <c r="Z76" s="622">
        <f>Z74+AA74+AB74</f>
        <v>61.43</v>
      </c>
      <c r="AA76" s="623"/>
      <c r="AB76" s="624"/>
      <c r="AC76" s="152"/>
      <c r="AD76" s="447"/>
    </row>
    <row r="77" spans="2:30" ht="54.75" customHeight="1" x14ac:dyDescent="0.3">
      <c r="D77" s="610"/>
      <c r="E77" s="361" t="s">
        <v>796</v>
      </c>
      <c r="F77" s="15"/>
      <c r="G77" s="613"/>
      <c r="H77" s="613"/>
      <c r="I77" s="613"/>
      <c r="J77" s="614"/>
      <c r="K77" s="338">
        <f>SUMIF(E7:E73,E77,K7:K73)</f>
        <v>104.01500000000001</v>
      </c>
      <c r="L77" s="334"/>
      <c r="M77" s="335"/>
      <c r="N77" s="439"/>
      <c r="O77" s="439"/>
      <c r="P77" s="439"/>
      <c r="Q77" s="437"/>
      <c r="R77" s="438"/>
      <c r="S77" s="401"/>
      <c r="T77" s="152"/>
      <c r="U77" s="439"/>
      <c r="V77" s="439"/>
      <c r="W77" s="439"/>
      <c r="X77" s="439"/>
      <c r="Y77" s="439"/>
      <c r="Z77" s="437"/>
      <c r="AA77" s="438"/>
      <c r="AB77" s="401"/>
      <c r="AC77" s="152"/>
      <c r="AD77" s="447"/>
    </row>
    <row r="78" spans="2:30" x14ac:dyDescent="0.3">
      <c r="D78" s="610"/>
      <c r="E78" s="15"/>
      <c r="F78" s="17"/>
      <c r="G78" s="613"/>
      <c r="H78" s="613"/>
      <c r="I78" s="613"/>
      <c r="J78" s="614"/>
      <c r="K78" s="338"/>
      <c r="L78" s="603" t="s">
        <v>98</v>
      </c>
      <c r="M78" s="604"/>
      <c r="N78" s="448"/>
      <c r="O78" s="448"/>
      <c r="P78" s="448"/>
      <c r="Q78" s="440"/>
      <c r="R78" s="440"/>
      <c r="S78" s="440"/>
      <c r="T78" s="43">
        <f>SUM(T7:T73)</f>
        <v>747</v>
      </c>
      <c r="U78" s="21"/>
      <c r="V78" s="21"/>
      <c r="W78" s="21"/>
      <c r="X78" s="21"/>
      <c r="Y78" s="21"/>
      <c r="Z78" s="42"/>
      <c r="AA78" s="42"/>
      <c r="AB78" s="42"/>
      <c r="AC78" s="43">
        <f>SUM(AC7:AC73)</f>
        <v>157.4</v>
      </c>
      <c r="AD78" s="447"/>
    </row>
    <row r="79" spans="2:30" x14ac:dyDescent="0.3">
      <c r="D79" s="610"/>
      <c r="E79" s="15" t="s">
        <v>623</v>
      </c>
      <c r="F79" s="17">
        <f>SUMIF(E7:E73,E79,F7:F73)</f>
        <v>0</v>
      </c>
      <c r="G79" s="613"/>
      <c r="H79" s="613"/>
      <c r="I79" s="613"/>
      <c r="J79" s="614"/>
      <c r="K79" s="338">
        <f>SUMIF(E7:E73,E79,J7:J73)</f>
        <v>0</v>
      </c>
      <c r="L79" s="357"/>
      <c r="M79" s="357"/>
      <c r="N79" s="449"/>
      <c r="O79" s="449"/>
      <c r="P79" s="449"/>
      <c r="Q79" s="450"/>
      <c r="R79" s="450"/>
      <c r="S79" s="450"/>
      <c r="T79" s="358"/>
      <c r="U79" s="359"/>
      <c r="V79" s="359"/>
      <c r="W79" s="359"/>
      <c r="X79" s="359"/>
      <c r="Y79" s="359"/>
      <c r="Z79" s="360"/>
      <c r="AA79" s="360"/>
      <c r="AB79" s="360"/>
      <c r="AC79" s="358"/>
      <c r="AD79" s="447"/>
    </row>
    <row r="80" spans="2:30" x14ac:dyDescent="0.3">
      <c r="D80" s="610"/>
      <c r="E80" s="15"/>
      <c r="F80" s="15"/>
      <c r="G80" s="613"/>
      <c r="H80" s="613"/>
      <c r="I80" s="613"/>
      <c r="J80" s="614"/>
      <c r="K80" s="338"/>
      <c r="L80" s="447"/>
      <c r="M80" s="447"/>
      <c r="N80" s="451">
        <f>SUM(N7:N73)</f>
        <v>0</v>
      </c>
      <c r="O80" s="451">
        <f>SUM(O7:O73)</f>
        <v>0</v>
      </c>
      <c r="P80" s="451">
        <f>SUM(P7:P73)</f>
        <v>132</v>
      </c>
      <c r="Q80" s="447"/>
      <c r="R80" s="447"/>
      <c r="S80" s="447"/>
      <c r="T80" s="447"/>
      <c r="U80" s="447"/>
      <c r="V80" s="447"/>
      <c r="W80" s="447"/>
      <c r="X80" s="447"/>
      <c r="Y80" s="447"/>
      <c r="Z80" s="447"/>
      <c r="AA80" s="447"/>
      <c r="AB80" s="447"/>
      <c r="AC80" s="447"/>
      <c r="AD80" s="447"/>
    </row>
    <row r="82" spans="3:35" x14ac:dyDescent="0.3">
      <c r="D82" s="12"/>
      <c r="E82" s="12"/>
      <c r="F82" s="12"/>
      <c r="G82" s="12"/>
    </row>
    <row r="83" spans="3:35" ht="15" thickBot="1" x14ac:dyDescent="0.35">
      <c r="D83" s="12"/>
      <c r="E83" s="12"/>
      <c r="F83" s="12"/>
      <c r="G83" s="12"/>
    </row>
    <row r="84" spans="3:35" ht="72" x14ac:dyDescent="0.3">
      <c r="D84" s="23" t="s">
        <v>127</v>
      </c>
      <c r="E84" s="22" t="s">
        <v>102</v>
      </c>
      <c r="F84" s="22" t="s">
        <v>101</v>
      </c>
      <c r="G84" s="22" t="s">
        <v>103</v>
      </c>
      <c r="H84" s="22" t="s">
        <v>105</v>
      </c>
      <c r="I84" s="22" t="s">
        <v>109</v>
      </c>
      <c r="J84" s="22" t="s">
        <v>104</v>
      </c>
      <c r="K84" s="22" t="s">
        <v>108</v>
      </c>
      <c r="L84" s="22" t="s">
        <v>107</v>
      </c>
      <c r="M84" s="22" t="s">
        <v>106</v>
      </c>
      <c r="AE84" s="617" t="s">
        <v>97</v>
      </c>
      <c r="AF84" s="597" t="s">
        <v>312</v>
      </c>
      <c r="AG84" s="595" t="s">
        <v>70</v>
      </c>
      <c r="AH84" s="595" t="s">
        <v>311</v>
      </c>
      <c r="AI84" s="595" t="s">
        <v>622</v>
      </c>
    </row>
    <row r="85" spans="3:35" x14ac:dyDescent="0.3">
      <c r="D85" s="457"/>
      <c r="E85" s="351"/>
      <c r="F85" s="52"/>
      <c r="G85" s="56"/>
      <c r="H85" s="52"/>
      <c r="I85" s="352"/>
      <c r="J85" s="52"/>
      <c r="K85" s="56"/>
      <c r="L85" s="56"/>
      <c r="M85" s="56"/>
      <c r="Q85" s="332"/>
      <c r="AE85" s="618"/>
      <c r="AF85" s="598"/>
      <c r="AG85" s="596"/>
      <c r="AH85" s="596"/>
      <c r="AI85" s="596"/>
    </row>
    <row r="86" spans="3:35" x14ac:dyDescent="0.3">
      <c r="D86" s="457"/>
      <c r="E86" s="351"/>
      <c r="F86" s="52"/>
      <c r="G86" s="56"/>
      <c r="H86" s="52"/>
      <c r="I86" s="352"/>
      <c r="J86" s="52"/>
      <c r="K86" s="56"/>
      <c r="L86" s="56"/>
      <c r="M86" s="56"/>
      <c r="AE86" s="619" t="s">
        <v>142</v>
      </c>
      <c r="AF86" s="182" t="s">
        <v>348</v>
      </c>
      <c r="AG86" s="74" t="s">
        <v>782</v>
      </c>
      <c r="AH86" s="74">
        <v>2.56</v>
      </c>
      <c r="AI86" s="366">
        <f>Q74</f>
        <v>0</v>
      </c>
    </row>
    <row r="87" spans="3:35" ht="40.5" customHeight="1" x14ac:dyDescent="0.3">
      <c r="C87" t="s">
        <v>621</v>
      </c>
      <c r="D87" s="521" t="s">
        <v>848</v>
      </c>
      <c r="E87" s="522">
        <f>50.7*13.2</f>
        <v>669.24</v>
      </c>
      <c r="F87" s="523">
        <v>2</v>
      </c>
      <c r="G87" s="56">
        <f>E87*F87</f>
        <v>1338.48</v>
      </c>
      <c r="H87" s="525">
        <v>3</v>
      </c>
      <c r="I87" s="526">
        <f>(50.7+13.2)*2</f>
        <v>127.80000000000001</v>
      </c>
      <c r="J87" s="523">
        <v>0.4</v>
      </c>
      <c r="K87" s="56">
        <f t="shared" ref="K87:K88" si="28">(I87*J87)*F87</f>
        <v>102.24000000000001</v>
      </c>
      <c r="L87" s="56">
        <f>G87-K87</f>
        <v>1236.24</v>
      </c>
      <c r="M87" s="56">
        <f t="shared" ref="M87:M88" si="29">L87*H87</f>
        <v>3708.7200000000003</v>
      </c>
      <c r="AE87" s="620"/>
      <c r="AF87" s="182" t="s">
        <v>150</v>
      </c>
      <c r="AG87" s="74" t="s">
        <v>783</v>
      </c>
      <c r="AH87" s="74">
        <v>2.78</v>
      </c>
      <c r="AI87" s="366">
        <f>R74</f>
        <v>0</v>
      </c>
    </row>
    <row r="88" spans="3:35" x14ac:dyDescent="0.3">
      <c r="D88" s="521" t="s">
        <v>849</v>
      </c>
      <c r="E88" s="522">
        <f>50.7*13.2</f>
        <v>669.24</v>
      </c>
      <c r="F88" s="523">
        <v>2</v>
      </c>
      <c r="G88" s="56">
        <f t="shared" ref="G88:G94" si="30">E88*F88</f>
        <v>1338.48</v>
      </c>
      <c r="H88" s="525">
        <v>3</v>
      </c>
      <c r="I88" s="526">
        <f>(50.7+13.2)*2</f>
        <v>127.80000000000001</v>
      </c>
      <c r="J88" s="523">
        <v>0.4</v>
      </c>
      <c r="K88" s="56">
        <f t="shared" si="28"/>
        <v>102.24000000000001</v>
      </c>
      <c r="L88" s="56">
        <f t="shared" ref="L88" si="31">G88-K88</f>
        <v>1236.24</v>
      </c>
      <c r="M88" s="56">
        <f t="shared" si="29"/>
        <v>3708.7200000000003</v>
      </c>
      <c r="AE88" s="620"/>
      <c r="AF88" s="182" t="s">
        <v>349</v>
      </c>
      <c r="AG88" s="74" t="s">
        <v>784</v>
      </c>
      <c r="AH88" s="74">
        <v>2.94</v>
      </c>
      <c r="AI88" s="366">
        <f>S74</f>
        <v>256.62</v>
      </c>
    </row>
    <row r="89" spans="3:35" x14ac:dyDescent="0.3">
      <c r="C89" t="s">
        <v>621</v>
      </c>
      <c r="D89" s="521" t="s">
        <v>850</v>
      </c>
      <c r="E89" s="522">
        <f>13.25*4.3</f>
        <v>56.974999999999994</v>
      </c>
      <c r="F89" s="524">
        <v>1</v>
      </c>
      <c r="G89" s="56">
        <f t="shared" si="30"/>
        <v>56.974999999999994</v>
      </c>
      <c r="H89" s="525">
        <v>3</v>
      </c>
      <c r="I89" s="526">
        <f>(13.25+4.3)*2</f>
        <v>35.1</v>
      </c>
      <c r="J89" s="523">
        <v>0.4</v>
      </c>
      <c r="K89" s="56">
        <f t="shared" ref="K89:K94" si="32">(I89*J89)*F89</f>
        <v>14.040000000000001</v>
      </c>
      <c r="L89" s="56">
        <f t="shared" ref="L89:L94" si="33">G89-K89</f>
        <v>42.934999999999995</v>
      </c>
      <c r="M89" s="56">
        <f t="shared" ref="M89:M94" si="34">L89*H89</f>
        <v>128.80499999999998</v>
      </c>
      <c r="AE89" s="621"/>
      <c r="AF89" s="441"/>
      <c r="AG89" s="442"/>
      <c r="AH89" s="442"/>
      <c r="AI89" s="443"/>
    </row>
    <row r="90" spans="3:35" x14ac:dyDescent="0.3">
      <c r="D90" s="457"/>
      <c r="E90" s="351"/>
      <c r="F90" s="220"/>
      <c r="G90" s="56">
        <f t="shared" si="30"/>
        <v>0</v>
      </c>
      <c r="H90" s="219"/>
      <c r="I90" s="352"/>
      <c r="J90" s="52"/>
      <c r="K90" s="56">
        <f t="shared" si="32"/>
        <v>0</v>
      </c>
      <c r="L90" s="56">
        <f t="shared" si="33"/>
        <v>0</v>
      </c>
      <c r="M90" s="56">
        <f t="shared" si="34"/>
        <v>0</v>
      </c>
      <c r="AE90" s="619" t="s">
        <v>143</v>
      </c>
      <c r="AF90" s="337" t="s">
        <v>946</v>
      </c>
      <c r="AG90" s="74" t="s">
        <v>144</v>
      </c>
      <c r="AH90" s="74">
        <v>3.5</v>
      </c>
      <c r="AI90" s="366">
        <f>Z74</f>
        <v>61.43</v>
      </c>
    </row>
    <row r="91" spans="3:35" x14ac:dyDescent="0.3">
      <c r="D91" s="457"/>
      <c r="E91" s="351"/>
      <c r="F91" s="220"/>
      <c r="G91" s="56">
        <f t="shared" si="30"/>
        <v>0</v>
      </c>
      <c r="H91" s="219"/>
      <c r="I91" s="53"/>
      <c r="J91" s="52"/>
      <c r="K91" s="56">
        <f t="shared" si="32"/>
        <v>0</v>
      </c>
      <c r="L91" s="56">
        <f t="shared" si="33"/>
        <v>0</v>
      </c>
      <c r="M91" s="56">
        <f t="shared" si="34"/>
        <v>0</v>
      </c>
      <c r="AE91" s="620"/>
      <c r="AF91" s="182" t="s">
        <v>149</v>
      </c>
      <c r="AG91" s="74" t="s">
        <v>145</v>
      </c>
      <c r="AH91" s="74">
        <v>4</v>
      </c>
      <c r="AI91" s="366">
        <f>AA74</f>
        <v>0</v>
      </c>
    </row>
    <row r="92" spans="3:35" x14ac:dyDescent="0.3">
      <c r="D92" s="457"/>
      <c r="E92" s="52"/>
      <c r="F92" s="220"/>
      <c r="G92" s="56">
        <f t="shared" si="30"/>
        <v>0</v>
      </c>
      <c r="H92" s="219"/>
      <c r="I92" s="53"/>
      <c r="J92" s="52"/>
      <c r="K92" s="56">
        <f t="shared" si="32"/>
        <v>0</v>
      </c>
      <c r="L92" s="56">
        <f t="shared" si="33"/>
        <v>0</v>
      </c>
      <c r="M92" s="56">
        <f t="shared" si="34"/>
        <v>0</v>
      </c>
      <c r="AE92" s="620"/>
      <c r="AF92" s="182" t="s">
        <v>346</v>
      </c>
      <c r="AG92" s="74" t="s">
        <v>314</v>
      </c>
      <c r="AH92" s="74">
        <v>5.88</v>
      </c>
      <c r="AI92" s="366">
        <f>AB74</f>
        <v>0</v>
      </c>
    </row>
    <row r="93" spans="3:35" x14ac:dyDescent="0.3">
      <c r="D93" s="458"/>
      <c r="E93" s="52"/>
      <c r="F93" s="220"/>
      <c r="G93" s="56">
        <f t="shared" si="30"/>
        <v>0</v>
      </c>
      <c r="H93" s="219"/>
      <c r="I93" s="53"/>
      <c r="J93" s="52"/>
      <c r="K93" s="56">
        <f t="shared" si="32"/>
        <v>0</v>
      </c>
      <c r="L93" s="56">
        <f t="shared" si="33"/>
        <v>0</v>
      </c>
      <c r="M93" s="56">
        <f t="shared" si="34"/>
        <v>0</v>
      </c>
      <c r="AE93" s="620"/>
      <c r="AF93" s="182"/>
      <c r="AG93" s="74"/>
      <c r="AH93" s="74"/>
      <c r="AI93" s="74"/>
    </row>
    <row r="94" spans="3:35" x14ac:dyDescent="0.3">
      <c r="D94" s="458"/>
      <c r="E94" s="52"/>
      <c r="F94" s="220"/>
      <c r="G94" s="56">
        <f t="shared" si="30"/>
        <v>0</v>
      </c>
      <c r="H94" s="219"/>
      <c r="I94" s="53"/>
      <c r="J94" s="52"/>
      <c r="K94" s="56">
        <f t="shared" si="32"/>
        <v>0</v>
      </c>
      <c r="L94" s="56">
        <f t="shared" si="33"/>
        <v>0</v>
      </c>
      <c r="M94" s="56">
        <f t="shared" si="34"/>
        <v>0</v>
      </c>
    </row>
    <row r="95" spans="3:35" ht="15" thickBot="1" x14ac:dyDescent="0.35">
      <c r="D95" s="54" t="s">
        <v>0</v>
      </c>
      <c r="E95" s="605"/>
      <c r="F95" s="606"/>
      <c r="G95" s="55">
        <f>SUM(G87:G94)</f>
        <v>2733.9349999999999</v>
      </c>
      <c r="H95" s="600"/>
      <c r="I95" s="601"/>
      <c r="J95" s="601"/>
      <c r="K95" s="602"/>
      <c r="L95" s="55">
        <f>SUM(L87:L94)</f>
        <v>2515.415</v>
      </c>
      <c r="M95" s="55">
        <f>SUM(M87:M94)</f>
        <v>7546.2450000000008</v>
      </c>
    </row>
    <row r="96" spans="3:35" x14ac:dyDescent="0.3">
      <c r="D96" s="12"/>
      <c r="E96" s="12"/>
      <c r="F96" s="12"/>
      <c r="G96" s="12"/>
      <c r="AE96" s="617" t="s">
        <v>97</v>
      </c>
      <c r="AF96" s="597" t="s">
        <v>313</v>
      </c>
      <c r="AG96" s="595" t="s">
        <v>70</v>
      </c>
      <c r="AH96" s="599" t="s">
        <v>311</v>
      </c>
    </row>
    <row r="97" spans="4:35" x14ac:dyDescent="0.3">
      <c r="D97" s="12"/>
      <c r="E97" s="12"/>
      <c r="F97" s="12"/>
      <c r="G97" s="12"/>
      <c r="AE97" s="618"/>
      <c r="AF97" s="598"/>
      <c r="AG97" s="596"/>
      <c r="AH97" s="599"/>
    </row>
    <row r="98" spans="4:35" ht="24" x14ac:dyDescent="0.3">
      <c r="D98" s="12"/>
      <c r="E98" s="12"/>
      <c r="F98" s="12"/>
      <c r="G98" s="12"/>
      <c r="L98" s="149"/>
      <c r="AE98" s="73" t="s">
        <v>142</v>
      </c>
      <c r="AF98" s="235" t="s">
        <v>829</v>
      </c>
      <c r="AG98" s="74" t="s">
        <v>345</v>
      </c>
      <c r="AH98" s="236">
        <v>1.5</v>
      </c>
    </row>
    <row r="99" spans="4:35" ht="24" x14ac:dyDescent="0.3">
      <c r="D99" s="12"/>
      <c r="E99" s="12"/>
      <c r="F99" s="12"/>
      <c r="G99" s="12"/>
      <c r="AE99" s="73" t="s">
        <v>143</v>
      </c>
      <c r="AF99" s="235" t="s">
        <v>830</v>
      </c>
      <c r="AG99" s="74" t="s">
        <v>347</v>
      </c>
      <c r="AH99" s="236">
        <v>1.8</v>
      </c>
    </row>
    <row r="100" spans="4:35" x14ac:dyDescent="0.3">
      <c r="D100" s="12"/>
      <c r="E100" s="12"/>
      <c r="F100" s="12"/>
      <c r="G100" s="12"/>
    </row>
    <row r="101" spans="4:35" x14ac:dyDescent="0.3">
      <c r="D101" s="12"/>
      <c r="E101" s="12"/>
      <c r="F101" s="12"/>
      <c r="G101" s="12"/>
      <c r="AF101" s="212" t="s">
        <v>628</v>
      </c>
    </row>
    <row r="102" spans="4:35" x14ac:dyDescent="0.3">
      <c r="AF102" s="597" t="s">
        <v>626</v>
      </c>
      <c r="AG102" s="595" t="s">
        <v>70</v>
      </c>
      <c r="AH102" s="599" t="s">
        <v>622</v>
      </c>
    </row>
    <row r="103" spans="4:35" x14ac:dyDescent="0.3">
      <c r="AF103" s="598"/>
      <c r="AG103" s="596"/>
      <c r="AH103" s="599"/>
    </row>
    <row r="104" spans="4:35" ht="24" x14ac:dyDescent="0.3">
      <c r="AF104" s="337" t="s">
        <v>802</v>
      </c>
      <c r="AG104" s="236" t="s">
        <v>785</v>
      </c>
      <c r="AH104" s="336">
        <f>K74</f>
        <v>1492.8999999999999</v>
      </c>
    </row>
    <row r="105" spans="4:35" ht="24" x14ac:dyDescent="0.3">
      <c r="AF105" s="337" t="s">
        <v>794</v>
      </c>
      <c r="AG105" s="236" t="s">
        <v>800</v>
      </c>
      <c r="AH105" s="336">
        <f t="shared" ref="AH105" si="35">K75</f>
        <v>0</v>
      </c>
      <c r="AI105" t="s">
        <v>801</v>
      </c>
    </row>
    <row r="106" spans="4:35" ht="37.5" customHeight="1" x14ac:dyDescent="0.3">
      <c r="AF106" s="337" t="s">
        <v>803</v>
      </c>
      <c r="AG106" s="236" t="s">
        <v>795</v>
      </c>
      <c r="AH106" s="336">
        <f>K76</f>
        <v>0</v>
      </c>
    </row>
    <row r="107" spans="4:35" ht="36" x14ac:dyDescent="0.3">
      <c r="AF107" s="337" t="s">
        <v>624</v>
      </c>
      <c r="AG107" s="236" t="s">
        <v>796</v>
      </c>
      <c r="AH107" s="336">
        <f>K77</f>
        <v>104.01500000000001</v>
      </c>
    </row>
    <row r="108" spans="4:35" x14ac:dyDescent="0.3">
      <c r="AF108" s="182" t="s">
        <v>625</v>
      </c>
      <c r="AG108" s="236" t="s">
        <v>623</v>
      </c>
      <c r="AH108" s="336">
        <f>K79</f>
        <v>0</v>
      </c>
    </row>
    <row r="109" spans="4:35" x14ac:dyDescent="0.3">
      <c r="AF109" s="337"/>
      <c r="AG109" s="236"/>
      <c r="AH109" s="336"/>
    </row>
    <row r="110" spans="4:35" x14ac:dyDescent="0.3">
      <c r="AF110" s="182"/>
      <c r="AG110" s="236"/>
      <c r="AH110" s="336"/>
    </row>
    <row r="112" spans="4:35" x14ac:dyDescent="0.3">
      <c r="AF112" s="212" t="s">
        <v>627</v>
      </c>
    </row>
    <row r="113" spans="32:34" x14ac:dyDescent="0.3">
      <c r="AF113" s="597" t="s">
        <v>632</v>
      </c>
      <c r="AG113" s="595" t="s">
        <v>70</v>
      </c>
      <c r="AH113" s="599" t="s">
        <v>622</v>
      </c>
    </row>
    <row r="114" spans="32:34" x14ac:dyDescent="0.3">
      <c r="AF114" s="598"/>
      <c r="AG114" s="596"/>
      <c r="AH114" s="599"/>
    </row>
    <row r="115" spans="32:34" ht="24" x14ac:dyDescent="0.3">
      <c r="AF115" s="436" t="s">
        <v>833</v>
      </c>
      <c r="AG115" s="236" t="s">
        <v>140</v>
      </c>
      <c r="AH115" s="538">
        <f>L87+L89</f>
        <v>1279.175</v>
      </c>
    </row>
    <row r="116" spans="32:34" ht="24" x14ac:dyDescent="0.3">
      <c r="AF116" s="436" t="s">
        <v>799</v>
      </c>
      <c r="AG116" s="236" t="s">
        <v>494</v>
      </c>
      <c r="AH116" s="538"/>
    </row>
    <row r="117" spans="32:34" x14ac:dyDescent="0.3">
      <c r="AF117" s="436"/>
      <c r="AG117" s="236"/>
      <c r="AH117" s="81"/>
    </row>
    <row r="119" spans="32:34" x14ac:dyDescent="0.3">
      <c r="AF119" s="212" t="s">
        <v>629</v>
      </c>
    </row>
    <row r="120" spans="32:34" x14ac:dyDescent="0.3">
      <c r="AF120" s="597" t="s">
        <v>633</v>
      </c>
      <c r="AG120" s="595" t="s">
        <v>70</v>
      </c>
      <c r="AH120" s="599" t="s">
        <v>622</v>
      </c>
    </row>
    <row r="121" spans="32:34" x14ac:dyDescent="0.3">
      <c r="AF121" s="598"/>
      <c r="AG121" s="596"/>
      <c r="AH121" s="599"/>
    </row>
    <row r="122" spans="32:34" ht="36" x14ac:dyDescent="0.3">
      <c r="AF122" s="436" t="s">
        <v>797</v>
      </c>
      <c r="AG122" s="236" t="s">
        <v>137</v>
      </c>
      <c r="AH122" s="538">
        <f>L87+L89</f>
        <v>1279.175</v>
      </c>
    </row>
    <row r="123" spans="32:34" ht="36" x14ac:dyDescent="0.3">
      <c r="AF123" s="436" t="s">
        <v>798</v>
      </c>
      <c r="AG123" s="353" t="s">
        <v>493</v>
      </c>
      <c r="AH123" s="538"/>
    </row>
    <row r="124" spans="32:34" x14ac:dyDescent="0.3">
      <c r="AF124" s="337"/>
      <c r="AG124" s="353"/>
      <c r="AH124" s="81"/>
    </row>
    <row r="125" spans="32:34" x14ac:dyDescent="0.3">
      <c r="AF125" s="337"/>
      <c r="AG125" s="353"/>
      <c r="AH125" s="81"/>
    </row>
  </sheetData>
  <mergeCells count="64">
    <mergeCell ref="B7:B73"/>
    <mergeCell ref="U4:AC4"/>
    <mergeCell ref="Q5:S5"/>
    <mergeCell ref="T5:T6"/>
    <mergeCell ref="U5:V5"/>
    <mergeCell ref="B4:B6"/>
    <mergeCell ref="C4:C6"/>
    <mergeCell ref="L4:T4"/>
    <mergeCell ref="L5:M5"/>
    <mergeCell ref="N5:P5"/>
    <mergeCell ref="F4:K4"/>
    <mergeCell ref="F5:H5"/>
    <mergeCell ref="I5:K5"/>
    <mergeCell ref="E4:E6"/>
    <mergeCell ref="D4:D6"/>
    <mergeCell ref="D66:D70"/>
    <mergeCell ref="Z76:AB76"/>
    <mergeCell ref="W5:Y5"/>
    <mergeCell ref="Z5:AB5"/>
    <mergeCell ref="AC5:AC6"/>
    <mergeCell ref="Q76:S76"/>
    <mergeCell ref="AE96:AE97"/>
    <mergeCell ref="AF96:AF97"/>
    <mergeCell ref="AG96:AG97"/>
    <mergeCell ref="AH84:AH85"/>
    <mergeCell ref="AE84:AE85"/>
    <mergeCell ref="AF84:AF85"/>
    <mergeCell ref="AG84:AG85"/>
    <mergeCell ref="AE86:AE89"/>
    <mergeCell ref="AE90:AE93"/>
    <mergeCell ref="H95:K95"/>
    <mergeCell ref="L78:M78"/>
    <mergeCell ref="E95:F95"/>
    <mergeCell ref="L74:M74"/>
    <mergeCell ref="D74:D80"/>
    <mergeCell ref="G74:J80"/>
    <mergeCell ref="L76:M76"/>
    <mergeCell ref="AI84:AI85"/>
    <mergeCell ref="AF113:AF114"/>
    <mergeCell ref="AG113:AG114"/>
    <mergeCell ref="AH113:AH114"/>
    <mergeCell ref="AF120:AF121"/>
    <mergeCell ref="AG120:AG121"/>
    <mergeCell ref="AH120:AH121"/>
    <mergeCell ref="AH102:AH103"/>
    <mergeCell ref="AF102:AF103"/>
    <mergeCell ref="AG102:AG103"/>
    <mergeCell ref="AH96:AH97"/>
    <mergeCell ref="D7:D9"/>
    <mergeCell ref="D27:D31"/>
    <mergeCell ref="D32:D34"/>
    <mergeCell ref="D35:D38"/>
    <mergeCell ref="D19:D23"/>
    <mergeCell ref="D24:D26"/>
    <mergeCell ref="D14:D18"/>
    <mergeCell ref="D10:D11"/>
    <mergeCell ref="D12:D13"/>
    <mergeCell ref="D71:D73"/>
    <mergeCell ref="D39:D42"/>
    <mergeCell ref="D43:D51"/>
    <mergeCell ref="D52:D55"/>
    <mergeCell ref="D56:D58"/>
    <mergeCell ref="D61:D65"/>
    <mergeCell ref="D59:D60"/>
  </mergeCells>
  <phoneticPr fontId="82" type="noConversion"/>
  <dataValidations disablePrompts="1" count="1">
    <dataValidation type="list" allowBlank="1" showInputMessage="1" showErrorMessage="1" sqref="E7:E80" xr:uid="{00000000-0002-0000-0200-000000000000}">
      <formula1>$AG$104:$AG$110</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B4:X77"/>
  <sheetViews>
    <sheetView topLeftCell="E40" zoomScale="111" zoomScaleNormal="70" workbookViewId="0">
      <selection activeCell="J19" sqref="J19"/>
    </sheetView>
  </sheetViews>
  <sheetFormatPr defaultRowHeight="14.4" x14ac:dyDescent="0.3"/>
  <cols>
    <col min="2" max="2" width="4.44140625" customWidth="1"/>
    <col min="3" max="3" width="9.6640625" customWidth="1"/>
    <col min="4" max="15" width="10.44140625" customWidth="1"/>
  </cols>
  <sheetData>
    <row r="4" spans="2:24" ht="14.7" customHeight="1" x14ac:dyDescent="0.3">
      <c r="B4" s="639" t="s">
        <v>931</v>
      </c>
      <c r="C4" s="639"/>
      <c r="D4" s="599" t="s">
        <v>851</v>
      </c>
      <c r="E4" s="599"/>
      <c r="F4" s="599"/>
      <c r="G4" s="599" t="s">
        <v>852</v>
      </c>
      <c r="H4" s="599"/>
      <c r="I4" s="599"/>
      <c r="J4" s="599" t="s">
        <v>853</v>
      </c>
      <c r="K4" s="599"/>
      <c r="L4" s="599"/>
      <c r="M4" s="637" t="s">
        <v>169</v>
      </c>
      <c r="N4" s="637"/>
      <c r="O4" s="637"/>
    </row>
    <row r="5" spans="2:24" ht="14.7" customHeight="1" x14ac:dyDescent="0.3">
      <c r="B5" s="637" t="s">
        <v>42</v>
      </c>
      <c r="C5" s="637" t="s">
        <v>936</v>
      </c>
      <c r="D5" s="75" t="s">
        <v>43</v>
      </c>
      <c r="E5" s="75" t="s">
        <v>938</v>
      </c>
      <c r="F5" s="638" t="s">
        <v>864</v>
      </c>
      <c r="G5" s="75" t="s">
        <v>43</v>
      </c>
      <c r="H5" s="75" t="s">
        <v>938</v>
      </c>
      <c r="I5" s="638" t="s">
        <v>864</v>
      </c>
      <c r="J5" s="75" t="s">
        <v>43</v>
      </c>
      <c r="K5" s="75" t="s">
        <v>938</v>
      </c>
      <c r="L5" s="638" t="s">
        <v>864</v>
      </c>
      <c r="M5" s="75" t="s">
        <v>43</v>
      </c>
      <c r="N5" s="75" t="s">
        <v>938</v>
      </c>
      <c r="O5" s="638" t="s">
        <v>864</v>
      </c>
      <c r="R5" t="s">
        <v>677</v>
      </c>
      <c r="U5">
        <f>Measures_summary!D45</f>
        <v>700000</v>
      </c>
      <c r="V5" t="s">
        <v>933</v>
      </c>
    </row>
    <row r="6" spans="2:24" x14ac:dyDescent="0.3">
      <c r="B6" s="637"/>
      <c r="C6" s="637"/>
      <c r="D6" s="529" t="s">
        <v>861</v>
      </c>
      <c r="E6" s="75" t="s">
        <v>862</v>
      </c>
      <c r="F6" s="638"/>
      <c r="G6" s="529" t="s">
        <v>861</v>
      </c>
      <c r="H6" s="75" t="s">
        <v>862</v>
      </c>
      <c r="I6" s="638"/>
      <c r="J6" s="529" t="s">
        <v>861</v>
      </c>
      <c r="K6" s="75" t="s">
        <v>862</v>
      </c>
      <c r="L6" s="638"/>
      <c r="M6" s="75" t="s">
        <v>44</v>
      </c>
      <c r="N6" s="75" t="s">
        <v>862</v>
      </c>
      <c r="O6" s="638"/>
      <c r="S6" t="s">
        <v>634</v>
      </c>
      <c r="U6">
        <f>U5/1163</f>
        <v>601.89165950128972</v>
      </c>
      <c r="V6" t="s">
        <v>927</v>
      </c>
    </row>
    <row r="7" spans="2:24" x14ac:dyDescent="0.3">
      <c r="B7" s="76">
        <v>1</v>
      </c>
      <c r="C7" s="77" t="s">
        <v>409</v>
      </c>
      <c r="D7" s="527">
        <v>7274</v>
      </c>
      <c r="E7" s="101">
        <f>D7*F7</f>
        <v>18185000</v>
      </c>
      <c r="F7" s="364">
        <f>$U$8</f>
        <v>2500</v>
      </c>
      <c r="G7" s="527">
        <v>5691</v>
      </c>
      <c r="H7" s="101">
        <f>G7*I7</f>
        <v>14227500</v>
      </c>
      <c r="I7" s="364">
        <f>$U$8</f>
        <v>2500</v>
      </c>
      <c r="J7" s="527">
        <v>6976</v>
      </c>
      <c r="K7" s="101">
        <f>J7*L7</f>
        <v>17440000</v>
      </c>
      <c r="L7" s="364">
        <f>$U$8</f>
        <v>2500</v>
      </c>
      <c r="M7" s="295">
        <f>(D7+G7+J7)*9.5/3</f>
        <v>63146.5</v>
      </c>
      <c r="N7" s="295">
        <f>M7*O7</f>
        <v>69461150</v>
      </c>
      <c r="O7" s="267">
        <v>1100</v>
      </c>
      <c r="S7" t="s">
        <v>635</v>
      </c>
      <c r="U7">
        <f>Measures_summary!D46</f>
        <v>1100</v>
      </c>
      <c r="V7" t="s">
        <v>927</v>
      </c>
      <c r="X7">
        <v>8887</v>
      </c>
    </row>
    <row r="8" spans="2:24" x14ac:dyDescent="0.3">
      <c r="B8" s="76">
        <v>2</v>
      </c>
      <c r="C8" s="77" t="s">
        <v>410</v>
      </c>
      <c r="D8" s="527">
        <v>5399</v>
      </c>
      <c r="E8" s="101">
        <f t="shared" ref="E8:E18" si="0">D8*F8</f>
        <v>13497500</v>
      </c>
      <c r="F8" s="364">
        <f t="shared" ref="F8:F18" si="1">$U$8</f>
        <v>2500</v>
      </c>
      <c r="G8" s="527">
        <v>5304</v>
      </c>
      <c r="H8" s="101">
        <f t="shared" ref="H8:H18" si="2">G8*I8</f>
        <v>13260000</v>
      </c>
      <c r="I8" s="364">
        <f t="shared" ref="I8:I18" si="3">$U$8</f>
        <v>2500</v>
      </c>
      <c r="J8" s="527">
        <v>5774</v>
      </c>
      <c r="K8" s="101">
        <f t="shared" ref="K8:K18" si="4">J8*L8</f>
        <v>14435000</v>
      </c>
      <c r="L8" s="364">
        <f t="shared" ref="L8:L18" si="5">$U$8</f>
        <v>2500</v>
      </c>
      <c r="M8" s="295">
        <f t="shared" ref="M8:M18" si="6">(D8+G8+J8)*9.5/3</f>
        <v>52177.166666666664</v>
      </c>
      <c r="N8" s="295">
        <f t="shared" ref="N8:N18" si="7">M8*O8</f>
        <v>57394883.333333328</v>
      </c>
      <c r="O8" s="267">
        <v>1100</v>
      </c>
      <c r="S8" t="s">
        <v>931</v>
      </c>
      <c r="U8">
        <f>Measures_summary!D47</f>
        <v>2500</v>
      </c>
      <c r="V8" t="s">
        <v>932</v>
      </c>
    </row>
    <row r="9" spans="2:24" x14ac:dyDescent="0.3">
      <c r="B9" s="76">
        <v>3</v>
      </c>
      <c r="C9" s="77" t="s">
        <v>411</v>
      </c>
      <c r="D9" s="527">
        <v>1710</v>
      </c>
      <c r="E9" s="101">
        <f t="shared" si="0"/>
        <v>4275000</v>
      </c>
      <c r="F9" s="364">
        <f t="shared" si="1"/>
        <v>2500</v>
      </c>
      <c r="G9" s="527">
        <v>3218</v>
      </c>
      <c r="H9" s="101">
        <f t="shared" si="2"/>
        <v>8045000</v>
      </c>
      <c r="I9" s="364">
        <f t="shared" si="3"/>
        <v>2500</v>
      </c>
      <c r="J9" s="527">
        <v>2989</v>
      </c>
      <c r="K9" s="101">
        <f t="shared" si="4"/>
        <v>7472500</v>
      </c>
      <c r="L9" s="364">
        <f t="shared" si="5"/>
        <v>2500</v>
      </c>
      <c r="M9" s="295">
        <f t="shared" si="6"/>
        <v>25070.5</v>
      </c>
      <c r="N9" s="295">
        <f t="shared" si="7"/>
        <v>27577550</v>
      </c>
      <c r="O9" s="267">
        <v>1100</v>
      </c>
    </row>
    <row r="10" spans="2:24" x14ac:dyDescent="0.3">
      <c r="B10" s="76">
        <v>4</v>
      </c>
      <c r="C10" s="77" t="s">
        <v>412</v>
      </c>
      <c r="D10" s="527">
        <v>645</v>
      </c>
      <c r="E10" s="101">
        <f t="shared" si="0"/>
        <v>1612500</v>
      </c>
      <c r="F10" s="364">
        <f t="shared" si="1"/>
        <v>2500</v>
      </c>
      <c r="G10" s="527">
        <v>514</v>
      </c>
      <c r="H10" s="101">
        <f t="shared" si="2"/>
        <v>1285000</v>
      </c>
      <c r="I10" s="364">
        <f t="shared" si="3"/>
        <v>2500</v>
      </c>
      <c r="J10" s="527">
        <v>79</v>
      </c>
      <c r="K10" s="101">
        <f t="shared" si="4"/>
        <v>197500</v>
      </c>
      <c r="L10" s="364">
        <f t="shared" si="5"/>
        <v>2500</v>
      </c>
      <c r="M10" s="295">
        <f t="shared" si="6"/>
        <v>3920.3333333333335</v>
      </c>
      <c r="N10" s="295">
        <f t="shared" si="7"/>
        <v>4312366.666666667</v>
      </c>
      <c r="O10" s="267">
        <v>1100</v>
      </c>
    </row>
    <row r="11" spans="2:24" x14ac:dyDescent="0.3">
      <c r="B11" s="76">
        <v>5</v>
      </c>
      <c r="C11" s="77" t="s">
        <v>413</v>
      </c>
      <c r="D11" s="527">
        <v>564</v>
      </c>
      <c r="E11" s="101">
        <f t="shared" si="0"/>
        <v>1410000</v>
      </c>
      <c r="F11" s="364">
        <f t="shared" si="1"/>
        <v>2500</v>
      </c>
      <c r="G11" s="527">
        <v>557</v>
      </c>
      <c r="H11" s="101">
        <f t="shared" si="2"/>
        <v>1392500</v>
      </c>
      <c r="I11" s="364">
        <f t="shared" si="3"/>
        <v>2500</v>
      </c>
      <c r="J11" s="527">
        <v>66</v>
      </c>
      <c r="K11" s="101">
        <f t="shared" si="4"/>
        <v>165000</v>
      </c>
      <c r="L11" s="364">
        <f t="shared" si="5"/>
        <v>2500</v>
      </c>
      <c r="M11" s="295">
        <f t="shared" si="6"/>
        <v>3758.8333333333335</v>
      </c>
      <c r="N11" s="295">
        <f t="shared" si="7"/>
        <v>4134716.666666667</v>
      </c>
      <c r="O11" s="267">
        <v>1100</v>
      </c>
    </row>
    <row r="12" spans="2:24" x14ac:dyDescent="0.3">
      <c r="B12" s="76">
        <v>6</v>
      </c>
      <c r="C12" s="77" t="s">
        <v>414</v>
      </c>
      <c r="D12" s="527">
        <v>609</v>
      </c>
      <c r="E12" s="101">
        <f t="shared" si="0"/>
        <v>1522500</v>
      </c>
      <c r="F12" s="364">
        <f t="shared" si="1"/>
        <v>2500</v>
      </c>
      <c r="G12" s="527">
        <v>519</v>
      </c>
      <c r="H12" s="101">
        <f t="shared" si="2"/>
        <v>1297500</v>
      </c>
      <c r="I12" s="364">
        <f t="shared" si="3"/>
        <v>2500</v>
      </c>
      <c r="J12" s="527">
        <v>54</v>
      </c>
      <c r="K12" s="101">
        <f t="shared" si="4"/>
        <v>135000</v>
      </c>
      <c r="L12" s="364">
        <f t="shared" si="5"/>
        <v>2500</v>
      </c>
      <c r="M12" s="295">
        <f t="shared" si="6"/>
        <v>3743</v>
      </c>
      <c r="N12" s="295">
        <f t="shared" si="7"/>
        <v>4117300</v>
      </c>
      <c r="O12" s="267">
        <v>1100</v>
      </c>
    </row>
    <row r="13" spans="2:24" x14ac:dyDescent="0.3">
      <c r="B13" s="76">
        <v>7</v>
      </c>
      <c r="C13" s="77" t="s">
        <v>415</v>
      </c>
      <c r="D13" s="527">
        <v>614</v>
      </c>
      <c r="E13" s="101">
        <f t="shared" si="0"/>
        <v>1535000</v>
      </c>
      <c r="F13" s="364">
        <f t="shared" si="1"/>
        <v>2500</v>
      </c>
      <c r="G13" s="527">
        <v>526</v>
      </c>
      <c r="H13" s="101">
        <f t="shared" si="2"/>
        <v>1315000</v>
      </c>
      <c r="I13" s="364">
        <f t="shared" si="3"/>
        <v>2500</v>
      </c>
      <c r="J13" s="527">
        <v>47</v>
      </c>
      <c r="K13" s="101">
        <f t="shared" si="4"/>
        <v>117500</v>
      </c>
      <c r="L13" s="364">
        <f t="shared" si="5"/>
        <v>2500</v>
      </c>
      <c r="M13" s="295">
        <f t="shared" si="6"/>
        <v>3758.8333333333335</v>
      </c>
      <c r="N13" s="295">
        <f t="shared" si="7"/>
        <v>4134716.666666667</v>
      </c>
      <c r="O13" s="267">
        <v>1100</v>
      </c>
    </row>
    <row r="14" spans="2:24" x14ac:dyDescent="0.3">
      <c r="B14" s="76">
        <v>8</v>
      </c>
      <c r="C14" s="77" t="s">
        <v>45</v>
      </c>
      <c r="D14" s="527">
        <v>571</v>
      </c>
      <c r="E14" s="101">
        <f t="shared" si="0"/>
        <v>1427500</v>
      </c>
      <c r="F14" s="364">
        <f t="shared" si="1"/>
        <v>2500</v>
      </c>
      <c r="G14" s="527">
        <v>106</v>
      </c>
      <c r="H14" s="101">
        <f t="shared" si="2"/>
        <v>265000</v>
      </c>
      <c r="I14" s="364">
        <f t="shared" si="3"/>
        <v>2500</v>
      </c>
      <c r="J14" s="527">
        <v>1054</v>
      </c>
      <c r="K14" s="101">
        <f t="shared" si="4"/>
        <v>2635000</v>
      </c>
      <c r="L14" s="364">
        <f t="shared" si="5"/>
        <v>2500</v>
      </c>
      <c r="M14" s="295">
        <f t="shared" si="6"/>
        <v>5481.5</v>
      </c>
      <c r="N14" s="295">
        <f t="shared" si="7"/>
        <v>6029650</v>
      </c>
      <c r="O14" s="267">
        <v>1100</v>
      </c>
    </row>
    <row r="15" spans="2:24" x14ac:dyDescent="0.3">
      <c r="B15" s="76">
        <v>9</v>
      </c>
      <c r="C15" s="77" t="s">
        <v>416</v>
      </c>
      <c r="D15" s="527">
        <v>205</v>
      </c>
      <c r="E15" s="101">
        <f t="shared" si="0"/>
        <v>512500</v>
      </c>
      <c r="F15" s="364">
        <f t="shared" si="1"/>
        <v>2500</v>
      </c>
      <c r="G15" s="527">
        <v>95</v>
      </c>
      <c r="H15" s="101">
        <f t="shared" si="2"/>
        <v>237500</v>
      </c>
      <c r="I15" s="364">
        <f t="shared" si="3"/>
        <v>2500</v>
      </c>
      <c r="J15" s="527">
        <v>62</v>
      </c>
      <c r="K15" s="101">
        <f t="shared" si="4"/>
        <v>155000</v>
      </c>
      <c r="L15" s="364">
        <f t="shared" si="5"/>
        <v>2500</v>
      </c>
      <c r="M15" s="295">
        <f t="shared" si="6"/>
        <v>1146.3333333333333</v>
      </c>
      <c r="N15" s="295">
        <f t="shared" si="7"/>
        <v>1260966.6666666665</v>
      </c>
      <c r="O15" s="267">
        <v>1100</v>
      </c>
    </row>
    <row r="16" spans="2:24" x14ac:dyDescent="0.3">
      <c r="B16" s="76">
        <v>10</v>
      </c>
      <c r="C16" s="77" t="s">
        <v>417</v>
      </c>
      <c r="D16" s="527">
        <v>1138</v>
      </c>
      <c r="E16" s="101">
        <f t="shared" si="0"/>
        <v>2845000</v>
      </c>
      <c r="F16" s="364">
        <f t="shared" si="1"/>
        <v>2500</v>
      </c>
      <c r="G16" s="527">
        <v>1062</v>
      </c>
      <c r="H16" s="101">
        <f t="shared" si="2"/>
        <v>2655000</v>
      </c>
      <c r="I16" s="364">
        <f t="shared" si="3"/>
        <v>2500</v>
      </c>
      <c r="J16" s="527">
        <v>65</v>
      </c>
      <c r="K16" s="101">
        <f t="shared" si="4"/>
        <v>162500</v>
      </c>
      <c r="L16" s="364">
        <f t="shared" si="5"/>
        <v>2500</v>
      </c>
      <c r="M16" s="295">
        <f t="shared" si="6"/>
        <v>7172.5</v>
      </c>
      <c r="N16" s="295">
        <f t="shared" si="7"/>
        <v>7889750</v>
      </c>
      <c r="O16" s="267">
        <v>1100</v>
      </c>
    </row>
    <row r="17" spans="2:19" x14ac:dyDescent="0.3">
      <c r="B17" s="76">
        <v>11</v>
      </c>
      <c r="C17" s="77" t="s">
        <v>418</v>
      </c>
      <c r="D17" s="527">
        <v>3196</v>
      </c>
      <c r="E17" s="101">
        <f t="shared" si="0"/>
        <v>7990000</v>
      </c>
      <c r="F17" s="364">
        <f t="shared" si="1"/>
        <v>2500</v>
      </c>
      <c r="G17" s="527">
        <v>1609</v>
      </c>
      <c r="H17" s="101">
        <f t="shared" si="2"/>
        <v>4022500</v>
      </c>
      <c r="I17" s="364">
        <f t="shared" si="3"/>
        <v>2500</v>
      </c>
      <c r="J17" s="527">
        <v>2933</v>
      </c>
      <c r="K17" s="101">
        <f t="shared" si="4"/>
        <v>7332500</v>
      </c>
      <c r="L17" s="364">
        <f t="shared" si="5"/>
        <v>2500</v>
      </c>
      <c r="M17" s="295">
        <f t="shared" si="6"/>
        <v>24503.666666666668</v>
      </c>
      <c r="N17" s="295">
        <f t="shared" si="7"/>
        <v>26954033.333333336</v>
      </c>
      <c r="O17" s="267">
        <v>1100</v>
      </c>
    </row>
    <row r="18" spans="2:19" x14ac:dyDescent="0.3">
      <c r="B18" s="76">
        <v>12</v>
      </c>
      <c r="C18" s="77" t="s">
        <v>419</v>
      </c>
      <c r="D18" s="527">
        <v>4965</v>
      </c>
      <c r="E18" s="101">
        <f t="shared" si="0"/>
        <v>12412500</v>
      </c>
      <c r="F18" s="364">
        <f t="shared" si="1"/>
        <v>2500</v>
      </c>
      <c r="G18" s="527">
        <v>5476</v>
      </c>
      <c r="H18" s="101">
        <f t="shared" si="2"/>
        <v>13690000</v>
      </c>
      <c r="I18" s="364">
        <f t="shared" si="3"/>
        <v>2500</v>
      </c>
      <c r="J18" s="527">
        <v>4239</v>
      </c>
      <c r="K18" s="101">
        <f t="shared" si="4"/>
        <v>10597500</v>
      </c>
      <c r="L18" s="364">
        <f t="shared" si="5"/>
        <v>2500</v>
      </c>
      <c r="M18" s="295">
        <f t="shared" si="6"/>
        <v>46486.666666666664</v>
      </c>
      <c r="N18" s="295">
        <f t="shared" si="7"/>
        <v>51135333.333333328</v>
      </c>
      <c r="O18" s="267">
        <v>1100</v>
      </c>
      <c r="S18" s="363"/>
    </row>
    <row r="19" spans="2:19" x14ac:dyDescent="0.3">
      <c r="B19" s="640" t="s">
        <v>46</v>
      </c>
      <c r="C19" s="640"/>
      <c r="D19" s="297">
        <f>SUM(D7:D18)</f>
        <v>26890</v>
      </c>
      <c r="E19" s="297">
        <f>SUM(E7:E18)</f>
        <v>67225000</v>
      </c>
      <c r="F19" s="78"/>
      <c r="G19" s="297">
        <f>SUM(G7:G18)</f>
        <v>24677</v>
      </c>
      <c r="H19" s="297">
        <f>SUM(H7:H18)</f>
        <v>61692500</v>
      </c>
      <c r="I19" s="78"/>
      <c r="J19" s="297">
        <f>SUM(J7:J18)</f>
        <v>24338</v>
      </c>
      <c r="K19" s="297">
        <f>SUM(K7:K18)</f>
        <v>60845000</v>
      </c>
      <c r="L19" s="78"/>
      <c r="M19" s="297">
        <f>SUM(M7:M18)</f>
        <v>240365.83333333334</v>
      </c>
      <c r="N19" s="297">
        <f>SUM(N7:N18)</f>
        <v>264402416.66666663</v>
      </c>
      <c r="O19" s="365"/>
      <c r="S19" s="363"/>
    </row>
    <row r="20" spans="2:19" x14ac:dyDescent="0.3">
      <c r="M20" s="332"/>
    </row>
    <row r="22" spans="2:19" x14ac:dyDescent="0.3">
      <c r="B22" s="639" t="s">
        <v>937</v>
      </c>
      <c r="C22" s="639"/>
      <c r="D22" s="599" t="s">
        <v>851</v>
      </c>
      <c r="E22" s="599"/>
      <c r="F22" s="599"/>
      <c r="G22" s="599" t="s">
        <v>852</v>
      </c>
      <c r="H22" s="599"/>
      <c r="I22" s="599"/>
      <c r="J22" s="599" t="s">
        <v>853</v>
      </c>
      <c r="K22" s="599"/>
      <c r="L22" s="599"/>
      <c r="M22" s="599" t="s">
        <v>169</v>
      </c>
      <c r="N22" s="599"/>
      <c r="O22" s="599"/>
    </row>
    <row r="23" spans="2:19" ht="14.4" customHeight="1" x14ac:dyDescent="0.3">
      <c r="B23" s="637" t="s">
        <v>42</v>
      </c>
      <c r="C23" s="637" t="s">
        <v>936</v>
      </c>
      <c r="D23" s="75" t="s">
        <v>43</v>
      </c>
      <c r="E23" s="75" t="s">
        <v>938</v>
      </c>
      <c r="F23" s="641" t="s">
        <v>863</v>
      </c>
      <c r="G23" s="75" t="s">
        <v>43</v>
      </c>
      <c r="H23" s="75" t="s">
        <v>938</v>
      </c>
      <c r="I23" s="641" t="s">
        <v>863</v>
      </c>
      <c r="J23" s="75" t="s">
        <v>43</v>
      </c>
      <c r="K23" s="75" t="s">
        <v>938</v>
      </c>
      <c r="L23" s="641" t="s">
        <v>863</v>
      </c>
      <c r="M23" s="71" t="s">
        <v>43</v>
      </c>
      <c r="N23" s="71" t="s">
        <v>938</v>
      </c>
      <c r="O23" s="641" t="s">
        <v>863</v>
      </c>
    </row>
    <row r="24" spans="2:19" x14ac:dyDescent="0.3">
      <c r="B24" s="637"/>
      <c r="C24" s="637"/>
      <c r="D24" s="75" t="s">
        <v>44</v>
      </c>
      <c r="E24" s="75" t="s">
        <v>862</v>
      </c>
      <c r="F24" s="641"/>
      <c r="G24" s="75" t="s">
        <v>44</v>
      </c>
      <c r="H24" s="75" t="s">
        <v>862</v>
      </c>
      <c r="I24" s="641"/>
      <c r="J24" s="75" t="s">
        <v>44</v>
      </c>
      <c r="K24" s="75" t="s">
        <v>862</v>
      </c>
      <c r="L24" s="641"/>
      <c r="M24" s="71" t="s">
        <v>44</v>
      </c>
      <c r="N24" s="75" t="s">
        <v>862</v>
      </c>
      <c r="O24" s="641"/>
    </row>
    <row r="25" spans="2:19" x14ac:dyDescent="0.3">
      <c r="B25" s="76">
        <v>1</v>
      </c>
      <c r="C25" s="77" t="s">
        <v>409</v>
      </c>
      <c r="D25" s="527">
        <v>4211</v>
      </c>
      <c r="E25" s="295">
        <f>D25*F25</f>
        <v>3789900</v>
      </c>
      <c r="F25" s="267">
        <f>900</f>
        <v>900</v>
      </c>
      <c r="G25" s="527">
        <v>7119</v>
      </c>
      <c r="H25" s="295">
        <f>G25*I25</f>
        <v>6407100</v>
      </c>
      <c r="I25" s="267">
        <f>900</f>
        <v>900</v>
      </c>
      <c r="J25" s="527">
        <v>6699</v>
      </c>
      <c r="K25" s="295">
        <f>J25*L25</f>
        <v>6029100</v>
      </c>
      <c r="L25" s="267">
        <f>900</f>
        <v>900</v>
      </c>
      <c r="M25" s="295">
        <f>(D25+G25+J25)/3</f>
        <v>6009.666666666667</v>
      </c>
      <c r="N25" s="295">
        <f>M25*O25</f>
        <v>6610633.333333334</v>
      </c>
      <c r="O25" s="267">
        <f>$U$7</f>
        <v>1100</v>
      </c>
    </row>
    <row r="26" spans="2:19" x14ac:dyDescent="0.3">
      <c r="B26" s="76">
        <v>2</v>
      </c>
      <c r="C26" s="77" t="s">
        <v>410</v>
      </c>
      <c r="D26" s="527">
        <v>4389</v>
      </c>
      <c r="E26" s="295">
        <f t="shared" ref="E26:E36" si="8">D26*F26</f>
        <v>3950100</v>
      </c>
      <c r="F26" s="267">
        <f>900</f>
        <v>900</v>
      </c>
      <c r="G26" s="527">
        <v>6447</v>
      </c>
      <c r="H26" s="295">
        <f t="shared" ref="H26:H36" si="9">G26*I26</f>
        <v>5802300</v>
      </c>
      <c r="I26" s="267">
        <f>900</f>
        <v>900</v>
      </c>
      <c r="J26" s="527">
        <v>5964</v>
      </c>
      <c r="K26" s="295">
        <f t="shared" ref="K26:K36" si="10">J26*L26</f>
        <v>5367600</v>
      </c>
      <c r="L26" s="267">
        <f>900</f>
        <v>900</v>
      </c>
      <c r="M26" s="295">
        <f t="shared" ref="M26:M36" si="11">(D26+G26+J26)/3</f>
        <v>5600</v>
      </c>
      <c r="N26" s="295">
        <f t="shared" ref="N26:N36" si="12">M26*O26</f>
        <v>6160000</v>
      </c>
      <c r="O26" s="267">
        <f t="shared" ref="O26:O36" si="13">$U$7</f>
        <v>1100</v>
      </c>
    </row>
    <row r="27" spans="2:19" x14ac:dyDescent="0.3">
      <c r="B27" s="76">
        <v>3</v>
      </c>
      <c r="C27" s="77" t="s">
        <v>411</v>
      </c>
      <c r="D27" s="527">
        <v>3633</v>
      </c>
      <c r="E27" s="295">
        <f t="shared" si="8"/>
        <v>3269700</v>
      </c>
      <c r="F27" s="267">
        <f>900</f>
        <v>900</v>
      </c>
      <c r="G27" s="527">
        <v>5439</v>
      </c>
      <c r="H27" s="295">
        <f t="shared" si="9"/>
        <v>4895100</v>
      </c>
      <c r="I27" s="267">
        <f>900</f>
        <v>900</v>
      </c>
      <c r="J27" s="527">
        <v>4893</v>
      </c>
      <c r="K27" s="295">
        <f t="shared" si="10"/>
        <v>4403700</v>
      </c>
      <c r="L27" s="267">
        <f>900</f>
        <v>900</v>
      </c>
      <c r="M27" s="295">
        <f t="shared" si="11"/>
        <v>4655</v>
      </c>
      <c r="N27" s="295">
        <f t="shared" si="12"/>
        <v>5120500</v>
      </c>
      <c r="O27" s="267">
        <f t="shared" si="13"/>
        <v>1100</v>
      </c>
    </row>
    <row r="28" spans="2:19" x14ac:dyDescent="0.3">
      <c r="B28" s="76">
        <v>4</v>
      </c>
      <c r="C28" s="77" t="s">
        <v>412</v>
      </c>
      <c r="D28" s="527">
        <v>6111</v>
      </c>
      <c r="E28" s="295">
        <f t="shared" si="8"/>
        <v>5499900</v>
      </c>
      <c r="F28" s="267">
        <f>900</f>
        <v>900</v>
      </c>
      <c r="G28" s="527">
        <v>4641</v>
      </c>
      <c r="H28" s="295">
        <f t="shared" si="9"/>
        <v>4176900</v>
      </c>
      <c r="I28" s="267">
        <f>900</f>
        <v>900</v>
      </c>
      <c r="J28" s="527">
        <v>4473</v>
      </c>
      <c r="K28" s="295">
        <f t="shared" si="10"/>
        <v>4025700</v>
      </c>
      <c r="L28" s="267">
        <f>900</f>
        <v>900</v>
      </c>
      <c r="M28" s="295">
        <f t="shared" si="11"/>
        <v>5075</v>
      </c>
      <c r="N28" s="295">
        <f t="shared" si="12"/>
        <v>5582500</v>
      </c>
      <c r="O28" s="267">
        <f t="shared" si="13"/>
        <v>1100</v>
      </c>
    </row>
    <row r="29" spans="2:19" x14ac:dyDescent="0.3">
      <c r="B29" s="76">
        <v>5</v>
      </c>
      <c r="C29" s="77" t="s">
        <v>413</v>
      </c>
      <c r="D29" s="527">
        <v>4095</v>
      </c>
      <c r="E29" s="295">
        <f t="shared" si="8"/>
        <v>3685500</v>
      </c>
      <c r="F29" s="267">
        <f>900</f>
        <v>900</v>
      </c>
      <c r="G29" s="527">
        <v>4630</v>
      </c>
      <c r="H29" s="295">
        <f t="shared" si="9"/>
        <v>4167000</v>
      </c>
      <c r="I29" s="267">
        <f>900</f>
        <v>900</v>
      </c>
      <c r="J29" s="527">
        <v>4059</v>
      </c>
      <c r="K29" s="295">
        <f t="shared" si="10"/>
        <v>3653100</v>
      </c>
      <c r="L29" s="267">
        <f>900</f>
        <v>900</v>
      </c>
      <c r="M29" s="295">
        <f t="shared" si="11"/>
        <v>4261.333333333333</v>
      </c>
      <c r="N29" s="295">
        <f t="shared" si="12"/>
        <v>4687466.666666666</v>
      </c>
      <c r="O29" s="267">
        <f t="shared" si="13"/>
        <v>1100</v>
      </c>
    </row>
    <row r="30" spans="2:19" x14ac:dyDescent="0.3">
      <c r="B30" s="76">
        <v>6</v>
      </c>
      <c r="C30" s="77" t="s">
        <v>414</v>
      </c>
      <c r="D30" s="527">
        <v>2604</v>
      </c>
      <c r="E30" s="295">
        <f t="shared" si="8"/>
        <v>2343600</v>
      </c>
      <c r="F30" s="267">
        <f>900</f>
        <v>900</v>
      </c>
      <c r="G30" s="527">
        <v>3620</v>
      </c>
      <c r="H30" s="295">
        <f t="shared" si="9"/>
        <v>3258000</v>
      </c>
      <c r="I30" s="267">
        <f>900</f>
        <v>900</v>
      </c>
      <c r="J30" s="527">
        <v>4000</v>
      </c>
      <c r="K30" s="295">
        <f t="shared" si="10"/>
        <v>3600000</v>
      </c>
      <c r="L30" s="267">
        <f>900</f>
        <v>900</v>
      </c>
      <c r="M30" s="295">
        <f t="shared" si="11"/>
        <v>3408</v>
      </c>
      <c r="N30" s="295">
        <f t="shared" si="12"/>
        <v>3748800</v>
      </c>
      <c r="O30" s="267">
        <f t="shared" si="13"/>
        <v>1100</v>
      </c>
    </row>
    <row r="31" spans="2:19" x14ac:dyDescent="0.3">
      <c r="B31" s="76">
        <v>7</v>
      </c>
      <c r="C31" s="77" t="s">
        <v>415</v>
      </c>
      <c r="D31" s="527">
        <v>2900</v>
      </c>
      <c r="E31" s="295">
        <f t="shared" si="8"/>
        <v>2610000</v>
      </c>
      <c r="F31" s="267">
        <f>900</f>
        <v>900</v>
      </c>
      <c r="G31" s="527">
        <v>3499</v>
      </c>
      <c r="H31" s="295">
        <f t="shared" si="9"/>
        <v>3149100</v>
      </c>
      <c r="I31" s="267">
        <f>900</f>
        <v>900</v>
      </c>
      <c r="J31" s="527">
        <v>4138</v>
      </c>
      <c r="K31" s="295">
        <f t="shared" si="10"/>
        <v>3724200</v>
      </c>
      <c r="L31" s="267">
        <f>900</f>
        <v>900</v>
      </c>
      <c r="M31" s="295">
        <f t="shared" si="11"/>
        <v>3512.3333333333335</v>
      </c>
      <c r="N31" s="295">
        <f t="shared" si="12"/>
        <v>3863566.666666667</v>
      </c>
      <c r="O31" s="267">
        <f t="shared" si="13"/>
        <v>1100</v>
      </c>
    </row>
    <row r="32" spans="2:19" x14ac:dyDescent="0.3">
      <c r="B32" s="76">
        <v>8</v>
      </c>
      <c r="C32" s="77" t="s">
        <v>45</v>
      </c>
      <c r="D32" s="527">
        <v>2770</v>
      </c>
      <c r="E32" s="295">
        <f t="shared" si="8"/>
        <v>2493000</v>
      </c>
      <c r="F32" s="267">
        <f>900</f>
        <v>900</v>
      </c>
      <c r="G32" s="527">
        <v>4157</v>
      </c>
      <c r="H32" s="295">
        <f t="shared" si="9"/>
        <v>3741300</v>
      </c>
      <c r="I32" s="267">
        <f>900</f>
        <v>900</v>
      </c>
      <c r="J32" s="527">
        <v>3964</v>
      </c>
      <c r="K32" s="295">
        <f t="shared" si="10"/>
        <v>3567600</v>
      </c>
      <c r="L32" s="267">
        <f>900</f>
        <v>900</v>
      </c>
      <c r="M32" s="295">
        <f t="shared" si="11"/>
        <v>3630.3333333333335</v>
      </c>
      <c r="N32" s="295">
        <f t="shared" si="12"/>
        <v>3993366.666666667</v>
      </c>
      <c r="O32" s="267">
        <f t="shared" si="13"/>
        <v>1100</v>
      </c>
    </row>
    <row r="33" spans="2:24" x14ac:dyDescent="0.3">
      <c r="B33" s="76">
        <v>9</v>
      </c>
      <c r="C33" s="77" t="s">
        <v>416</v>
      </c>
      <c r="D33" s="527">
        <v>3780</v>
      </c>
      <c r="E33" s="295">
        <f t="shared" si="8"/>
        <v>3402000</v>
      </c>
      <c r="F33" s="267">
        <f>900</f>
        <v>900</v>
      </c>
      <c r="G33" s="527">
        <v>4296</v>
      </c>
      <c r="H33" s="295">
        <f t="shared" si="9"/>
        <v>3866400</v>
      </c>
      <c r="I33" s="267">
        <f>900</f>
        <v>900</v>
      </c>
      <c r="J33" s="527">
        <v>3663</v>
      </c>
      <c r="K33" s="295">
        <f t="shared" si="10"/>
        <v>3296700</v>
      </c>
      <c r="L33" s="267">
        <f>900</f>
        <v>900</v>
      </c>
      <c r="M33" s="295">
        <f t="shared" si="11"/>
        <v>3913</v>
      </c>
      <c r="N33" s="295">
        <f t="shared" si="12"/>
        <v>4304300</v>
      </c>
      <c r="O33" s="267">
        <f t="shared" si="13"/>
        <v>1100</v>
      </c>
    </row>
    <row r="34" spans="2:24" x14ac:dyDescent="0.3">
      <c r="B34" s="76">
        <v>10</v>
      </c>
      <c r="C34" s="77" t="s">
        <v>417</v>
      </c>
      <c r="D34" s="527">
        <v>3507</v>
      </c>
      <c r="E34" s="295">
        <f t="shared" si="8"/>
        <v>3156300</v>
      </c>
      <c r="F34" s="267">
        <f>900</f>
        <v>900</v>
      </c>
      <c r="G34" s="527">
        <v>5124</v>
      </c>
      <c r="H34" s="295">
        <f t="shared" si="9"/>
        <v>4611600</v>
      </c>
      <c r="I34" s="267">
        <f>900</f>
        <v>900</v>
      </c>
      <c r="J34" s="527">
        <v>4486</v>
      </c>
      <c r="K34" s="295">
        <f t="shared" si="10"/>
        <v>4037400</v>
      </c>
      <c r="L34" s="267">
        <f>900</f>
        <v>900</v>
      </c>
      <c r="M34" s="295">
        <f t="shared" si="11"/>
        <v>4372.333333333333</v>
      </c>
      <c r="N34" s="295">
        <f t="shared" si="12"/>
        <v>4809566.666666666</v>
      </c>
      <c r="O34" s="267">
        <f t="shared" si="13"/>
        <v>1100</v>
      </c>
    </row>
    <row r="35" spans="2:24" x14ac:dyDescent="0.3">
      <c r="B35" s="76">
        <v>11</v>
      </c>
      <c r="C35" s="77" t="s">
        <v>418</v>
      </c>
      <c r="D35" s="527">
        <v>5607</v>
      </c>
      <c r="E35" s="295">
        <f t="shared" si="8"/>
        <v>5046300</v>
      </c>
      <c r="F35" s="267">
        <f>900</f>
        <v>900</v>
      </c>
      <c r="G35" s="527">
        <v>5565</v>
      </c>
      <c r="H35" s="295">
        <f t="shared" si="9"/>
        <v>5008500</v>
      </c>
      <c r="I35" s="267">
        <f>900</f>
        <v>900</v>
      </c>
      <c r="J35" s="527">
        <v>5751</v>
      </c>
      <c r="K35" s="295">
        <f t="shared" si="10"/>
        <v>5175900</v>
      </c>
      <c r="L35" s="267">
        <f>900</f>
        <v>900</v>
      </c>
      <c r="M35" s="295">
        <f t="shared" si="11"/>
        <v>5641</v>
      </c>
      <c r="N35" s="295">
        <f t="shared" si="12"/>
        <v>6205100</v>
      </c>
      <c r="O35" s="267">
        <f t="shared" si="13"/>
        <v>1100</v>
      </c>
    </row>
    <row r="36" spans="2:24" x14ac:dyDescent="0.3">
      <c r="B36" s="76">
        <v>12</v>
      </c>
      <c r="C36" s="77" t="s">
        <v>419</v>
      </c>
      <c r="D36" s="527">
        <v>5586</v>
      </c>
      <c r="E36" s="295">
        <f t="shared" si="8"/>
        <v>5027400</v>
      </c>
      <c r="F36" s="267">
        <f>900</f>
        <v>900</v>
      </c>
      <c r="G36" s="527">
        <v>6111</v>
      </c>
      <c r="H36" s="295">
        <f t="shared" si="9"/>
        <v>5499900</v>
      </c>
      <c r="I36" s="267">
        <f>900</f>
        <v>900</v>
      </c>
      <c r="J36" s="527">
        <v>6204</v>
      </c>
      <c r="K36" s="295">
        <f t="shared" si="10"/>
        <v>5583600</v>
      </c>
      <c r="L36" s="267">
        <f>900</f>
        <v>900</v>
      </c>
      <c r="M36" s="295">
        <f t="shared" si="11"/>
        <v>5967</v>
      </c>
      <c r="N36" s="295">
        <f t="shared" si="12"/>
        <v>6563700</v>
      </c>
      <c r="O36" s="267">
        <f t="shared" si="13"/>
        <v>1100</v>
      </c>
    </row>
    <row r="37" spans="2:24" x14ac:dyDescent="0.3">
      <c r="B37" s="640" t="s">
        <v>16</v>
      </c>
      <c r="C37" s="640"/>
      <c r="D37" s="297">
        <f>SUM(D25:D36)</f>
        <v>49193</v>
      </c>
      <c r="E37" s="297">
        <f>SUM(E25:E36)</f>
        <v>44273700</v>
      </c>
      <c r="F37" s="78"/>
      <c r="G37" s="297">
        <f>SUM(G25:G36)</f>
        <v>60648</v>
      </c>
      <c r="H37" s="297">
        <f>SUM(H25:H36)</f>
        <v>54583200</v>
      </c>
      <c r="I37" s="78"/>
      <c r="J37" s="297">
        <f>SUM(J25:J36)</f>
        <v>58294</v>
      </c>
      <c r="K37" s="297">
        <f>SUM(K25:K36)</f>
        <v>52464600</v>
      </c>
      <c r="L37" s="78"/>
      <c r="M37" s="297">
        <f>SUM(M25:M36)</f>
        <v>56045</v>
      </c>
      <c r="N37" s="297">
        <f>SUM(N25:N36)</f>
        <v>61649499.999999993</v>
      </c>
      <c r="O37" s="365"/>
    </row>
    <row r="40" spans="2:24" ht="17.100000000000001" customHeight="1" x14ac:dyDescent="0.3">
      <c r="B40" s="639" t="s">
        <v>124</v>
      </c>
      <c r="C40" s="639"/>
      <c r="D40" s="599" t="s">
        <v>851</v>
      </c>
      <c r="E40" s="599"/>
      <c r="F40" s="599"/>
      <c r="G40" s="599" t="s">
        <v>852</v>
      </c>
      <c r="H40" s="599"/>
      <c r="I40" s="599"/>
      <c r="J40" s="599" t="s">
        <v>853</v>
      </c>
      <c r="K40" s="599"/>
      <c r="L40" s="599"/>
      <c r="M40" s="637" t="s">
        <v>169</v>
      </c>
      <c r="N40" s="637"/>
      <c r="O40" s="637"/>
    </row>
    <row r="41" spans="2:24" ht="14.7" customHeight="1" x14ac:dyDescent="0.3">
      <c r="B41" s="637" t="s">
        <v>42</v>
      </c>
      <c r="C41" s="637" t="s">
        <v>936</v>
      </c>
      <c r="D41" s="75" t="s">
        <v>43</v>
      </c>
      <c r="E41" s="75" t="s">
        <v>938</v>
      </c>
      <c r="F41" s="638" t="s">
        <v>864</v>
      </c>
      <c r="G41" s="75" t="s">
        <v>43</v>
      </c>
      <c r="H41" s="75" t="s">
        <v>938</v>
      </c>
      <c r="I41" s="638" t="s">
        <v>864</v>
      </c>
      <c r="J41" s="75" t="s">
        <v>43</v>
      </c>
      <c r="K41" s="75" t="s">
        <v>938</v>
      </c>
      <c r="L41" s="638" t="s">
        <v>864</v>
      </c>
      <c r="M41" s="75" t="s">
        <v>43</v>
      </c>
      <c r="N41" s="75" t="s">
        <v>938</v>
      </c>
      <c r="O41" s="638" t="s">
        <v>864</v>
      </c>
    </row>
    <row r="42" spans="2:24" x14ac:dyDescent="0.3">
      <c r="B42" s="637"/>
      <c r="C42" s="637"/>
      <c r="D42" s="529" t="s">
        <v>861</v>
      </c>
      <c r="E42" s="75" t="s">
        <v>862</v>
      </c>
      <c r="F42" s="638"/>
      <c r="G42" s="529" t="s">
        <v>861</v>
      </c>
      <c r="H42" s="75" t="s">
        <v>862</v>
      </c>
      <c r="I42" s="638"/>
      <c r="J42" s="529" t="s">
        <v>861</v>
      </c>
      <c r="K42" s="75" t="s">
        <v>862</v>
      </c>
      <c r="L42" s="638"/>
      <c r="M42" s="75" t="s">
        <v>44</v>
      </c>
      <c r="N42" s="75" t="s">
        <v>862</v>
      </c>
      <c r="O42" s="638"/>
    </row>
    <row r="43" spans="2:24" x14ac:dyDescent="0.3">
      <c r="B43" s="76">
        <v>1</v>
      </c>
      <c r="C43" s="77" t="s">
        <v>409</v>
      </c>
      <c r="D43" s="101"/>
      <c r="E43" s="101"/>
      <c r="F43" s="364">
        <v>1122</v>
      </c>
      <c r="G43" s="101"/>
      <c r="H43" s="101"/>
      <c r="I43" s="364">
        <v>1122</v>
      </c>
      <c r="J43" s="101"/>
      <c r="K43" s="101"/>
      <c r="L43" s="364">
        <v>1122</v>
      </c>
      <c r="M43" s="295">
        <f>(D43+G43+J43)*1163/3</f>
        <v>0</v>
      </c>
      <c r="N43" s="295">
        <f>M43*O43</f>
        <v>0</v>
      </c>
      <c r="O43" s="267">
        <f t="shared" ref="O43:O54" si="14">$U$6</f>
        <v>601.89165950128972</v>
      </c>
      <c r="X43">
        <v>8887</v>
      </c>
    </row>
    <row r="44" spans="2:24" x14ac:dyDescent="0.3">
      <c r="B44" s="76">
        <v>2</v>
      </c>
      <c r="C44" s="77" t="s">
        <v>410</v>
      </c>
      <c r="D44" s="101"/>
      <c r="E44" s="101"/>
      <c r="F44" s="364">
        <v>1122</v>
      </c>
      <c r="G44" s="101"/>
      <c r="H44" s="101"/>
      <c r="I44" s="364">
        <v>1122</v>
      </c>
      <c r="J44" s="101"/>
      <c r="K44" s="101"/>
      <c r="L44" s="364">
        <v>1122</v>
      </c>
      <c r="M44" s="295">
        <f t="shared" ref="M44" si="15">(D44+G44+J44)*1163/3</f>
        <v>0</v>
      </c>
      <c r="N44" s="295">
        <f t="shared" ref="N44:N54" si="16">M44*O44</f>
        <v>0</v>
      </c>
      <c r="O44" s="267">
        <f t="shared" si="14"/>
        <v>601.89165950128972</v>
      </c>
    </row>
    <row r="45" spans="2:24" x14ac:dyDescent="0.3">
      <c r="B45" s="76">
        <v>3</v>
      </c>
      <c r="C45" s="77" t="s">
        <v>411</v>
      </c>
      <c r="D45" s="101"/>
      <c r="E45" s="101"/>
      <c r="F45" s="364">
        <v>1122</v>
      </c>
      <c r="G45" s="101"/>
      <c r="H45" s="101"/>
      <c r="I45" s="364">
        <v>1122</v>
      </c>
      <c r="J45" s="101"/>
      <c r="K45" s="101"/>
      <c r="L45" s="364">
        <v>1122</v>
      </c>
      <c r="M45" s="295">
        <f>J45*1163</f>
        <v>0</v>
      </c>
      <c r="N45" s="295">
        <f t="shared" si="16"/>
        <v>0</v>
      </c>
      <c r="O45" s="267">
        <f t="shared" si="14"/>
        <v>601.89165950128972</v>
      </c>
    </row>
    <row r="46" spans="2:24" x14ac:dyDescent="0.3">
      <c r="B46" s="76">
        <v>4</v>
      </c>
      <c r="C46" s="77" t="s">
        <v>412</v>
      </c>
      <c r="D46" s="101"/>
      <c r="E46" s="101"/>
      <c r="F46" s="364">
        <v>1122</v>
      </c>
      <c r="G46" s="101"/>
      <c r="H46" s="101"/>
      <c r="I46" s="364">
        <v>1122</v>
      </c>
      <c r="J46" s="101"/>
      <c r="K46" s="101"/>
      <c r="L46" s="364">
        <v>1122</v>
      </c>
      <c r="M46" s="295">
        <f t="shared" ref="M46:M54" si="17">J46*1163</f>
        <v>0</v>
      </c>
      <c r="N46" s="295">
        <f t="shared" si="16"/>
        <v>0</v>
      </c>
      <c r="O46" s="267">
        <f t="shared" si="14"/>
        <v>601.89165950128972</v>
      </c>
    </row>
    <row r="47" spans="2:24" x14ac:dyDescent="0.3">
      <c r="B47" s="76">
        <v>5</v>
      </c>
      <c r="C47" s="77" t="s">
        <v>413</v>
      </c>
      <c r="D47" s="101"/>
      <c r="E47" s="101"/>
      <c r="F47" s="364">
        <v>1122</v>
      </c>
      <c r="G47" s="101"/>
      <c r="H47" s="101"/>
      <c r="I47" s="364">
        <v>1122</v>
      </c>
      <c r="J47" s="101"/>
      <c r="K47" s="101"/>
      <c r="L47" s="364">
        <v>1122</v>
      </c>
      <c r="M47" s="295">
        <f t="shared" si="17"/>
        <v>0</v>
      </c>
      <c r="N47" s="295">
        <f t="shared" si="16"/>
        <v>0</v>
      </c>
      <c r="O47" s="267">
        <f t="shared" si="14"/>
        <v>601.89165950128972</v>
      </c>
      <c r="P47" t="e">
        <f>AA47/Z47</f>
        <v>#DIV/0!</v>
      </c>
      <c r="Q47">
        <f>(Z47+Z48+Z49+Z50+Z51)/5</f>
        <v>0</v>
      </c>
      <c r="S47" t="e">
        <f>AD47/AC47</f>
        <v>#DIV/0!</v>
      </c>
      <c r="T47">
        <f>(AC47+AC48+AC49+AC50+AC51)/5</f>
        <v>0</v>
      </c>
      <c r="V47" t="e">
        <f>AG47/AF47</f>
        <v>#DIV/0!</v>
      </c>
      <c r="W47">
        <f>(AF47+AF48+AF49+AF50+AF51)/5</f>
        <v>0</v>
      </c>
    </row>
    <row r="48" spans="2:24" x14ac:dyDescent="0.3">
      <c r="B48" s="76">
        <v>6</v>
      </c>
      <c r="C48" s="77" t="s">
        <v>414</v>
      </c>
      <c r="D48" s="101"/>
      <c r="E48" s="101"/>
      <c r="F48" s="364">
        <v>1122</v>
      </c>
      <c r="G48" s="101"/>
      <c r="H48" s="101"/>
      <c r="I48" s="364">
        <v>1122</v>
      </c>
      <c r="J48" s="101"/>
      <c r="K48" s="101"/>
      <c r="L48" s="364">
        <v>1122</v>
      </c>
      <c r="M48" s="295">
        <f t="shared" si="17"/>
        <v>0</v>
      </c>
      <c r="N48" s="295">
        <f t="shared" si="16"/>
        <v>0</v>
      </c>
      <c r="O48" s="267">
        <f t="shared" si="14"/>
        <v>601.89165950128972</v>
      </c>
      <c r="V48" t="e">
        <f>AG48/AF48</f>
        <v>#DIV/0!</v>
      </c>
    </row>
    <row r="49" spans="2:22" x14ac:dyDescent="0.3">
      <c r="B49" s="76">
        <v>7</v>
      </c>
      <c r="C49" s="77" t="s">
        <v>415</v>
      </c>
      <c r="D49" s="101"/>
      <c r="E49" s="101"/>
      <c r="F49" s="364">
        <v>1122</v>
      </c>
      <c r="G49" s="101"/>
      <c r="H49" s="101"/>
      <c r="I49" s="364">
        <v>1122</v>
      </c>
      <c r="J49" s="101"/>
      <c r="K49" s="101"/>
      <c r="L49" s="364">
        <v>1122</v>
      </c>
      <c r="M49" s="295">
        <f t="shared" si="17"/>
        <v>0</v>
      </c>
      <c r="N49" s="295">
        <f t="shared" si="16"/>
        <v>0</v>
      </c>
      <c r="O49" s="267">
        <f t="shared" si="14"/>
        <v>601.89165950128972</v>
      </c>
      <c r="V49" t="e">
        <f>AG49/AF49</f>
        <v>#DIV/0!</v>
      </c>
    </row>
    <row r="50" spans="2:22" x14ac:dyDescent="0.3">
      <c r="B50" s="76">
        <v>8</v>
      </c>
      <c r="C50" s="77" t="s">
        <v>45</v>
      </c>
      <c r="D50" s="101"/>
      <c r="E50" s="101"/>
      <c r="F50" s="364">
        <v>1122</v>
      </c>
      <c r="G50" s="101"/>
      <c r="H50" s="101"/>
      <c r="I50" s="364">
        <v>1122</v>
      </c>
      <c r="J50" s="101"/>
      <c r="K50" s="101"/>
      <c r="L50" s="364">
        <v>1122</v>
      </c>
      <c r="M50" s="295">
        <f t="shared" si="17"/>
        <v>0</v>
      </c>
      <c r="N50" s="295">
        <f t="shared" si="16"/>
        <v>0</v>
      </c>
      <c r="O50" s="267">
        <f t="shared" si="14"/>
        <v>601.89165950128972</v>
      </c>
      <c r="V50" t="e">
        <f>AG50/AF50</f>
        <v>#DIV/0!</v>
      </c>
    </row>
    <row r="51" spans="2:22" x14ac:dyDescent="0.3">
      <c r="B51" s="76">
        <v>9</v>
      </c>
      <c r="C51" s="77" t="s">
        <v>416</v>
      </c>
      <c r="D51" s="101"/>
      <c r="E51" s="101"/>
      <c r="F51" s="364">
        <v>1122</v>
      </c>
      <c r="G51" s="101"/>
      <c r="H51" s="101"/>
      <c r="I51" s="364">
        <v>1122</v>
      </c>
      <c r="J51" s="101"/>
      <c r="K51" s="101"/>
      <c r="L51" s="364">
        <v>1122</v>
      </c>
      <c r="M51" s="295">
        <f t="shared" si="17"/>
        <v>0</v>
      </c>
      <c r="N51" s="295">
        <f t="shared" si="16"/>
        <v>0</v>
      </c>
      <c r="O51" s="267">
        <f t="shared" si="14"/>
        <v>601.89165950128972</v>
      </c>
      <c r="V51" t="e">
        <f>AG51/AF51</f>
        <v>#DIV/0!</v>
      </c>
    </row>
    <row r="52" spans="2:22" x14ac:dyDescent="0.3">
      <c r="B52" s="76">
        <v>10</v>
      </c>
      <c r="C52" s="77" t="s">
        <v>417</v>
      </c>
      <c r="D52" s="101"/>
      <c r="E52" s="101"/>
      <c r="F52" s="364">
        <v>1122</v>
      </c>
      <c r="G52" s="101"/>
      <c r="H52" s="101"/>
      <c r="I52" s="364">
        <v>1122</v>
      </c>
      <c r="J52" s="101"/>
      <c r="K52" s="101"/>
      <c r="L52" s="364">
        <v>1122</v>
      </c>
      <c r="M52" s="295">
        <f t="shared" si="17"/>
        <v>0</v>
      </c>
      <c r="N52" s="295">
        <f t="shared" si="16"/>
        <v>0</v>
      </c>
      <c r="O52" s="267">
        <f t="shared" si="14"/>
        <v>601.89165950128972</v>
      </c>
    </row>
    <row r="53" spans="2:22" x14ac:dyDescent="0.3">
      <c r="B53" s="76">
        <v>11</v>
      </c>
      <c r="C53" s="77" t="s">
        <v>418</v>
      </c>
      <c r="D53" s="101"/>
      <c r="E53" s="101"/>
      <c r="F53" s="364">
        <v>1122</v>
      </c>
      <c r="G53" s="101"/>
      <c r="H53" s="101"/>
      <c r="I53" s="364">
        <v>1122</v>
      </c>
      <c r="J53" s="101"/>
      <c r="K53" s="101"/>
      <c r="L53" s="364">
        <v>1772</v>
      </c>
      <c r="M53" s="295">
        <f t="shared" si="17"/>
        <v>0</v>
      </c>
      <c r="N53" s="295">
        <f t="shared" si="16"/>
        <v>0</v>
      </c>
      <c r="O53" s="267">
        <f t="shared" si="14"/>
        <v>601.89165950128972</v>
      </c>
    </row>
    <row r="54" spans="2:22" x14ac:dyDescent="0.3">
      <c r="B54" s="76">
        <v>12</v>
      </c>
      <c r="C54" s="77" t="s">
        <v>419</v>
      </c>
      <c r="D54" s="101"/>
      <c r="E54" s="101"/>
      <c r="F54" s="364">
        <v>1122</v>
      </c>
      <c r="G54" s="101"/>
      <c r="H54" s="101"/>
      <c r="I54" s="364">
        <v>1122</v>
      </c>
      <c r="J54" s="101"/>
      <c r="K54" s="101"/>
      <c r="L54" s="364">
        <v>1772</v>
      </c>
      <c r="M54" s="295">
        <f t="shared" si="17"/>
        <v>0</v>
      </c>
      <c r="N54" s="295">
        <f t="shared" si="16"/>
        <v>0</v>
      </c>
      <c r="O54" s="267">
        <f t="shared" si="14"/>
        <v>601.89165950128972</v>
      </c>
    </row>
    <row r="55" spans="2:22" x14ac:dyDescent="0.3">
      <c r="B55" s="640" t="s">
        <v>16</v>
      </c>
      <c r="C55" s="640"/>
      <c r="D55" s="100">
        <f>SUM(D43:D54)</f>
        <v>0</v>
      </c>
      <c r="E55" s="100">
        <f>SUM(E43:E54)</f>
        <v>0</v>
      </c>
      <c r="F55" s="78"/>
      <c r="G55" s="100">
        <f>SUM(G43:G54)</f>
        <v>0</v>
      </c>
      <c r="H55" s="100">
        <f>SUM(H43:H54)</f>
        <v>0</v>
      </c>
      <c r="I55" s="78"/>
      <c r="J55" s="100">
        <f>SUM(J43:J54)</f>
        <v>0</v>
      </c>
      <c r="K55" s="100">
        <f>SUM(K43:K54)</f>
        <v>0</v>
      </c>
      <c r="L55" s="78"/>
      <c r="M55" s="100">
        <f>SUM(M43:M54)</f>
        <v>0</v>
      </c>
      <c r="N55" s="100">
        <f>SUM(N43:N54)</f>
        <v>0</v>
      </c>
      <c r="O55" s="18"/>
    </row>
    <row r="57" spans="2:22" x14ac:dyDescent="0.3">
      <c r="B57" t="s">
        <v>179</v>
      </c>
    </row>
    <row r="58" spans="2:22" x14ac:dyDescent="0.3">
      <c r="B58" t="s">
        <v>180</v>
      </c>
    </row>
    <row r="62" spans="2:22" x14ac:dyDescent="0.3">
      <c r="B62" s="635"/>
      <c r="C62" s="635"/>
      <c r="D62" s="636"/>
      <c r="E62" s="636"/>
      <c r="F62" s="636"/>
      <c r="G62" s="636"/>
      <c r="H62" s="636"/>
      <c r="I62" s="636"/>
      <c r="J62" s="636"/>
      <c r="K62" s="636"/>
      <c r="L62" s="636"/>
      <c r="M62" s="634"/>
      <c r="N62" s="634"/>
      <c r="O62" s="634"/>
    </row>
    <row r="63" spans="2:22" x14ac:dyDescent="0.3">
      <c r="B63" s="634"/>
      <c r="C63" s="634"/>
      <c r="D63" s="550"/>
      <c r="E63" s="550"/>
      <c r="F63" s="632"/>
      <c r="G63" s="550"/>
      <c r="H63" s="550"/>
      <c r="I63" s="632"/>
      <c r="J63" s="550"/>
      <c r="K63" s="550"/>
      <c r="L63" s="632"/>
      <c r="M63" s="550"/>
      <c r="N63" s="550"/>
      <c r="O63" s="632"/>
    </row>
    <row r="64" spans="2:22" x14ac:dyDescent="0.3">
      <c r="B64" s="634"/>
      <c r="C64" s="634"/>
      <c r="D64" s="550"/>
      <c r="E64" s="550"/>
      <c r="F64" s="632"/>
      <c r="G64" s="550"/>
      <c r="H64" s="550"/>
      <c r="I64" s="632"/>
      <c r="J64" s="550"/>
      <c r="K64" s="550"/>
      <c r="L64" s="632"/>
      <c r="M64" s="550"/>
      <c r="N64" s="550"/>
      <c r="O64" s="632"/>
    </row>
    <row r="65" spans="2:15" x14ac:dyDescent="0.3">
      <c r="B65" s="551"/>
      <c r="C65" s="552"/>
      <c r="D65" s="553"/>
      <c r="E65" s="553"/>
      <c r="F65" s="554"/>
      <c r="G65" s="553"/>
      <c r="H65" s="553"/>
      <c r="I65" s="554"/>
      <c r="J65" s="553"/>
      <c r="K65" s="553"/>
      <c r="L65" s="554"/>
      <c r="M65" s="553"/>
      <c r="N65" s="553"/>
      <c r="O65" s="555"/>
    </row>
    <row r="66" spans="2:15" x14ac:dyDescent="0.3">
      <c r="B66" s="551"/>
      <c r="C66" s="552"/>
      <c r="D66" s="553"/>
      <c r="E66" s="553"/>
      <c r="F66" s="554"/>
      <c r="G66" s="553"/>
      <c r="H66" s="553"/>
      <c r="I66" s="554"/>
      <c r="J66" s="553"/>
      <c r="K66" s="553"/>
      <c r="L66" s="554"/>
      <c r="M66" s="553"/>
      <c r="N66" s="553"/>
      <c r="O66" s="555"/>
    </row>
    <row r="67" spans="2:15" x14ac:dyDescent="0.3">
      <c r="B67" s="551"/>
      <c r="C67" s="552"/>
      <c r="D67" s="553"/>
      <c r="E67" s="553"/>
      <c r="F67" s="554"/>
      <c r="G67" s="553"/>
      <c r="H67" s="553"/>
      <c r="I67" s="554"/>
      <c r="J67" s="553"/>
      <c r="K67" s="553"/>
      <c r="L67" s="554"/>
      <c r="M67" s="553"/>
      <c r="N67" s="553"/>
      <c r="O67" s="555"/>
    </row>
    <row r="68" spans="2:15" x14ac:dyDescent="0.3">
      <c r="B68" s="551"/>
      <c r="C68" s="552"/>
      <c r="D68" s="553"/>
      <c r="E68" s="553"/>
      <c r="F68" s="554"/>
      <c r="G68" s="553"/>
      <c r="H68" s="553"/>
      <c r="I68" s="554"/>
      <c r="J68" s="553"/>
      <c r="K68" s="553"/>
      <c r="L68" s="554"/>
      <c r="M68" s="553"/>
      <c r="N68" s="553"/>
      <c r="O68" s="555"/>
    </row>
    <row r="69" spans="2:15" x14ac:dyDescent="0.3">
      <c r="B69" s="551"/>
      <c r="C69" s="552"/>
      <c r="D69" s="553"/>
      <c r="E69" s="553"/>
      <c r="F69" s="554"/>
      <c r="G69" s="553"/>
      <c r="H69" s="553"/>
      <c r="I69" s="554"/>
      <c r="J69" s="553"/>
      <c r="K69" s="553"/>
      <c r="L69" s="554"/>
      <c r="M69" s="553"/>
      <c r="N69" s="553"/>
      <c r="O69" s="555"/>
    </row>
    <row r="70" spans="2:15" x14ac:dyDescent="0.3">
      <c r="B70" s="551"/>
      <c r="C70" s="552"/>
      <c r="D70" s="553"/>
      <c r="E70" s="553"/>
      <c r="F70" s="554"/>
      <c r="G70" s="553"/>
      <c r="H70" s="553"/>
      <c r="I70" s="554"/>
      <c r="J70" s="553"/>
      <c r="K70" s="553"/>
      <c r="L70" s="554"/>
      <c r="M70" s="553"/>
      <c r="N70" s="553"/>
      <c r="O70" s="555"/>
    </row>
    <row r="71" spans="2:15" x14ac:dyDescent="0.3">
      <c r="B71" s="551"/>
      <c r="C71" s="552"/>
      <c r="D71" s="553"/>
      <c r="E71" s="553"/>
      <c r="F71" s="554"/>
      <c r="G71" s="553"/>
      <c r="H71" s="553"/>
      <c r="I71" s="554"/>
      <c r="J71" s="553"/>
      <c r="K71" s="553"/>
      <c r="L71" s="554"/>
      <c r="M71" s="553"/>
      <c r="N71" s="553"/>
      <c r="O71" s="555"/>
    </row>
    <row r="72" spans="2:15" x14ac:dyDescent="0.3">
      <c r="B72" s="551"/>
      <c r="C72" s="552"/>
      <c r="D72" s="553"/>
      <c r="E72" s="553"/>
      <c r="F72" s="554"/>
      <c r="G72" s="553"/>
      <c r="H72" s="553"/>
      <c r="I72" s="554"/>
      <c r="J72" s="553"/>
      <c r="K72" s="553"/>
      <c r="L72" s="554"/>
      <c r="M72" s="553"/>
      <c r="N72" s="553"/>
      <c r="O72" s="555"/>
    </row>
    <row r="73" spans="2:15" x14ac:dyDescent="0.3">
      <c r="B73" s="551"/>
      <c r="C73" s="552"/>
      <c r="D73" s="553"/>
      <c r="E73" s="553"/>
      <c r="F73" s="554"/>
      <c r="G73" s="553"/>
      <c r="H73" s="553"/>
      <c r="I73" s="554"/>
      <c r="J73" s="553"/>
      <c r="K73" s="553"/>
      <c r="L73" s="554"/>
      <c r="M73" s="553"/>
      <c r="N73" s="553"/>
      <c r="O73" s="555"/>
    </row>
    <row r="74" spans="2:15" x14ac:dyDescent="0.3">
      <c r="B74" s="551"/>
      <c r="C74" s="552"/>
      <c r="D74" s="553"/>
      <c r="E74" s="553"/>
      <c r="F74" s="554"/>
      <c r="G74" s="553"/>
      <c r="H74" s="553"/>
      <c r="I74" s="554"/>
      <c r="J74" s="553"/>
      <c r="K74" s="553"/>
      <c r="L74" s="554"/>
      <c r="M74" s="553"/>
      <c r="N74" s="553"/>
      <c r="O74" s="555"/>
    </row>
    <row r="75" spans="2:15" x14ac:dyDescent="0.3">
      <c r="B75" s="551"/>
      <c r="C75" s="552"/>
      <c r="D75" s="553"/>
      <c r="E75" s="553"/>
      <c r="F75" s="554"/>
      <c r="G75" s="553"/>
      <c r="H75" s="553"/>
      <c r="I75" s="554"/>
      <c r="J75" s="553"/>
      <c r="K75" s="553"/>
      <c r="L75" s="554"/>
      <c r="M75" s="553"/>
      <c r="N75" s="553"/>
      <c r="O75" s="555"/>
    </row>
    <row r="76" spans="2:15" x14ac:dyDescent="0.3">
      <c r="B76" s="551"/>
      <c r="C76" s="552"/>
      <c r="D76" s="553"/>
      <c r="E76" s="553"/>
      <c r="F76" s="554"/>
      <c r="G76" s="553"/>
      <c r="H76" s="553"/>
      <c r="I76" s="554"/>
      <c r="J76" s="553"/>
      <c r="K76" s="553"/>
      <c r="L76" s="554"/>
      <c r="M76" s="553"/>
      <c r="N76" s="553"/>
      <c r="O76" s="555"/>
    </row>
    <row r="77" spans="2:15" x14ac:dyDescent="0.3">
      <c r="B77" s="633"/>
      <c r="C77" s="633"/>
      <c r="D77" s="557"/>
      <c r="E77" s="557"/>
      <c r="F77" s="556"/>
      <c r="G77" s="557"/>
      <c r="H77" s="557"/>
      <c r="I77" s="556"/>
      <c r="J77" s="557"/>
      <c r="K77" s="557"/>
      <c r="L77" s="556"/>
      <c r="M77" s="557"/>
      <c r="N77" s="557"/>
      <c r="O77" s="378"/>
    </row>
  </sheetData>
  <mergeCells count="48">
    <mergeCell ref="B55:C55"/>
    <mergeCell ref="M4:O4"/>
    <mergeCell ref="O5:O6"/>
    <mergeCell ref="M22:O22"/>
    <mergeCell ref="O23:O24"/>
    <mergeCell ref="M40:O40"/>
    <mergeCell ref="O41:O42"/>
    <mergeCell ref="B41:B42"/>
    <mergeCell ref="C41:C42"/>
    <mergeCell ref="F41:F42"/>
    <mergeCell ref="I41:I42"/>
    <mergeCell ref="L41:L42"/>
    <mergeCell ref="B37:C37"/>
    <mergeCell ref="B40:C40"/>
    <mergeCell ref="D40:F40"/>
    <mergeCell ref="G40:I40"/>
    <mergeCell ref="J40:L40"/>
    <mergeCell ref="B23:B24"/>
    <mergeCell ref="C23:C24"/>
    <mergeCell ref="F23:F24"/>
    <mergeCell ref="I23:I24"/>
    <mergeCell ref="L23:L24"/>
    <mergeCell ref="B19:C19"/>
    <mergeCell ref="B22:C22"/>
    <mergeCell ref="D22:F22"/>
    <mergeCell ref="G22:I22"/>
    <mergeCell ref="J22:L22"/>
    <mergeCell ref="G4:I4"/>
    <mergeCell ref="J4:L4"/>
    <mergeCell ref="B5:B6"/>
    <mergeCell ref="C5:C6"/>
    <mergeCell ref="F5:F6"/>
    <mergeCell ref="I5:I6"/>
    <mergeCell ref="L5:L6"/>
    <mergeCell ref="B4:C4"/>
    <mergeCell ref="D4:F4"/>
    <mergeCell ref="B62:C62"/>
    <mergeCell ref="D62:F62"/>
    <mergeCell ref="G62:I62"/>
    <mergeCell ref="J62:L62"/>
    <mergeCell ref="M62:O62"/>
    <mergeCell ref="O63:O64"/>
    <mergeCell ref="B77:C77"/>
    <mergeCell ref="B63:B64"/>
    <mergeCell ref="C63:C64"/>
    <mergeCell ref="F63:F64"/>
    <mergeCell ref="I63:I64"/>
    <mergeCell ref="L63:L64"/>
  </mergeCell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B3:P53"/>
  <sheetViews>
    <sheetView workbookViewId="0">
      <selection activeCell="C10" sqref="C10"/>
    </sheetView>
  </sheetViews>
  <sheetFormatPr defaultRowHeight="14.4" x14ac:dyDescent="0.3"/>
  <cols>
    <col min="2" max="2" width="14" bestFit="1" customWidth="1"/>
    <col min="3" max="4" width="11.33203125" customWidth="1"/>
    <col min="5" max="5" width="11.44140625" customWidth="1"/>
    <col min="7" max="7" width="11.5546875" customWidth="1"/>
    <col min="8" max="8" width="13" customWidth="1"/>
    <col min="13" max="13" width="15" customWidth="1"/>
    <col min="14" max="14" width="14.44140625" customWidth="1"/>
  </cols>
  <sheetData>
    <row r="3" spans="2:16" x14ac:dyDescent="0.3">
      <c r="B3" s="4" t="s">
        <v>27</v>
      </c>
      <c r="C3" s="4"/>
      <c r="D3" s="4"/>
      <c r="P3" s="10" t="s">
        <v>53</v>
      </c>
    </row>
    <row r="4" spans="2:16" x14ac:dyDescent="0.3">
      <c r="P4" s="10" t="s">
        <v>54</v>
      </c>
    </row>
    <row r="5" spans="2:16" x14ac:dyDescent="0.3">
      <c r="B5" s="3" t="s">
        <v>21</v>
      </c>
      <c r="C5" s="3">
        <v>1</v>
      </c>
      <c r="D5" s="3">
        <v>2</v>
      </c>
      <c r="E5" s="3">
        <v>3</v>
      </c>
      <c r="F5" s="3">
        <v>4</v>
      </c>
      <c r="G5" s="3">
        <v>5</v>
      </c>
      <c r="H5" s="3">
        <v>6</v>
      </c>
      <c r="I5" s="3">
        <v>7</v>
      </c>
      <c r="J5" s="3">
        <v>8</v>
      </c>
      <c r="K5" s="3">
        <v>9</v>
      </c>
      <c r="L5" s="3">
        <v>10</v>
      </c>
      <c r="M5" s="3">
        <v>11</v>
      </c>
      <c r="N5" s="3">
        <v>12</v>
      </c>
      <c r="P5" s="10" t="s">
        <v>55</v>
      </c>
    </row>
    <row r="6" spans="2:16" x14ac:dyDescent="0.3">
      <c r="B6" s="3" t="s">
        <v>22</v>
      </c>
      <c r="C6" s="5">
        <v>-1.7</v>
      </c>
      <c r="D6" s="5">
        <v>-0.7</v>
      </c>
      <c r="E6" s="5">
        <v>4.5</v>
      </c>
      <c r="F6" s="5">
        <v>11</v>
      </c>
      <c r="G6" s="5">
        <v>17</v>
      </c>
      <c r="H6" s="5">
        <v>19.7</v>
      </c>
      <c r="I6" s="5">
        <v>21.1</v>
      </c>
      <c r="J6" s="5">
        <v>21</v>
      </c>
      <c r="K6" s="5">
        <v>15.3</v>
      </c>
      <c r="L6" s="5">
        <v>10.6</v>
      </c>
      <c r="M6" s="5">
        <v>5.4</v>
      </c>
      <c r="N6" s="5">
        <v>-0.8</v>
      </c>
      <c r="P6" s="10" t="s">
        <v>56</v>
      </c>
    </row>
    <row r="7" spans="2:16" x14ac:dyDescent="0.3">
      <c r="B7" s="3" t="s">
        <v>17</v>
      </c>
      <c r="C7" s="6">
        <v>9</v>
      </c>
      <c r="D7" s="6">
        <v>14</v>
      </c>
      <c r="E7" s="6">
        <v>25</v>
      </c>
      <c r="F7" s="6">
        <v>33</v>
      </c>
      <c r="G7" s="6">
        <v>46</v>
      </c>
      <c r="H7" s="6">
        <v>53</v>
      </c>
      <c r="I7" s="6">
        <v>53</v>
      </c>
      <c r="J7" s="6">
        <v>37</v>
      </c>
      <c r="K7" s="6">
        <v>27</v>
      </c>
      <c r="L7" s="6">
        <v>19</v>
      </c>
      <c r="M7" s="6">
        <v>12</v>
      </c>
      <c r="N7" s="6">
        <v>9</v>
      </c>
    </row>
    <row r="8" spans="2:16" x14ac:dyDescent="0.3">
      <c r="B8" s="3" t="s">
        <v>18</v>
      </c>
      <c r="C8" s="6">
        <v>17</v>
      </c>
      <c r="D8" s="6">
        <v>32</v>
      </c>
      <c r="E8" s="6">
        <v>63</v>
      </c>
      <c r="F8" s="6">
        <v>87</v>
      </c>
      <c r="G8" s="6">
        <v>111</v>
      </c>
      <c r="H8" s="6">
        <v>105</v>
      </c>
      <c r="I8" s="6">
        <v>117</v>
      </c>
      <c r="J8" s="6">
        <v>100</v>
      </c>
      <c r="K8" s="6">
        <v>76</v>
      </c>
      <c r="L8" s="6">
        <v>53</v>
      </c>
      <c r="M8" s="6">
        <v>28</v>
      </c>
      <c r="N8" s="6">
        <v>16</v>
      </c>
    </row>
    <row r="9" spans="2:16" x14ac:dyDescent="0.3">
      <c r="B9" s="3" t="s">
        <v>19</v>
      </c>
      <c r="C9" s="6">
        <v>47</v>
      </c>
      <c r="D9" s="6">
        <v>72</v>
      </c>
      <c r="E9" s="6">
        <v>112</v>
      </c>
      <c r="F9" s="6">
        <v>109</v>
      </c>
      <c r="G9" s="6">
        <v>104</v>
      </c>
      <c r="H9" s="6">
        <v>90</v>
      </c>
      <c r="I9" s="6">
        <v>100</v>
      </c>
      <c r="J9" s="6">
        <v>111</v>
      </c>
      <c r="K9" s="6">
        <v>119</v>
      </c>
      <c r="L9" s="6">
        <v>115</v>
      </c>
      <c r="M9" s="6">
        <v>75</v>
      </c>
      <c r="N9" s="6">
        <v>49</v>
      </c>
    </row>
    <row r="10" spans="2:16" x14ac:dyDescent="0.3">
      <c r="B10" s="3" t="s">
        <v>20</v>
      </c>
      <c r="C10" s="6">
        <v>19</v>
      </c>
      <c r="D10" s="6">
        <v>32</v>
      </c>
      <c r="E10" s="6">
        <v>66</v>
      </c>
      <c r="F10" s="6">
        <v>87</v>
      </c>
      <c r="G10" s="6">
        <v>106</v>
      </c>
      <c r="H10" s="6">
        <v>103</v>
      </c>
      <c r="I10" s="6">
        <v>108</v>
      </c>
      <c r="J10" s="6">
        <v>97</v>
      </c>
      <c r="K10" s="6">
        <v>79</v>
      </c>
      <c r="L10" s="6">
        <v>59</v>
      </c>
      <c r="M10" s="6">
        <v>30</v>
      </c>
      <c r="N10" s="6">
        <v>19</v>
      </c>
    </row>
    <row r="11" spans="2:16" x14ac:dyDescent="0.3">
      <c r="B11" s="3" t="s">
        <v>23</v>
      </c>
      <c r="C11" s="6">
        <v>27</v>
      </c>
      <c r="D11" s="6">
        <v>49</v>
      </c>
      <c r="E11" s="6">
        <v>100</v>
      </c>
      <c r="F11" s="6">
        <v>140</v>
      </c>
      <c r="G11" s="6">
        <v>180</v>
      </c>
      <c r="H11" s="6">
        <v>177</v>
      </c>
      <c r="I11" s="6">
        <v>187</v>
      </c>
      <c r="J11" s="6">
        <v>164</v>
      </c>
      <c r="K11" s="6">
        <v>122</v>
      </c>
      <c r="L11" s="6">
        <v>81</v>
      </c>
      <c r="M11" s="6">
        <v>41</v>
      </c>
      <c r="N11" s="6">
        <v>26</v>
      </c>
    </row>
    <row r="12" spans="2:16" x14ac:dyDescent="0.3">
      <c r="B12" s="3" t="s">
        <v>24</v>
      </c>
      <c r="C12" s="5">
        <v>-3.6</v>
      </c>
      <c r="D12" s="5">
        <v>-3.4</v>
      </c>
      <c r="E12" s="5">
        <v>-0.3</v>
      </c>
      <c r="F12" s="5">
        <v>4.7</v>
      </c>
      <c r="G12" s="5">
        <v>10.4</v>
      </c>
      <c r="H12" s="5">
        <v>13.3</v>
      </c>
      <c r="I12" s="5">
        <v>15.5</v>
      </c>
      <c r="J12" s="5">
        <v>14.9</v>
      </c>
      <c r="K12" s="5">
        <v>10.7</v>
      </c>
      <c r="L12" s="5">
        <v>6.9</v>
      </c>
      <c r="M12" s="5">
        <v>2.5</v>
      </c>
      <c r="N12" s="5">
        <v>-2.7</v>
      </c>
    </row>
    <row r="13" spans="2:16" x14ac:dyDescent="0.3">
      <c r="B13" s="3" t="s">
        <v>25</v>
      </c>
      <c r="C13" s="5">
        <v>-11.7</v>
      </c>
      <c r="D13" s="5">
        <v>-12.4</v>
      </c>
      <c r="E13" s="5">
        <v>-8.4</v>
      </c>
      <c r="F13" s="5">
        <v>-2.4</v>
      </c>
      <c r="G13" s="5">
        <v>4.5</v>
      </c>
      <c r="H13" s="5">
        <v>7.4</v>
      </c>
      <c r="I13" s="5">
        <v>9.6</v>
      </c>
      <c r="J13" s="5">
        <v>9.6999999999999993</v>
      </c>
      <c r="K13" s="5">
        <v>4.5999999999999996</v>
      </c>
      <c r="L13" s="5">
        <v>-0.2</v>
      </c>
      <c r="M13" s="5">
        <v>-4.9000000000000004</v>
      </c>
      <c r="N13" s="5">
        <v>-11.4</v>
      </c>
    </row>
    <row r="14" spans="2:16" x14ac:dyDescent="0.3">
      <c r="B14" s="3" t="s">
        <v>26</v>
      </c>
      <c r="C14" s="5">
        <v>-1.7</v>
      </c>
      <c r="D14" s="5">
        <v>-0.7</v>
      </c>
      <c r="E14" s="5">
        <v>4.5</v>
      </c>
      <c r="F14" s="5">
        <v>11</v>
      </c>
      <c r="G14" s="5">
        <v>17</v>
      </c>
      <c r="H14" s="5">
        <v>19.7</v>
      </c>
      <c r="I14" s="5">
        <v>21.1</v>
      </c>
      <c r="J14" s="5">
        <v>21</v>
      </c>
      <c r="K14" s="5">
        <v>15.3</v>
      </c>
      <c r="L14" s="5">
        <v>10.6</v>
      </c>
      <c r="M14" s="5">
        <v>5.4</v>
      </c>
      <c r="N14" s="5">
        <v>-0.8</v>
      </c>
    </row>
    <row r="16" spans="2:16" x14ac:dyDescent="0.3">
      <c r="B16" s="7" t="s">
        <v>28</v>
      </c>
      <c r="D16" s="4"/>
      <c r="E16" s="1" t="s">
        <v>29</v>
      </c>
    </row>
    <row r="18" spans="2:14" x14ac:dyDescent="0.3">
      <c r="B18" s="3" t="s">
        <v>21</v>
      </c>
      <c r="C18" s="3">
        <v>1</v>
      </c>
      <c r="D18" s="3">
        <v>2</v>
      </c>
      <c r="E18" s="3">
        <v>3</v>
      </c>
      <c r="F18" s="3">
        <v>4</v>
      </c>
      <c r="G18" s="3">
        <v>5</v>
      </c>
      <c r="H18" s="3">
        <v>6</v>
      </c>
      <c r="I18" s="3">
        <v>7</v>
      </c>
      <c r="J18" s="3">
        <v>8</v>
      </c>
      <c r="K18" s="3">
        <v>9</v>
      </c>
      <c r="L18" s="3">
        <v>10</v>
      </c>
      <c r="M18" s="3">
        <v>11</v>
      </c>
      <c r="N18" s="3">
        <v>12</v>
      </c>
    </row>
    <row r="19" spans="2:14" x14ac:dyDescent="0.3">
      <c r="B19" s="3" t="s">
        <v>22</v>
      </c>
      <c r="C19" s="8">
        <v>-1.7</v>
      </c>
      <c r="D19" s="8">
        <v>-0.7</v>
      </c>
      <c r="E19" s="8">
        <v>4.5</v>
      </c>
      <c r="F19" s="8">
        <v>11</v>
      </c>
      <c r="G19" s="8">
        <v>17</v>
      </c>
      <c r="H19" s="8">
        <v>19.7</v>
      </c>
      <c r="I19" s="8">
        <v>21.1</v>
      </c>
      <c r="J19" s="8">
        <v>21</v>
      </c>
      <c r="K19" s="8">
        <v>15.3</v>
      </c>
      <c r="L19" s="8">
        <v>10.6</v>
      </c>
      <c r="M19" s="8">
        <v>5.4</v>
      </c>
      <c r="N19" s="8">
        <v>-0.8</v>
      </c>
    </row>
    <row r="20" spans="2:14" x14ac:dyDescent="0.3">
      <c r="B20" s="3" t="s">
        <v>17</v>
      </c>
      <c r="C20" s="9">
        <v>9</v>
      </c>
      <c r="D20" s="9">
        <v>14</v>
      </c>
      <c r="E20" s="9">
        <v>25</v>
      </c>
      <c r="F20" s="9">
        <v>33</v>
      </c>
      <c r="G20" s="9">
        <v>46</v>
      </c>
      <c r="H20" s="9">
        <v>53</v>
      </c>
      <c r="I20" s="9">
        <v>53</v>
      </c>
      <c r="J20" s="9">
        <v>37</v>
      </c>
      <c r="K20" s="9">
        <v>27</v>
      </c>
      <c r="L20" s="9">
        <v>19</v>
      </c>
      <c r="M20" s="9">
        <v>12</v>
      </c>
      <c r="N20" s="9">
        <v>9</v>
      </c>
    </row>
    <row r="21" spans="2:14" x14ac:dyDescent="0.3">
      <c r="B21" s="3" t="s">
        <v>18</v>
      </c>
      <c r="C21" s="9">
        <v>17</v>
      </c>
      <c r="D21" s="9">
        <v>32</v>
      </c>
      <c r="E21" s="9">
        <v>63</v>
      </c>
      <c r="F21" s="9">
        <v>87</v>
      </c>
      <c r="G21" s="9">
        <v>111</v>
      </c>
      <c r="H21" s="9">
        <v>105</v>
      </c>
      <c r="I21" s="9">
        <v>117</v>
      </c>
      <c r="J21" s="9">
        <v>100</v>
      </c>
      <c r="K21" s="9">
        <v>76</v>
      </c>
      <c r="L21" s="9">
        <v>53</v>
      </c>
      <c r="M21" s="9">
        <v>28</v>
      </c>
      <c r="N21" s="9">
        <v>16</v>
      </c>
    </row>
    <row r="22" spans="2:14" x14ac:dyDescent="0.3">
      <c r="B22" s="3" t="s">
        <v>19</v>
      </c>
      <c r="C22" s="9">
        <v>47</v>
      </c>
      <c r="D22" s="9">
        <v>72</v>
      </c>
      <c r="E22" s="9">
        <v>112</v>
      </c>
      <c r="F22" s="9">
        <v>109</v>
      </c>
      <c r="G22" s="9">
        <v>104</v>
      </c>
      <c r="H22" s="9">
        <v>90</v>
      </c>
      <c r="I22" s="9">
        <v>100</v>
      </c>
      <c r="J22" s="9">
        <v>111</v>
      </c>
      <c r="K22" s="9">
        <v>119</v>
      </c>
      <c r="L22" s="9">
        <v>115</v>
      </c>
      <c r="M22" s="9">
        <v>75</v>
      </c>
      <c r="N22" s="9">
        <v>49</v>
      </c>
    </row>
    <row r="23" spans="2:14" x14ac:dyDescent="0.3">
      <c r="B23" s="3" t="s">
        <v>20</v>
      </c>
      <c r="C23" s="9">
        <v>19</v>
      </c>
      <c r="D23" s="9">
        <v>32</v>
      </c>
      <c r="E23" s="9">
        <v>66</v>
      </c>
      <c r="F23" s="9">
        <v>87</v>
      </c>
      <c r="G23" s="9">
        <v>106</v>
      </c>
      <c r="H23" s="9">
        <v>103</v>
      </c>
      <c r="I23" s="9">
        <v>108</v>
      </c>
      <c r="J23" s="9">
        <v>97</v>
      </c>
      <c r="K23" s="9">
        <v>79</v>
      </c>
      <c r="L23" s="9">
        <v>59</v>
      </c>
      <c r="M23" s="9">
        <v>30</v>
      </c>
      <c r="N23" s="9">
        <v>19</v>
      </c>
    </row>
    <row r="24" spans="2:14" x14ac:dyDescent="0.3">
      <c r="B24" s="3" t="s">
        <v>23</v>
      </c>
      <c r="C24" s="9">
        <v>27</v>
      </c>
      <c r="D24" s="9">
        <v>49</v>
      </c>
      <c r="E24" s="9">
        <v>100</v>
      </c>
      <c r="F24" s="9">
        <v>140</v>
      </c>
      <c r="G24" s="9">
        <v>180</v>
      </c>
      <c r="H24" s="9">
        <v>177</v>
      </c>
      <c r="I24" s="9">
        <v>187</v>
      </c>
      <c r="J24" s="9">
        <v>164</v>
      </c>
      <c r="K24" s="9">
        <v>122</v>
      </c>
      <c r="L24" s="9">
        <v>81</v>
      </c>
      <c r="M24" s="9">
        <v>41</v>
      </c>
      <c r="N24" s="9">
        <v>26</v>
      </c>
    </row>
    <row r="25" spans="2:14" x14ac:dyDescent="0.3">
      <c r="B25" s="3" t="s">
        <v>24</v>
      </c>
      <c r="C25" s="8">
        <v>-3.6</v>
      </c>
      <c r="D25" s="8">
        <v>-3.4</v>
      </c>
      <c r="E25" s="8">
        <v>-0.3</v>
      </c>
      <c r="F25" s="8">
        <v>4.7</v>
      </c>
      <c r="G25" s="8">
        <v>10.4</v>
      </c>
      <c r="H25" s="8">
        <v>13.3</v>
      </c>
      <c r="I25" s="8">
        <v>15.5</v>
      </c>
      <c r="J25" s="8">
        <v>14.9</v>
      </c>
      <c r="K25" s="8">
        <v>10.7</v>
      </c>
      <c r="L25" s="8">
        <v>6.9</v>
      </c>
      <c r="M25" s="8">
        <v>2.5</v>
      </c>
      <c r="N25" s="8">
        <v>-2.7</v>
      </c>
    </row>
    <row r="26" spans="2:14" x14ac:dyDescent="0.3">
      <c r="B26" s="3" t="s">
        <v>25</v>
      </c>
      <c r="C26" s="8">
        <v>-11.7</v>
      </c>
      <c r="D26" s="8">
        <v>-12.4</v>
      </c>
      <c r="E26" s="8">
        <v>-8.4</v>
      </c>
      <c r="F26" s="8">
        <v>-2.4</v>
      </c>
      <c r="G26" s="8">
        <v>4.5</v>
      </c>
      <c r="H26" s="8">
        <v>7.4</v>
      </c>
      <c r="I26" s="8">
        <v>9.6</v>
      </c>
      <c r="J26" s="8">
        <v>9.6999999999999993</v>
      </c>
      <c r="K26" s="8">
        <v>4.5999999999999996</v>
      </c>
      <c r="L26" s="8">
        <v>-0.2</v>
      </c>
      <c r="M26" s="8">
        <v>-4.9000000000000004</v>
      </c>
      <c r="N26" s="8">
        <v>-11.4</v>
      </c>
    </row>
    <row r="27" spans="2:14" x14ac:dyDescent="0.3">
      <c r="B27" s="3" t="s">
        <v>26</v>
      </c>
      <c r="C27" s="8">
        <v>-1.7</v>
      </c>
      <c r="D27" s="8">
        <v>-0.7</v>
      </c>
      <c r="E27" s="8">
        <v>4.5</v>
      </c>
      <c r="F27" s="8">
        <v>11</v>
      </c>
      <c r="G27" s="8">
        <v>17</v>
      </c>
      <c r="H27" s="8">
        <v>19.7</v>
      </c>
      <c r="I27" s="8">
        <v>21.1</v>
      </c>
      <c r="J27" s="8">
        <v>21</v>
      </c>
      <c r="K27" s="8">
        <v>15.3</v>
      </c>
      <c r="L27" s="8">
        <v>10.6</v>
      </c>
      <c r="M27" s="8">
        <v>5.4</v>
      </c>
      <c r="N27" s="8">
        <v>-0.8</v>
      </c>
    </row>
    <row r="29" spans="2:14" x14ac:dyDescent="0.3">
      <c r="B29" s="7" t="s">
        <v>28</v>
      </c>
      <c r="D29" s="4"/>
      <c r="E29" s="1" t="s">
        <v>29</v>
      </c>
    </row>
    <row r="31" spans="2:14" x14ac:dyDescent="0.3">
      <c r="B31" s="3" t="s">
        <v>21</v>
      </c>
      <c r="C31" s="3">
        <v>1</v>
      </c>
      <c r="D31" s="3">
        <v>2</v>
      </c>
      <c r="E31" s="3">
        <v>3</v>
      </c>
      <c r="F31" s="3">
        <v>4</v>
      </c>
      <c r="G31" s="3">
        <v>5</v>
      </c>
      <c r="H31" s="3">
        <v>6</v>
      </c>
      <c r="I31" s="3">
        <v>7</v>
      </c>
      <c r="J31" s="3">
        <v>8</v>
      </c>
      <c r="K31" s="3">
        <v>9</v>
      </c>
      <c r="L31" s="3">
        <v>10</v>
      </c>
      <c r="M31" s="3">
        <v>11</v>
      </c>
      <c r="N31" s="3">
        <v>12</v>
      </c>
    </row>
    <row r="32" spans="2:14" x14ac:dyDescent="0.3">
      <c r="B32" s="3" t="s">
        <v>22</v>
      </c>
      <c r="C32" s="8">
        <v>-1.7</v>
      </c>
      <c r="D32" s="8">
        <v>-0.7</v>
      </c>
      <c r="E32" s="8">
        <v>4.5</v>
      </c>
      <c r="F32" s="8">
        <v>11</v>
      </c>
      <c r="G32" s="8">
        <v>17</v>
      </c>
      <c r="H32" s="8">
        <v>19.7</v>
      </c>
      <c r="I32" s="8">
        <v>21.1</v>
      </c>
      <c r="J32" s="8">
        <v>21</v>
      </c>
      <c r="K32" s="8">
        <v>15.3</v>
      </c>
      <c r="L32" s="8">
        <v>10.6</v>
      </c>
      <c r="M32" s="8">
        <v>5.4</v>
      </c>
      <c r="N32" s="8">
        <v>-0.8</v>
      </c>
    </row>
    <row r="33" spans="2:14" x14ac:dyDescent="0.3">
      <c r="B33" s="3" t="s">
        <v>17</v>
      </c>
      <c r="C33" s="9">
        <v>9</v>
      </c>
      <c r="D33" s="9">
        <v>14</v>
      </c>
      <c r="E33" s="9">
        <v>25</v>
      </c>
      <c r="F33" s="9">
        <v>33</v>
      </c>
      <c r="G33" s="9">
        <v>46</v>
      </c>
      <c r="H33" s="9">
        <v>53</v>
      </c>
      <c r="I33" s="9">
        <v>53</v>
      </c>
      <c r="J33" s="9">
        <v>37</v>
      </c>
      <c r="K33" s="9">
        <v>27</v>
      </c>
      <c r="L33" s="9">
        <v>19</v>
      </c>
      <c r="M33" s="9">
        <v>12</v>
      </c>
      <c r="N33" s="9">
        <v>9</v>
      </c>
    </row>
    <row r="34" spans="2:14" x14ac:dyDescent="0.3">
      <c r="B34" s="3" t="s">
        <v>18</v>
      </c>
      <c r="C34" s="9">
        <v>17</v>
      </c>
      <c r="D34" s="9">
        <v>32</v>
      </c>
      <c r="E34" s="9">
        <v>63</v>
      </c>
      <c r="F34" s="9">
        <v>87</v>
      </c>
      <c r="G34" s="9">
        <v>111</v>
      </c>
      <c r="H34" s="9">
        <v>105</v>
      </c>
      <c r="I34" s="9">
        <v>117</v>
      </c>
      <c r="J34" s="9">
        <v>100</v>
      </c>
      <c r="K34" s="9">
        <v>76</v>
      </c>
      <c r="L34" s="9">
        <v>53</v>
      </c>
      <c r="M34" s="9">
        <v>28</v>
      </c>
      <c r="N34" s="9">
        <v>16</v>
      </c>
    </row>
    <row r="35" spans="2:14" x14ac:dyDescent="0.3">
      <c r="B35" s="3" t="s">
        <v>19</v>
      </c>
      <c r="C35" s="9">
        <v>47</v>
      </c>
      <c r="D35" s="9">
        <v>72</v>
      </c>
      <c r="E35" s="9">
        <v>112</v>
      </c>
      <c r="F35" s="9">
        <v>109</v>
      </c>
      <c r="G35" s="9">
        <v>104</v>
      </c>
      <c r="H35" s="9">
        <v>90</v>
      </c>
      <c r="I35" s="9">
        <v>100</v>
      </c>
      <c r="J35" s="9">
        <v>111</v>
      </c>
      <c r="K35" s="9">
        <v>119</v>
      </c>
      <c r="L35" s="9">
        <v>115</v>
      </c>
      <c r="M35" s="9">
        <v>75</v>
      </c>
      <c r="N35" s="9">
        <v>49</v>
      </c>
    </row>
    <row r="36" spans="2:14" x14ac:dyDescent="0.3">
      <c r="B36" s="3" t="s">
        <v>20</v>
      </c>
      <c r="C36" s="9">
        <v>19</v>
      </c>
      <c r="D36" s="9">
        <v>32</v>
      </c>
      <c r="E36" s="9">
        <v>66</v>
      </c>
      <c r="F36" s="9">
        <v>87</v>
      </c>
      <c r="G36" s="9">
        <v>106</v>
      </c>
      <c r="H36" s="9">
        <v>103</v>
      </c>
      <c r="I36" s="9">
        <v>108</v>
      </c>
      <c r="J36" s="9">
        <v>97</v>
      </c>
      <c r="K36" s="9">
        <v>79</v>
      </c>
      <c r="L36" s="9">
        <v>59</v>
      </c>
      <c r="M36" s="9">
        <v>30</v>
      </c>
      <c r="N36" s="9">
        <v>19</v>
      </c>
    </row>
    <row r="37" spans="2:14" x14ac:dyDescent="0.3">
      <c r="B37" s="3" t="s">
        <v>23</v>
      </c>
      <c r="C37" s="9">
        <v>27</v>
      </c>
      <c r="D37" s="9">
        <v>49</v>
      </c>
      <c r="E37" s="9">
        <v>100</v>
      </c>
      <c r="F37" s="9">
        <v>140</v>
      </c>
      <c r="G37" s="9">
        <v>180</v>
      </c>
      <c r="H37" s="9">
        <v>177</v>
      </c>
      <c r="I37" s="9">
        <v>187</v>
      </c>
      <c r="J37" s="9">
        <v>164</v>
      </c>
      <c r="K37" s="9">
        <v>122</v>
      </c>
      <c r="L37" s="9">
        <v>81</v>
      </c>
      <c r="M37" s="9">
        <v>41</v>
      </c>
      <c r="N37" s="9">
        <v>26</v>
      </c>
    </row>
    <row r="38" spans="2:14" x14ac:dyDescent="0.3">
      <c r="B38" s="3" t="s">
        <v>24</v>
      </c>
      <c r="C38" s="8">
        <v>-3.6</v>
      </c>
      <c r="D38" s="8">
        <v>-3.4</v>
      </c>
      <c r="E38" s="8">
        <v>-0.3</v>
      </c>
      <c r="F38" s="8">
        <v>4.7</v>
      </c>
      <c r="G38" s="8">
        <v>10.4</v>
      </c>
      <c r="H38" s="8">
        <v>13.3</v>
      </c>
      <c r="I38" s="8">
        <v>15.5</v>
      </c>
      <c r="J38" s="8">
        <v>14.9</v>
      </c>
      <c r="K38" s="8">
        <v>10.7</v>
      </c>
      <c r="L38" s="8">
        <v>6.9</v>
      </c>
      <c r="M38" s="8">
        <v>2.5</v>
      </c>
      <c r="N38" s="8">
        <v>-2.7</v>
      </c>
    </row>
    <row r="39" spans="2:14" x14ac:dyDescent="0.3">
      <c r="B39" s="3" t="s">
        <v>25</v>
      </c>
      <c r="C39" s="8">
        <v>-11.7</v>
      </c>
      <c r="D39" s="8">
        <v>-12.4</v>
      </c>
      <c r="E39" s="8">
        <v>-8.4</v>
      </c>
      <c r="F39" s="8">
        <v>-2.4</v>
      </c>
      <c r="G39" s="8">
        <v>4.5</v>
      </c>
      <c r="H39" s="8">
        <v>7.4</v>
      </c>
      <c r="I39" s="8">
        <v>9.6</v>
      </c>
      <c r="J39" s="8">
        <v>9.6999999999999993</v>
      </c>
      <c r="K39" s="8">
        <v>4.5999999999999996</v>
      </c>
      <c r="L39" s="8">
        <v>-0.2</v>
      </c>
      <c r="M39" s="8">
        <v>-4.9000000000000004</v>
      </c>
      <c r="N39" s="8">
        <v>-11.4</v>
      </c>
    </row>
    <row r="40" spans="2:14" x14ac:dyDescent="0.3">
      <c r="B40" s="3" t="s">
        <v>26</v>
      </c>
      <c r="C40" s="8">
        <v>-1.7</v>
      </c>
      <c r="D40" s="8">
        <v>-0.7</v>
      </c>
      <c r="E40" s="8">
        <v>4.5</v>
      </c>
      <c r="F40" s="8">
        <v>11</v>
      </c>
      <c r="G40" s="8">
        <v>17</v>
      </c>
      <c r="H40" s="8">
        <v>19.7</v>
      </c>
      <c r="I40" s="8">
        <v>21.1</v>
      </c>
      <c r="J40" s="8">
        <v>21</v>
      </c>
      <c r="K40" s="8">
        <v>15.3</v>
      </c>
      <c r="L40" s="8">
        <v>10.6</v>
      </c>
      <c r="M40" s="8">
        <v>5.4</v>
      </c>
      <c r="N40" s="8">
        <v>-0.8</v>
      </c>
    </row>
    <row r="42" spans="2:14" x14ac:dyDescent="0.3">
      <c r="B42" s="7" t="s">
        <v>28</v>
      </c>
      <c r="D42" s="4"/>
      <c r="E42" s="1" t="s">
        <v>29</v>
      </c>
    </row>
    <row r="44" spans="2:14" x14ac:dyDescent="0.3">
      <c r="B44" s="3" t="s">
        <v>21</v>
      </c>
      <c r="C44" s="3">
        <v>1</v>
      </c>
      <c r="D44" s="3">
        <v>2</v>
      </c>
      <c r="E44" s="3">
        <v>3</v>
      </c>
      <c r="F44" s="3">
        <v>4</v>
      </c>
      <c r="G44" s="3">
        <v>5</v>
      </c>
      <c r="H44" s="3">
        <v>6</v>
      </c>
      <c r="I44" s="3">
        <v>7</v>
      </c>
      <c r="J44" s="3">
        <v>8</v>
      </c>
      <c r="K44" s="3">
        <v>9</v>
      </c>
      <c r="L44" s="3">
        <v>10</v>
      </c>
      <c r="M44" s="3">
        <v>11</v>
      </c>
      <c r="N44" s="3">
        <v>12</v>
      </c>
    </row>
    <row r="45" spans="2:14" x14ac:dyDescent="0.3">
      <c r="B45" s="3" t="s">
        <v>22</v>
      </c>
      <c r="C45" s="8">
        <v>-1.7</v>
      </c>
      <c r="D45" s="8">
        <v>-0.7</v>
      </c>
      <c r="E45" s="8">
        <v>4.5</v>
      </c>
      <c r="F45" s="8">
        <v>11</v>
      </c>
      <c r="G45" s="8">
        <v>17</v>
      </c>
      <c r="H45" s="8">
        <v>19.7</v>
      </c>
      <c r="I45" s="8">
        <v>21.1</v>
      </c>
      <c r="J45" s="8">
        <v>21</v>
      </c>
      <c r="K45" s="8">
        <v>15.3</v>
      </c>
      <c r="L45" s="8">
        <v>10.6</v>
      </c>
      <c r="M45" s="8">
        <v>5.4</v>
      </c>
      <c r="N45" s="8">
        <v>-0.8</v>
      </c>
    </row>
    <row r="46" spans="2:14" x14ac:dyDescent="0.3">
      <c r="B46" s="3" t="s">
        <v>17</v>
      </c>
      <c r="C46" s="9">
        <v>9</v>
      </c>
      <c r="D46" s="9">
        <v>14</v>
      </c>
      <c r="E46" s="9">
        <v>25</v>
      </c>
      <c r="F46" s="9">
        <v>33</v>
      </c>
      <c r="G46" s="9">
        <v>46</v>
      </c>
      <c r="H46" s="9">
        <v>53</v>
      </c>
      <c r="I46" s="9">
        <v>53</v>
      </c>
      <c r="J46" s="9">
        <v>37</v>
      </c>
      <c r="K46" s="9">
        <v>27</v>
      </c>
      <c r="L46" s="9">
        <v>19</v>
      </c>
      <c r="M46" s="9">
        <v>12</v>
      </c>
      <c r="N46" s="9">
        <v>9</v>
      </c>
    </row>
    <row r="47" spans="2:14" x14ac:dyDescent="0.3">
      <c r="B47" s="3" t="s">
        <v>18</v>
      </c>
      <c r="C47" s="9">
        <v>17</v>
      </c>
      <c r="D47" s="9">
        <v>32</v>
      </c>
      <c r="E47" s="9">
        <v>63</v>
      </c>
      <c r="F47" s="9">
        <v>87</v>
      </c>
      <c r="G47" s="9">
        <v>111</v>
      </c>
      <c r="H47" s="9">
        <v>105</v>
      </c>
      <c r="I47" s="9">
        <v>117</v>
      </c>
      <c r="J47" s="9">
        <v>100</v>
      </c>
      <c r="K47" s="9">
        <v>76</v>
      </c>
      <c r="L47" s="9">
        <v>53</v>
      </c>
      <c r="M47" s="9">
        <v>28</v>
      </c>
      <c r="N47" s="9">
        <v>16</v>
      </c>
    </row>
    <row r="48" spans="2:14" x14ac:dyDescent="0.3">
      <c r="B48" s="3" t="s">
        <v>19</v>
      </c>
      <c r="C48" s="9">
        <v>47</v>
      </c>
      <c r="D48" s="9">
        <v>72</v>
      </c>
      <c r="E48" s="9">
        <v>112</v>
      </c>
      <c r="F48" s="9">
        <v>109</v>
      </c>
      <c r="G48" s="9">
        <v>104</v>
      </c>
      <c r="H48" s="9">
        <v>90</v>
      </c>
      <c r="I48" s="9">
        <v>100</v>
      </c>
      <c r="J48" s="9">
        <v>111</v>
      </c>
      <c r="K48" s="9">
        <v>119</v>
      </c>
      <c r="L48" s="9">
        <v>115</v>
      </c>
      <c r="M48" s="9">
        <v>75</v>
      </c>
      <c r="N48" s="9">
        <v>49</v>
      </c>
    </row>
    <row r="49" spans="2:14" x14ac:dyDescent="0.3">
      <c r="B49" s="3" t="s">
        <v>20</v>
      </c>
      <c r="C49" s="9">
        <v>19</v>
      </c>
      <c r="D49" s="9">
        <v>32</v>
      </c>
      <c r="E49" s="9">
        <v>66</v>
      </c>
      <c r="F49" s="9">
        <v>87</v>
      </c>
      <c r="G49" s="9">
        <v>106</v>
      </c>
      <c r="H49" s="9">
        <v>103</v>
      </c>
      <c r="I49" s="9">
        <v>108</v>
      </c>
      <c r="J49" s="9">
        <v>97</v>
      </c>
      <c r="K49" s="9">
        <v>79</v>
      </c>
      <c r="L49" s="9">
        <v>59</v>
      </c>
      <c r="M49" s="9">
        <v>30</v>
      </c>
      <c r="N49" s="9">
        <v>19</v>
      </c>
    </row>
    <row r="50" spans="2:14" x14ac:dyDescent="0.3">
      <c r="B50" s="3" t="s">
        <v>23</v>
      </c>
      <c r="C50" s="9">
        <v>27</v>
      </c>
      <c r="D50" s="9">
        <v>49</v>
      </c>
      <c r="E50" s="9">
        <v>100</v>
      </c>
      <c r="F50" s="9">
        <v>140</v>
      </c>
      <c r="G50" s="9">
        <v>180</v>
      </c>
      <c r="H50" s="9">
        <v>177</v>
      </c>
      <c r="I50" s="9">
        <v>187</v>
      </c>
      <c r="J50" s="9">
        <v>164</v>
      </c>
      <c r="K50" s="9">
        <v>122</v>
      </c>
      <c r="L50" s="9">
        <v>81</v>
      </c>
      <c r="M50" s="9">
        <v>41</v>
      </c>
      <c r="N50" s="9">
        <v>26</v>
      </c>
    </row>
    <row r="51" spans="2:14" x14ac:dyDescent="0.3">
      <c r="B51" s="3" t="s">
        <v>24</v>
      </c>
      <c r="C51" s="8">
        <v>-3.6</v>
      </c>
      <c r="D51" s="8">
        <v>-3.4</v>
      </c>
      <c r="E51" s="8">
        <v>-0.3</v>
      </c>
      <c r="F51" s="8">
        <v>4.7</v>
      </c>
      <c r="G51" s="8">
        <v>10.4</v>
      </c>
      <c r="H51" s="8">
        <v>13.3</v>
      </c>
      <c r="I51" s="8">
        <v>15.5</v>
      </c>
      <c r="J51" s="8">
        <v>14.9</v>
      </c>
      <c r="K51" s="8">
        <v>10.7</v>
      </c>
      <c r="L51" s="8">
        <v>6.9</v>
      </c>
      <c r="M51" s="8">
        <v>2.5</v>
      </c>
      <c r="N51" s="8">
        <v>-2.7</v>
      </c>
    </row>
    <row r="52" spans="2:14" x14ac:dyDescent="0.3">
      <c r="B52" s="3" t="s">
        <v>25</v>
      </c>
      <c r="C52" s="8">
        <v>-11.7</v>
      </c>
      <c r="D52" s="8">
        <v>-12.4</v>
      </c>
      <c r="E52" s="8">
        <v>-8.4</v>
      </c>
      <c r="F52" s="8">
        <v>-2.4</v>
      </c>
      <c r="G52" s="8">
        <v>4.5</v>
      </c>
      <c r="H52" s="8">
        <v>7.4</v>
      </c>
      <c r="I52" s="8">
        <v>9.6</v>
      </c>
      <c r="J52" s="8">
        <v>9.6999999999999993</v>
      </c>
      <c r="K52" s="8">
        <v>4.5999999999999996</v>
      </c>
      <c r="L52" s="8">
        <v>-0.2</v>
      </c>
      <c r="M52" s="8">
        <v>-4.9000000000000004</v>
      </c>
      <c r="N52" s="8">
        <v>-11.4</v>
      </c>
    </row>
    <row r="53" spans="2:14" x14ac:dyDescent="0.3">
      <c r="B53" s="3" t="s">
        <v>26</v>
      </c>
      <c r="C53" s="8">
        <v>-1.7</v>
      </c>
      <c r="D53" s="8">
        <v>-0.7</v>
      </c>
      <c r="E53" s="8">
        <v>4.5</v>
      </c>
      <c r="F53" s="8">
        <v>11</v>
      </c>
      <c r="G53" s="8">
        <v>17</v>
      </c>
      <c r="H53" s="8">
        <v>19.7</v>
      </c>
      <c r="I53" s="8">
        <v>21.1</v>
      </c>
      <c r="J53" s="8">
        <v>21</v>
      </c>
      <c r="K53" s="8">
        <v>15.3</v>
      </c>
      <c r="L53" s="8">
        <v>10.6</v>
      </c>
      <c r="M53" s="8">
        <v>5.4</v>
      </c>
      <c r="N53" s="8">
        <v>-0.8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A201"/>
  <sheetViews>
    <sheetView topLeftCell="A78" zoomScale="124" zoomScaleNormal="119" workbookViewId="0">
      <selection activeCell="M85" sqref="M85:N85"/>
    </sheetView>
  </sheetViews>
  <sheetFormatPr defaultColWidth="8.6640625" defaultRowHeight="14.4" x14ac:dyDescent="0.3"/>
  <cols>
    <col min="3" max="3" width="3.33203125" customWidth="1"/>
    <col min="4" max="4" width="18.5546875" customWidth="1"/>
    <col min="10" max="10" width="3.33203125" customWidth="1"/>
    <col min="11" max="11" width="18.5546875" customWidth="1"/>
    <col min="12" max="12" width="8.6640625" customWidth="1"/>
    <col min="14" max="14" width="8.6640625" customWidth="1"/>
    <col min="17" max="17" width="10.5546875" customWidth="1"/>
    <col min="21" max="22" width="8.6640625" customWidth="1"/>
    <col min="25" max="25" width="16.5546875" customWidth="1"/>
    <col min="26" max="26" width="10" customWidth="1"/>
  </cols>
  <sheetData>
    <row r="1" spans="2:27" x14ac:dyDescent="0.3">
      <c r="C1" s="176"/>
      <c r="D1" s="176"/>
      <c r="J1" s="176"/>
      <c r="K1" s="176"/>
    </row>
    <row r="2" spans="2:27" ht="15" thickBot="1" x14ac:dyDescent="0.35">
      <c r="C2" s="176" t="s">
        <v>811</v>
      </c>
      <c r="D2" s="31"/>
      <c r="E2" s="31"/>
      <c r="F2" s="31"/>
      <c r="G2" s="31"/>
      <c r="H2" s="31"/>
      <c r="J2" t="s">
        <v>812</v>
      </c>
    </row>
    <row r="3" spans="2:27" ht="15" thickBot="1" x14ac:dyDescent="0.35">
      <c r="C3" s="649" t="s">
        <v>685</v>
      </c>
      <c r="D3" s="650"/>
      <c r="E3" s="653" t="s">
        <v>686</v>
      </c>
      <c r="F3" s="653" t="s">
        <v>687</v>
      </c>
      <c r="G3" s="653"/>
      <c r="H3" s="661" t="s">
        <v>688</v>
      </c>
      <c r="J3" s="649" t="s">
        <v>685</v>
      </c>
      <c r="K3" s="650"/>
      <c r="L3" s="653" t="s">
        <v>686</v>
      </c>
      <c r="M3" s="653" t="s">
        <v>687</v>
      </c>
      <c r="N3" s="653"/>
      <c r="O3" s="661" t="s">
        <v>688</v>
      </c>
      <c r="Q3" s="94" t="s">
        <v>167</v>
      </c>
      <c r="R3" s="95"/>
      <c r="S3" s="95"/>
      <c r="T3" s="95"/>
      <c r="U3" s="95"/>
      <c r="V3" s="10"/>
      <c r="W3" s="10"/>
    </row>
    <row r="4" spans="2:27" x14ac:dyDescent="0.3">
      <c r="C4" s="651"/>
      <c r="D4" s="652"/>
      <c r="E4" s="654"/>
      <c r="F4" s="654"/>
      <c r="G4" s="654"/>
      <c r="H4" s="662"/>
      <c r="J4" s="651"/>
      <c r="K4" s="652"/>
      <c r="L4" s="654"/>
      <c r="M4" s="654"/>
      <c r="N4" s="654"/>
      <c r="O4" s="662"/>
      <c r="Q4" s="347" t="s">
        <v>168</v>
      </c>
      <c r="R4" s="343"/>
      <c r="S4" s="343"/>
      <c r="T4" s="343" t="s">
        <v>60</v>
      </c>
      <c r="U4" s="345" t="s">
        <v>61</v>
      </c>
    </row>
    <row r="5" spans="2:27" x14ac:dyDescent="0.3">
      <c r="B5" s="31"/>
      <c r="C5" s="651"/>
      <c r="D5" s="652"/>
      <c r="E5" s="483" t="s">
        <v>57</v>
      </c>
      <c r="F5" s="663" t="s">
        <v>58</v>
      </c>
      <c r="G5" s="663"/>
      <c r="H5" s="32" t="s">
        <v>59</v>
      </c>
      <c r="I5" s="31"/>
      <c r="J5" s="651"/>
      <c r="K5" s="652"/>
      <c r="L5" s="483" t="s">
        <v>57</v>
      </c>
      <c r="M5" s="663" t="s">
        <v>58</v>
      </c>
      <c r="N5" s="663"/>
      <c r="O5" s="32" t="s">
        <v>59</v>
      </c>
      <c r="Q5" s="348"/>
      <c r="R5" s="344"/>
      <c r="S5" s="344"/>
      <c r="T5" s="344"/>
      <c r="U5" s="346"/>
    </row>
    <row r="6" spans="2:27" ht="21" customHeight="1" x14ac:dyDescent="0.3">
      <c r="B6" s="31"/>
      <c r="C6" s="33">
        <v>1</v>
      </c>
      <c r="D6" s="36" t="s">
        <v>689</v>
      </c>
      <c r="E6" s="35">
        <v>2E-3</v>
      </c>
      <c r="F6" s="642">
        <f>IFERROR(VLOOKUP(D6,$Y$7:$Z$46,2,FALSE),"")</f>
        <v>0.7</v>
      </c>
      <c r="G6" s="643"/>
      <c r="H6" s="57">
        <f t="shared" ref="H6:H11" si="0">IFERROR(IF(F6=0,0,E6/F6),"")</f>
        <v>2.8571428571428576E-3</v>
      </c>
      <c r="I6" s="31"/>
      <c r="J6" s="33">
        <v>1</v>
      </c>
      <c r="K6" s="36" t="s">
        <v>689</v>
      </c>
      <c r="L6" s="35">
        <v>2E-3</v>
      </c>
      <c r="M6" s="642">
        <f t="shared" ref="M6:M13" si="1">IFERROR(VLOOKUP(K6,$Y$7:$Z$46,2,FALSE),"")</f>
        <v>0.7</v>
      </c>
      <c r="N6" s="643"/>
      <c r="O6" s="57">
        <f t="shared" ref="O6:O11" si="2">IFERROR(IF(M6=0,0,L6/M6),"")</f>
        <v>2.8571428571428576E-3</v>
      </c>
      <c r="Q6" s="539" t="s">
        <v>868</v>
      </c>
      <c r="R6" s="342"/>
      <c r="S6" s="342"/>
      <c r="T6" s="96">
        <v>0.115</v>
      </c>
      <c r="U6" s="97">
        <v>0.04</v>
      </c>
      <c r="Y6" s="24" t="s">
        <v>110</v>
      </c>
      <c r="Z6" s="25" t="s">
        <v>111</v>
      </c>
      <c r="AA6" s="424" t="s">
        <v>769</v>
      </c>
    </row>
    <row r="7" spans="2:27" x14ac:dyDescent="0.3">
      <c r="B7" s="31"/>
      <c r="C7" s="33">
        <v>2</v>
      </c>
      <c r="D7" s="36" t="s">
        <v>704</v>
      </c>
      <c r="E7" s="35">
        <v>0.01</v>
      </c>
      <c r="F7" s="642">
        <f>IFERROR(VLOOKUP(D7,$Y$7:$Z$46,2,FALSE),"")</f>
        <v>0.76</v>
      </c>
      <c r="G7" s="643"/>
      <c r="H7" s="57">
        <f t="shared" si="0"/>
        <v>1.3157894736842105E-2</v>
      </c>
      <c r="I7" s="31"/>
      <c r="J7" s="33">
        <v>2</v>
      </c>
      <c r="K7" s="36" t="s">
        <v>704</v>
      </c>
      <c r="L7" s="35">
        <v>0.01</v>
      </c>
      <c r="M7" s="642">
        <f t="shared" si="1"/>
        <v>0.76</v>
      </c>
      <c r="N7" s="643"/>
      <c r="O7" s="57">
        <f t="shared" si="2"/>
        <v>1.3157894736842105E-2</v>
      </c>
      <c r="Q7" s="341" t="s">
        <v>869</v>
      </c>
      <c r="R7" s="342"/>
      <c r="S7" s="342"/>
      <c r="T7" s="96">
        <v>0.115</v>
      </c>
      <c r="U7" s="97">
        <v>0.115</v>
      </c>
      <c r="Y7" s="26" t="s">
        <v>689</v>
      </c>
      <c r="Z7" s="27">
        <v>0.7</v>
      </c>
    </row>
    <row r="8" spans="2:27" x14ac:dyDescent="0.3">
      <c r="B8" s="31"/>
      <c r="C8" s="33">
        <v>3</v>
      </c>
      <c r="D8" s="36" t="s">
        <v>706</v>
      </c>
      <c r="E8" s="35">
        <v>0.38</v>
      </c>
      <c r="F8" s="642">
        <f>IFERROR(VLOOKUP(D8,$Y$7:$Z$46,2,FALSE),"")</f>
        <v>0.7</v>
      </c>
      <c r="G8" s="643"/>
      <c r="H8" s="57">
        <f t="shared" si="0"/>
        <v>0.54285714285714293</v>
      </c>
      <c r="I8" s="31"/>
      <c r="J8" s="33">
        <v>3</v>
      </c>
      <c r="K8" s="36" t="s">
        <v>706</v>
      </c>
      <c r="L8" s="35">
        <v>0.38</v>
      </c>
      <c r="M8" s="642">
        <f t="shared" si="1"/>
        <v>0.7</v>
      </c>
      <c r="N8" s="643"/>
      <c r="O8" s="57">
        <f t="shared" si="2"/>
        <v>0.54285714285714293</v>
      </c>
      <c r="Q8" s="341" t="s">
        <v>870</v>
      </c>
      <c r="R8" s="342"/>
      <c r="S8" s="342"/>
      <c r="T8" s="96">
        <v>2.1</v>
      </c>
      <c r="U8" s="97">
        <v>0</v>
      </c>
      <c r="Y8" s="26" t="s">
        <v>693</v>
      </c>
      <c r="Z8" s="27">
        <v>0.76</v>
      </c>
    </row>
    <row r="9" spans="2:27" x14ac:dyDescent="0.3">
      <c r="B9" s="31"/>
      <c r="C9" s="33">
        <v>4</v>
      </c>
      <c r="D9" s="36" t="s">
        <v>704</v>
      </c>
      <c r="E9" s="35">
        <v>0.01</v>
      </c>
      <c r="F9" s="642">
        <f>IFERROR(VLOOKUP(D9,$Y$7:$Z$46,2,FALSE),"")</f>
        <v>0.76</v>
      </c>
      <c r="G9" s="643"/>
      <c r="H9" s="57">
        <f t="shared" si="0"/>
        <v>1.3157894736842105E-2</v>
      </c>
      <c r="I9" s="31"/>
      <c r="J9" s="33">
        <v>4</v>
      </c>
      <c r="K9" s="36" t="s">
        <v>704</v>
      </c>
      <c r="L9" s="35">
        <v>0.01</v>
      </c>
      <c r="M9" s="642">
        <f t="shared" si="1"/>
        <v>0.76</v>
      </c>
      <c r="N9" s="643"/>
      <c r="O9" s="57">
        <f t="shared" si="2"/>
        <v>1.3157894736842105E-2</v>
      </c>
      <c r="Q9" s="341" t="s">
        <v>871</v>
      </c>
      <c r="R9" s="342"/>
      <c r="S9" s="342"/>
      <c r="T9" s="96">
        <v>0.115</v>
      </c>
      <c r="U9" s="97">
        <v>0.04</v>
      </c>
      <c r="Y9" s="26" t="s">
        <v>694</v>
      </c>
      <c r="Z9" s="27">
        <v>1.92</v>
      </c>
    </row>
    <row r="10" spans="2:27" ht="20.399999999999999" x14ac:dyDescent="0.3">
      <c r="B10" s="31"/>
      <c r="C10" s="33">
        <v>5</v>
      </c>
      <c r="D10" s="36"/>
      <c r="E10" s="35"/>
      <c r="F10" s="643" t="str">
        <f>IFERROR(VLOOKUP(D10,$Y$7:$Z$33,2,FALSE),"")</f>
        <v/>
      </c>
      <c r="G10" s="643"/>
      <c r="H10" s="57" t="str">
        <f t="shared" si="0"/>
        <v/>
      </c>
      <c r="I10" s="31"/>
      <c r="J10" s="33">
        <v>5</v>
      </c>
      <c r="K10" s="36"/>
      <c r="L10" s="35"/>
      <c r="M10" s="642" t="str">
        <f t="shared" si="1"/>
        <v/>
      </c>
      <c r="N10" s="643"/>
      <c r="O10" s="57" t="str">
        <f t="shared" si="2"/>
        <v/>
      </c>
      <c r="Q10" s="341" t="s">
        <v>872</v>
      </c>
      <c r="R10" s="342"/>
      <c r="S10" s="342"/>
      <c r="T10" s="96">
        <v>0.115</v>
      </c>
      <c r="U10" s="97">
        <v>8.3000000000000004E-2</v>
      </c>
      <c r="Y10" s="26" t="s">
        <v>695</v>
      </c>
      <c r="Z10" s="27">
        <v>7.0000000000000007E-2</v>
      </c>
    </row>
    <row r="11" spans="2:27" x14ac:dyDescent="0.3">
      <c r="B11" s="31"/>
      <c r="C11" s="33">
        <v>6</v>
      </c>
      <c r="D11" s="36"/>
      <c r="E11" s="35"/>
      <c r="F11" s="642" t="str">
        <f>IFERROR(VLOOKUP(D11,$Y$7:$Z$46,2,FALSE),"")</f>
        <v/>
      </c>
      <c r="G11" s="643"/>
      <c r="H11" s="57" t="str">
        <f t="shared" si="0"/>
        <v/>
      </c>
      <c r="I11" s="31"/>
      <c r="J11" s="33">
        <v>6</v>
      </c>
      <c r="K11" s="36" t="s">
        <v>713</v>
      </c>
      <c r="L11" s="35">
        <v>0.1</v>
      </c>
      <c r="M11" s="642">
        <f t="shared" si="1"/>
        <v>3.7999999999999999E-2</v>
      </c>
      <c r="N11" s="643"/>
      <c r="O11" s="57">
        <f t="shared" si="2"/>
        <v>2.6315789473684212</v>
      </c>
      <c r="Q11" s="341" t="s">
        <v>873</v>
      </c>
      <c r="R11" s="342"/>
      <c r="S11" s="342"/>
      <c r="T11" s="96">
        <v>0.115</v>
      </c>
      <c r="U11" s="97">
        <v>0.04</v>
      </c>
      <c r="Y11" s="26" t="s">
        <v>696</v>
      </c>
      <c r="Z11" s="27">
        <v>1.74</v>
      </c>
    </row>
    <row r="12" spans="2:27" x14ac:dyDescent="0.3">
      <c r="B12" s="31"/>
      <c r="C12" s="33"/>
      <c r="D12" s="36"/>
      <c r="E12" s="35"/>
      <c r="F12" s="531"/>
      <c r="G12" s="90"/>
      <c r="H12" s="57"/>
      <c r="I12" s="31"/>
      <c r="J12" s="33">
        <v>7</v>
      </c>
      <c r="K12" s="36" t="s">
        <v>112</v>
      </c>
      <c r="L12" s="35">
        <v>5.0000000000000001E-3</v>
      </c>
      <c r="M12" s="642">
        <f t="shared" si="1"/>
        <v>0.17</v>
      </c>
      <c r="N12" s="643"/>
      <c r="O12" s="57">
        <f t="shared" ref="O12" si="3">IFERROR(IF(M12=0,0,L12/M12),"")</f>
        <v>2.9411764705882353E-2</v>
      </c>
      <c r="Q12" s="341"/>
      <c r="R12" s="342"/>
      <c r="S12" s="342"/>
      <c r="T12" s="96"/>
      <c r="U12" s="97"/>
      <c r="Y12" s="26" t="s">
        <v>1165</v>
      </c>
      <c r="Z12" s="535">
        <v>5.5E-2</v>
      </c>
    </row>
    <row r="13" spans="2:27" x14ac:dyDescent="0.3">
      <c r="B13" s="31"/>
      <c r="C13" s="33"/>
      <c r="D13" s="36"/>
      <c r="E13" s="35"/>
      <c r="F13" s="531"/>
      <c r="G13" s="90"/>
      <c r="H13" s="57"/>
      <c r="I13" s="31"/>
      <c r="J13" s="33">
        <v>8</v>
      </c>
      <c r="K13" s="36" t="s">
        <v>693</v>
      </c>
      <c r="L13" s="35">
        <v>5.0000000000000001E-3</v>
      </c>
      <c r="M13" s="642">
        <f t="shared" si="1"/>
        <v>0.76</v>
      </c>
      <c r="N13" s="643"/>
      <c r="O13" s="57">
        <f t="shared" ref="O13" si="4">IFERROR(IF(M13=0,0,L13/M13),"")</f>
        <v>6.5789473684210523E-3</v>
      </c>
      <c r="Q13" s="341"/>
      <c r="R13" s="342"/>
      <c r="S13" s="342"/>
      <c r="T13" s="96"/>
      <c r="U13" s="97"/>
      <c r="Y13" s="545"/>
      <c r="Z13" s="535"/>
    </row>
    <row r="14" spans="2:27" ht="20.399999999999999" x14ac:dyDescent="0.3">
      <c r="B14" s="31"/>
      <c r="C14" s="655" t="s">
        <v>0</v>
      </c>
      <c r="D14" s="656"/>
      <c r="E14" s="15">
        <f>SUM(E6:E11)</f>
        <v>0.40200000000000002</v>
      </c>
      <c r="F14" s="664"/>
      <c r="G14" s="664"/>
      <c r="H14" s="58">
        <f>SUM(H6:H11)</f>
        <v>0.57203007518797</v>
      </c>
      <c r="I14" s="31"/>
      <c r="J14" s="655" t="s">
        <v>0</v>
      </c>
      <c r="K14" s="656"/>
      <c r="L14" s="15">
        <f>SUM(L6:L13)</f>
        <v>0.51200000000000001</v>
      </c>
      <c r="M14" s="643"/>
      <c r="N14" s="643"/>
      <c r="O14" s="58">
        <f>SUM(O6:O13)</f>
        <v>3.2395997346306946</v>
      </c>
      <c r="Q14" s="644" t="s">
        <v>874</v>
      </c>
      <c r="R14" s="645"/>
      <c r="S14" s="645"/>
      <c r="T14" s="96">
        <v>0.115</v>
      </c>
      <c r="U14" s="97">
        <v>0.16600000000000001</v>
      </c>
      <c r="Y14" s="26" t="s">
        <v>697</v>
      </c>
      <c r="Z14" s="27">
        <v>0.52</v>
      </c>
    </row>
    <row r="15" spans="2:27" ht="21" thickBot="1" x14ac:dyDescent="0.35">
      <c r="B15" s="31"/>
      <c r="C15" s="657" t="s">
        <v>690</v>
      </c>
      <c r="D15" s="658"/>
      <c r="E15" s="658"/>
      <c r="F15" s="30" t="s">
        <v>60</v>
      </c>
      <c r="G15" s="30" t="s">
        <v>59</v>
      </c>
      <c r="H15" s="37">
        <f>T6</f>
        <v>0.115</v>
      </c>
      <c r="I15" s="31"/>
      <c r="J15" s="657" t="s">
        <v>690</v>
      </c>
      <c r="K15" s="658"/>
      <c r="L15" s="658"/>
      <c r="M15" s="30" t="s">
        <v>60</v>
      </c>
      <c r="N15" s="30" t="s">
        <v>59</v>
      </c>
      <c r="O15" s="37">
        <f>T6</f>
        <v>0.115</v>
      </c>
      <c r="Q15" s="646" t="s">
        <v>875</v>
      </c>
      <c r="R15" s="647"/>
      <c r="S15" s="648"/>
      <c r="T15" s="411">
        <v>2.1</v>
      </c>
      <c r="U15" s="98">
        <v>0</v>
      </c>
      <c r="Y15" s="26" t="s">
        <v>698</v>
      </c>
      <c r="Z15" s="27">
        <v>0.41</v>
      </c>
    </row>
    <row r="16" spans="2:27" ht="20.399999999999999" x14ac:dyDescent="0.3">
      <c r="B16" s="31"/>
      <c r="C16" s="657" t="s">
        <v>691</v>
      </c>
      <c r="D16" s="658"/>
      <c r="E16" s="658"/>
      <c r="F16" s="30" t="s">
        <v>61</v>
      </c>
      <c r="G16" s="30" t="s">
        <v>59</v>
      </c>
      <c r="H16" s="37">
        <f>U6</f>
        <v>0.04</v>
      </c>
      <c r="I16" s="31"/>
      <c r="J16" s="657" t="s">
        <v>691</v>
      </c>
      <c r="K16" s="658"/>
      <c r="L16" s="658"/>
      <c r="M16" s="30" t="s">
        <v>61</v>
      </c>
      <c r="N16" s="30" t="s">
        <v>59</v>
      </c>
      <c r="O16" s="37">
        <f>U6</f>
        <v>0.04</v>
      </c>
      <c r="Y16" s="26" t="s">
        <v>699</v>
      </c>
      <c r="Z16" s="27">
        <v>0.76</v>
      </c>
    </row>
    <row r="17" spans="2:26" ht="14.85" customHeight="1" thickBot="1" x14ac:dyDescent="0.35">
      <c r="B17" s="31"/>
      <c r="C17" s="659" t="s">
        <v>692</v>
      </c>
      <c r="D17" s="660"/>
      <c r="E17" s="660"/>
      <c r="F17" s="660"/>
      <c r="G17" s="34" t="s">
        <v>62</v>
      </c>
      <c r="H17" s="59">
        <f>1/(H16+H15+H14)</f>
        <v>1.3754589172139198</v>
      </c>
      <c r="I17" s="31"/>
      <c r="J17" s="659" t="s">
        <v>692</v>
      </c>
      <c r="K17" s="660"/>
      <c r="L17" s="660"/>
      <c r="M17" s="660"/>
      <c r="N17" s="34" t="s">
        <v>62</v>
      </c>
      <c r="O17" s="59">
        <f>1/(O16+O15+O14)</f>
        <v>0.29458554120484315</v>
      </c>
      <c r="Y17" s="26" t="s">
        <v>112</v>
      </c>
      <c r="Z17" s="27">
        <v>0.17</v>
      </c>
    </row>
    <row r="18" spans="2:26" ht="20.399999999999999" x14ac:dyDescent="0.3">
      <c r="B18" s="31"/>
      <c r="C18" s="176"/>
      <c r="D18" s="31"/>
      <c r="E18" s="31"/>
      <c r="F18" s="31"/>
      <c r="G18" s="31"/>
      <c r="H18" s="31"/>
      <c r="J18" s="176"/>
      <c r="K18" s="31"/>
      <c r="L18" s="31"/>
      <c r="M18" s="31"/>
      <c r="N18" s="31"/>
      <c r="O18" s="31"/>
      <c r="Y18" s="26" t="s">
        <v>700</v>
      </c>
      <c r="Z18" s="27">
        <v>0.27</v>
      </c>
    </row>
    <row r="19" spans="2:26" ht="14.7" customHeight="1" x14ac:dyDescent="0.3">
      <c r="B19" s="31"/>
      <c r="Y19" s="26" t="s">
        <v>701</v>
      </c>
      <c r="Z19" s="27">
        <v>0.28999999999999998</v>
      </c>
    </row>
    <row r="20" spans="2:26" x14ac:dyDescent="0.3">
      <c r="B20" s="31"/>
      <c r="Y20" s="26" t="s">
        <v>702</v>
      </c>
      <c r="Z20" s="27">
        <v>1.74</v>
      </c>
    </row>
    <row r="21" spans="2:26" x14ac:dyDescent="0.3">
      <c r="Y21" s="26" t="s">
        <v>703</v>
      </c>
      <c r="Z21" s="27">
        <v>2.91</v>
      </c>
    </row>
    <row r="22" spans="2:26" x14ac:dyDescent="0.3">
      <c r="Y22" s="26" t="s">
        <v>113</v>
      </c>
      <c r="Z22" s="27">
        <v>3.49</v>
      </c>
    </row>
    <row r="23" spans="2:26" ht="14.85" customHeight="1" x14ac:dyDescent="0.3">
      <c r="Y23" s="26" t="s">
        <v>704</v>
      </c>
      <c r="Z23" s="27">
        <v>0.76</v>
      </c>
    </row>
    <row r="24" spans="2:26" ht="14.85" customHeight="1" x14ac:dyDescent="0.3">
      <c r="Y24" s="26" t="s">
        <v>705</v>
      </c>
      <c r="Z24" s="27">
        <v>0.73</v>
      </c>
    </row>
    <row r="25" spans="2:26" ht="14.85" customHeight="1" x14ac:dyDescent="0.3">
      <c r="Y25" s="26" t="s">
        <v>706</v>
      </c>
      <c r="Z25" s="27">
        <v>0.7</v>
      </c>
    </row>
    <row r="26" spans="2:26" ht="14.85" customHeight="1" x14ac:dyDescent="0.3">
      <c r="Y26" s="26" t="s">
        <v>707</v>
      </c>
      <c r="Z26" s="27">
        <v>0.57999999999999996</v>
      </c>
    </row>
    <row r="27" spans="2:26" x14ac:dyDescent="0.3">
      <c r="Y27" s="26" t="s">
        <v>114</v>
      </c>
      <c r="Z27" s="27">
        <v>0.35</v>
      </c>
    </row>
    <row r="28" spans="2:26" ht="14.85" customHeight="1" x14ac:dyDescent="0.3">
      <c r="Y28" s="26" t="s">
        <v>708</v>
      </c>
      <c r="Z28" s="27">
        <v>0.17</v>
      </c>
    </row>
    <row r="29" spans="2:26" x14ac:dyDescent="0.3">
      <c r="Y29" s="26" t="s">
        <v>709</v>
      </c>
      <c r="Z29" s="27">
        <v>1.1000000000000001</v>
      </c>
    </row>
    <row r="30" spans="2:26" ht="14.85" customHeight="1" x14ac:dyDescent="0.3">
      <c r="Y30" s="26" t="s">
        <v>710</v>
      </c>
      <c r="Z30" s="27">
        <v>0.65</v>
      </c>
    </row>
    <row r="31" spans="2:26" ht="14.85" customHeight="1" x14ac:dyDescent="0.3">
      <c r="R31" t="s">
        <v>636</v>
      </c>
      <c r="Y31" s="26" t="s">
        <v>711</v>
      </c>
      <c r="Z31" s="27">
        <v>3.7999999999999999E-2</v>
      </c>
    </row>
    <row r="32" spans="2:26" ht="14.85" customHeight="1" x14ac:dyDescent="0.3">
      <c r="Y32" s="26" t="s">
        <v>712</v>
      </c>
      <c r="Z32" s="27">
        <v>3.5000000000000003E-2</v>
      </c>
    </row>
    <row r="33" spans="3:27" ht="14.85" customHeight="1" thickBot="1" x14ac:dyDescent="0.35">
      <c r="C33" s="176" t="s">
        <v>813</v>
      </c>
      <c r="D33" s="31"/>
      <c r="E33" s="31"/>
      <c r="F33" s="31"/>
      <c r="G33" s="31"/>
      <c r="H33" s="31"/>
      <c r="J33" s="176" t="s">
        <v>814</v>
      </c>
      <c r="K33" s="31"/>
      <c r="L33" s="31"/>
      <c r="M33" s="31"/>
      <c r="N33" s="31"/>
      <c r="O33" s="31"/>
      <c r="R33" t="s">
        <v>637</v>
      </c>
      <c r="Y33" s="26" t="s">
        <v>713</v>
      </c>
      <c r="Z33" s="27">
        <v>3.7999999999999999E-2</v>
      </c>
    </row>
    <row r="34" spans="3:27" ht="14.7" customHeight="1" x14ac:dyDescent="0.3">
      <c r="C34" s="649" t="s">
        <v>685</v>
      </c>
      <c r="D34" s="650"/>
      <c r="E34" s="653" t="s">
        <v>686</v>
      </c>
      <c r="F34" s="653" t="s">
        <v>687</v>
      </c>
      <c r="G34" s="653"/>
      <c r="H34" s="661" t="s">
        <v>688</v>
      </c>
      <c r="J34" s="649" t="s">
        <v>685</v>
      </c>
      <c r="K34" s="650"/>
      <c r="L34" s="653" t="s">
        <v>686</v>
      </c>
      <c r="M34" s="653" t="s">
        <v>687</v>
      </c>
      <c r="N34" s="653"/>
      <c r="O34" s="661" t="s">
        <v>688</v>
      </c>
      <c r="Y34" s="26" t="s">
        <v>714</v>
      </c>
      <c r="Z34" s="27">
        <v>0.21</v>
      </c>
    </row>
    <row r="35" spans="3:27" ht="31.5" customHeight="1" x14ac:dyDescent="0.3">
      <c r="C35" s="651"/>
      <c r="D35" s="652"/>
      <c r="E35" s="654"/>
      <c r="F35" s="654"/>
      <c r="G35" s="654"/>
      <c r="H35" s="662"/>
      <c r="J35" s="651"/>
      <c r="K35" s="652"/>
      <c r="L35" s="654"/>
      <c r="M35" s="654"/>
      <c r="N35" s="654"/>
      <c r="O35" s="662"/>
      <c r="Y35" s="421" t="s">
        <v>768</v>
      </c>
      <c r="Z35" s="423">
        <v>1.2949999999999999</v>
      </c>
      <c r="AA35" s="26" t="s">
        <v>876</v>
      </c>
    </row>
    <row r="36" spans="3:27" x14ac:dyDescent="0.3">
      <c r="C36" s="651"/>
      <c r="D36" s="652"/>
      <c r="E36" s="483" t="s">
        <v>57</v>
      </c>
      <c r="F36" s="663" t="s">
        <v>58</v>
      </c>
      <c r="G36" s="663"/>
      <c r="H36" s="32" t="s">
        <v>59</v>
      </c>
      <c r="J36" s="651"/>
      <c r="K36" s="652"/>
      <c r="L36" s="483" t="s">
        <v>57</v>
      </c>
      <c r="M36" s="663" t="s">
        <v>58</v>
      </c>
      <c r="N36" s="663"/>
      <c r="O36" s="32" t="s">
        <v>59</v>
      </c>
      <c r="Y36" s="421" t="s">
        <v>715</v>
      </c>
      <c r="Z36" s="422">
        <v>2.1</v>
      </c>
    </row>
    <row r="37" spans="3:27" x14ac:dyDescent="0.3">
      <c r="C37" s="33">
        <v>1</v>
      </c>
      <c r="D37" s="36" t="s">
        <v>696</v>
      </c>
      <c r="E37" s="35">
        <v>0.6</v>
      </c>
      <c r="F37" s="642">
        <f>IFERROR(VLOOKUP(D37,$Y$7:$Z$46,2,FALSE),"")</f>
        <v>1.74</v>
      </c>
      <c r="G37" s="643"/>
      <c r="H37" s="57">
        <f t="shared" ref="H37:H42" si="5">IFERROR(IF(F37=0,0,E37/F37),"")</f>
        <v>0.34482758620689652</v>
      </c>
      <c r="J37" s="33">
        <v>1</v>
      </c>
      <c r="K37" s="36" t="s">
        <v>696</v>
      </c>
      <c r="L37" s="35">
        <v>0.6</v>
      </c>
      <c r="M37" s="665">
        <f>IFERROR(VLOOKUP(K37,$Y$7:$Z$46,2,FALSE),"")</f>
        <v>1.74</v>
      </c>
      <c r="N37" s="666"/>
      <c r="O37" s="57">
        <f t="shared" ref="O37:O42" si="6">IFERROR(IF(M37=0,0,L37/M37),"")</f>
        <v>0.34482758620689652</v>
      </c>
      <c r="Y37" s="533" t="s">
        <v>865</v>
      </c>
      <c r="Z37" s="534">
        <v>0.04</v>
      </c>
    </row>
    <row r="38" spans="3:27" ht="20.399999999999999" x14ac:dyDescent="0.3">
      <c r="C38" s="33">
        <v>2</v>
      </c>
      <c r="D38" s="36" t="s">
        <v>704</v>
      </c>
      <c r="E38" s="35">
        <v>0.02</v>
      </c>
      <c r="F38" s="642">
        <f>IFERROR(VLOOKUP(D38,$Y$7:$Z$46,2,FALSE),"")</f>
        <v>0.76</v>
      </c>
      <c r="G38" s="643"/>
      <c r="H38" s="57">
        <f t="shared" si="5"/>
        <v>2.6315789473684209E-2</v>
      </c>
      <c r="J38" s="33">
        <v>2</v>
      </c>
      <c r="K38" s="36" t="s">
        <v>704</v>
      </c>
      <c r="L38" s="35">
        <v>0.02</v>
      </c>
      <c r="M38" s="665">
        <f>IFERROR(VLOOKUP(K38,$Y$7:$Z$46,2,FALSE),"")</f>
        <v>0.76</v>
      </c>
      <c r="N38" s="666"/>
      <c r="O38" s="57">
        <f t="shared" si="6"/>
        <v>2.6315789473684209E-2</v>
      </c>
      <c r="Y38" s="533" t="s">
        <v>866</v>
      </c>
      <c r="Z38" s="534">
        <v>0.4</v>
      </c>
    </row>
    <row r="39" spans="3:27" x14ac:dyDescent="0.3">
      <c r="C39" s="33">
        <v>3</v>
      </c>
      <c r="D39" s="36" t="s">
        <v>715</v>
      </c>
      <c r="E39" s="35">
        <v>0.03</v>
      </c>
      <c r="F39" s="642">
        <f>IFERROR(VLOOKUP(D39,$Y$7:$Z$46,2,FALSE),"")</f>
        <v>2.1</v>
      </c>
      <c r="G39" s="643"/>
      <c r="H39" s="57">
        <f t="shared" si="5"/>
        <v>1.4285714285714285E-2</v>
      </c>
      <c r="J39" s="33">
        <v>3</v>
      </c>
      <c r="K39" s="36" t="s">
        <v>715</v>
      </c>
      <c r="L39" s="35">
        <v>0.03</v>
      </c>
      <c r="M39" s="665">
        <f>IFERROR(VLOOKUP(K39,$Y$7:$Z$46,2,FALSE),"")</f>
        <v>2.1</v>
      </c>
      <c r="N39" s="666"/>
      <c r="O39" s="57">
        <f t="shared" si="6"/>
        <v>1.4285714285714285E-2</v>
      </c>
      <c r="Y39" s="536" t="s">
        <v>867</v>
      </c>
      <c r="Z39" s="537">
        <v>0.01</v>
      </c>
    </row>
    <row r="40" spans="3:27" x14ac:dyDescent="0.3">
      <c r="C40" s="33">
        <v>4</v>
      </c>
      <c r="D40" s="36"/>
      <c r="E40" s="35"/>
      <c r="F40" s="642" t="str">
        <f>IFERROR(VLOOKUP(D40,$Y$7:$Z$46,2,FALSE),"")</f>
        <v/>
      </c>
      <c r="G40" s="643"/>
      <c r="H40" s="57" t="str">
        <f t="shared" si="5"/>
        <v/>
      </c>
      <c r="J40" s="33">
        <v>4</v>
      </c>
      <c r="K40" s="36" t="s">
        <v>713</v>
      </c>
      <c r="L40" s="35">
        <v>0.1</v>
      </c>
      <c r="M40" s="665">
        <f>IFERROR(VLOOKUP(K40,$Y$7:$Z$46,2,FALSE),"")</f>
        <v>3.7999999999999999E-2</v>
      </c>
      <c r="N40" s="666"/>
      <c r="O40" s="57">
        <f t="shared" si="6"/>
        <v>2.6315789473684212</v>
      </c>
      <c r="Y40" s="533" t="s">
        <v>879</v>
      </c>
      <c r="Z40" s="534">
        <v>0.28999999999999998</v>
      </c>
    </row>
    <row r="41" spans="3:27" x14ac:dyDescent="0.3">
      <c r="C41" s="33">
        <v>5</v>
      </c>
      <c r="D41" s="36"/>
      <c r="E41" s="35"/>
      <c r="F41" s="643" t="str">
        <f>IFERROR(VLOOKUP(D41,$Y$7:$Z$33,2,FALSE),"")</f>
        <v/>
      </c>
      <c r="G41" s="643"/>
      <c r="H41" s="57" t="str">
        <f t="shared" si="5"/>
        <v/>
      </c>
      <c r="J41" s="33">
        <v>5</v>
      </c>
      <c r="K41" s="36" t="s">
        <v>710</v>
      </c>
      <c r="L41" s="35">
        <v>4.0000000000000001E-3</v>
      </c>
      <c r="M41" s="667">
        <f>IFERROR(VLOOKUP(K41,$Y$7:$Z$33,2,FALSE),"")</f>
        <v>0.65</v>
      </c>
      <c r="N41" s="668"/>
      <c r="O41" s="57">
        <f t="shared" si="6"/>
        <v>6.1538461538461538E-3</v>
      </c>
      <c r="Y41" s="533" t="s">
        <v>880</v>
      </c>
      <c r="Z41" s="534">
        <v>0.35</v>
      </c>
    </row>
    <row r="42" spans="3:27" ht="20.399999999999999" x14ac:dyDescent="0.3">
      <c r="C42" s="33">
        <v>6</v>
      </c>
      <c r="D42" s="36"/>
      <c r="E42" s="35"/>
      <c r="F42" s="642" t="str">
        <f>IFERROR(VLOOKUP(D42,$Y$7:$Z$46,2,FALSE),"")</f>
        <v/>
      </c>
      <c r="G42" s="643"/>
      <c r="H42" s="57" t="str">
        <f t="shared" si="5"/>
        <v/>
      </c>
      <c r="J42" s="33">
        <v>6</v>
      </c>
      <c r="K42" s="36" t="s">
        <v>693</v>
      </c>
      <c r="L42" s="35">
        <v>3.0000000000000001E-3</v>
      </c>
      <c r="M42" s="665">
        <f>IFERROR(VLOOKUP(K42,$Y$7:$Z$46,2,FALSE),"")</f>
        <v>0.76</v>
      </c>
      <c r="N42" s="666"/>
      <c r="O42" s="57">
        <f t="shared" si="6"/>
        <v>3.9473684210526317E-3</v>
      </c>
      <c r="Y42" s="533" t="s">
        <v>881</v>
      </c>
      <c r="Z42" s="534">
        <v>0.19</v>
      </c>
    </row>
    <row r="43" spans="3:27" x14ac:dyDescent="0.3">
      <c r="C43" s="655" t="s">
        <v>0</v>
      </c>
      <c r="D43" s="656"/>
      <c r="E43" s="15">
        <f>SUM(E37:E42)</f>
        <v>0.65</v>
      </c>
      <c r="F43" s="664"/>
      <c r="G43" s="664"/>
      <c r="H43" s="58">
        <f>SUM(H37:H42)</f>
        <v>0.38542908996629505</v>
      </c>
      <c r="J43" s="655" t="s">
        <v>0</v>
      </c>
      <c r="K43" s="656"/>
      <c r="L43" s="15">
        <f>SUM(L37:L42)</f>
        <v>0.75700000000000001</v>
      </c>
      <c r="M43" s="664"/>
      <c r="N43" s="664"/>
      <c r="O43" s="58">
        <f>SUM(O37:O42)</f>
        <v>3.0271092519096148</v>
      </c>
      <c r="Y43" s="533" t="s">
        <v>882</v>
      </c>
      <c r="Z43" s="534">
        <v>0.76</v>
      </c>
    </row>
    <row r="44" spans="3:27" x14ac:dyDescent="0.3">
      <c r="C44" s="657" t="s">
        <v>690</v>
      </c>
      <c r="D44" s="658"/>
      <c r="E44" s="658"/>
      <c r="F44" s="30" t="s">
        <v>60</v>
      </c>
      <c r="G44" s="30" t="s">
        <v>59</v>
      </c>
      <c r="H44" s="37">
        <f>T6</f>
        <v>0.115</v>
      </c>
      <c r="J44" s="657" t="s">
        <v>690</v>
      </c>
      <c r="K44" s="658"/>
      <c r="L44" s="658"/>
      <c r="M44" s="30" t="s">
        <v>60</v>
      </c>
      <c r="N44" s="30" t="s">
        <v>59</v>
      </c>
      <c r="O44" s="37">
        <f>H44</f>
        <v>0.115</v>
      </c>
      <c r="Y44" s="533" t="s">
        <v>883</v>
      </c>
      <c r="Z44" s="534">
        <v>0.7</v>
      </c>
    </row>
    <row r="45" spans="3:27" x14ac:dyDescent="0.3">
      <c r="C45" s="657" t="s">
        <v>691</v>
      </c>
      <c r="D45" s="658"/>
      <c r="E45" s="658"/>
      <c r="F45" s="30" t="s">
        <v>61</v>
      </c>
      <c r="G45" s="30" t="s">
        <v>59</v>
      </c>
      <c r="H45" s="37">
        <f>U6</f>
        <v>0.04</v>
      </c>
      <c r="J45" s="657" t="s">
        <v>691</v>
      </c>
      <c r="K45" s="658"/>
      <c r="L45" s="658"/>
      <c r="M45" s="30" t="s">
        <v>61</v>
      </c>
      <c r="N45" s="30" t="s">
        <v>59</v>
      </c>
      <c r="O45" s="37">
        <f>H45</f>
        <v>0.04</v>
      </c>
      <c r="Y45" s="533" t="s">
        <v>884</v>
      </c>
      <c r="Z45" s="534">
        <v>0.38</v>
      </c>
    </row>
    <row r="46" spans="3:27" ht="15" thickBot="1" x14ac:dyDescent="0.35">
      <c r="C46" s="659" t="s">
        <v>692</v>
      </c>
      <c r="D46" s="660"/>
      <c r="E46" s="660"/>
      <c r="F46" s="660"/>
      <c r="G46" s="34" t="s">
        <v>62</v>
      </c>
      <c r="H46" s="59">
        <f>1/(H45+H44+H43)</f>
        <v>1.8503815182531478</v>
      </c>
      <c r="J46" s="659" t="s">
        <v>692</v>
      </c>
      <c r="K46" s="660"/>
      <c r="L46" s="660"/>
      <c r="M46" s="660"/>
      <c r="N46" s="34" t="s">
        <v>62</v>
      </c>
      <c r="O46" s="59">
        <f>1/(O45+O44+O43)</f>
        <v>0.31425696631876809</v>
      </c>
      <c r="Y46" s="533" t="s">
        <v>945</v>
      </c>
      <c r="Z46" s="534">
        <v>0.22</v>
      </c>
    </row>
    <row r="48" spans="3:27" x14ac:dyDescent="0.3">
      <c r="C48" s="176"/>
      <c r="J48" s="176"/>
    </row>
    <row r="49" spans="3:15" ht="14.7" customHeight="1" x14ac:dyDescent="0.3"/>
    <row r="63" spans="3:15" ht="15" thickBot="1" x14ac:dyDescent="0.35">
      <c r="C63" s="176" t="s">
        <v>815</v>
      </c>
      <c r="J63" s="176" t="s">
        <v>815</v>
      </c>
    </row>
    <row r="64" spans="3:15" ht="14.7" customHeight="1" x14ac:dyDescent="0.3">
      <c r="C64" s="649" t="s">
        <v>685</v>
      </c>
      <c r="D64" s="650"/>
      <c r="E64" s="653" t="s">
        <v>686</v>
      </c>
      <c r="F64" s="653" t="s">
        <v>687</v>
      </c>
      <c r="G64" s="653"/>
      <c r="H64" s="661" t="s">
        <v>688</v>
      </c>
      <c r="J64" s="649" t="s">
        <v>685</v>
      </c>
      <c r="K64" s="650"/>
      <c r="L64" s="653" t="s">
        <v>686</v>
      </c>
      <c r="M64" s="653" t="s">
        <v>687</v>
      </c>
      <c r="N64" s="653"/>
      <c r="O64" s="661" t="s">
        <v>688</v>
      </c>
    </row>
    <row r="65" spans="3:15" x14ac:dyDescent="0.3">
      <c r="C65" s="651"/>
      <c r="D65" s="652"/>
      <c r="E65" s="654"/>
      <c r="F65" s="654"/>
      <c r="G65" s="654"/>
      <c r="H65" s="662"/>
      <c r="J65" s="651"/>
      <c r="K65" s="652"/>
      <c r="L65" s="654"/>
      <c r="M65" s="654"/>
      <c r="N65" s="654"/>
      <c r="O65" s="662"/>
    </row>
    <row r="66" spans="3:15" x14ac:dyDescent="0.3">
      <c r="C66" s="651"/>
      <c r="D66" s="652"/>
      <c r="E66" s="483" t="s">
        <v>57</v>
      </c>
      <c r="F66" s="663" t="s">
        <v>58</v>
      </c>
      <c r="G66" s="663"/>
      <c r="H66" s="32" t="s">
        <v>59</v>
      </c>
      <c r="J66" s="651"/>
      <c r="K66" s="652"/>
      <c r="L66" s="483" t="s">
        <v>57</v>
      </c>
      <c r="M66" s="663" t="s">
        <v>58</v>
      </c>
      <c r="N66" s="663"/>
      <c r="O66" s="32" t="s">
        <v>59</v>
      </c>
    </row>
    <row r="67" spans="3:15" x14ac:dyDescent="0.3">
      <c r="C67" s="33">
        <v>1</v>
      </c>
      <c r="D67" s="36" t="s">
        <v>694</v>
      </c>
      <c r="E67" s="35">
        <v>0.6</v>
      </c>
      <c r="F67" s="642">
        <f>IFERROR(VLOOKUP(D67,$Y$7:$Z$46,2,FALSE),"")</f>
        <v>1.92</v>
      </c>
      <c r="G67" s="643"/>
      <c r="H67" s="57">
        <f t="shared" ref="H67:H70" si="7">IFERROR(IF(F67=0,0,E67/F67),"")</f>
        <v>0.3125</v>
      </c>
      <c r="J67" s="33">
        <v>1</v>
      </c>
      <c r="K67" s="36" t="s">
        <v>694</v>
      </c>
      <c r="L67" s="35">
        <v>0.6</v>
      </c>
      <c r="M67" s="642">
        <f>IFERROR(VLOOKUP(K67,$Y$7:$Z$46,2,FALSE),"")</f>
        <v>1.92</v>
      </c>
      <c r="N67" s="643"/>
      <c r="O67" s="57">
        <f t="shared" ref="O67:O70" si="8">IFERROR(IF(M67=0,0,L67/M67),"")</f>
        <v>0.3125</v>
      </c>
    </row>
    <row r="68" spans="3:15" x14ac:dyDescent="0.3">
      <c r="C68" s="33">
        <v>2</v>
      </c>
      <c r="D68" s="36" t="s">
        <v>704</v>
      </c>
      <c r="E68" s="35">
        <v>0.03</v>
      </c>
      <c r="F68" s="642">
        <f>IFERROR(VLOOKUP(D68,$Y$7:$Z$46,2,FALSE),"")</f>
        <v>0.76</v>
      </c>
      <c r="G68" s="643"/>
      <c r="H68" s="57">
        <f>IFERROR(IF(F68=0,0,E68/F68),"")</f>
        <v>3.9473684210526314E-2</v>
      </c>
      <c r="J68" s="33">
        <v>2</v>
      </c>
      <c r="K68" s="36" t="s">
        <v>704</v>
      </c>
      <c r="L68" s="35">
        <v>0.03</v>
      </c>
      <c r="M68" s="642">
        <f>IFERROR(VLOOKUP(K68,$Y$7:$Z$46,2,FALSE),"")</f>
        <v>0.76</v>
      </c>
      <c r="N68" s="643"/>
      <c r="O68" s="57">
        <f t="shared" si="8"/>
        <v>3.9473684210526314E-2</v>
      </c>
    </row>
    <row r="69" spans="3:15" x14ac:dyDescent="0.3">
      <c r="C69" s="33">
        <v>3</v>
      </c>
      <c r="D69" s="36" t="s">
        <v>696</v>
      </c>
      <c r="E69" s="35">
        <v>0.02</v>
      </c>
      <c r="F69" s="642">
        <f>IFERROR(VLOOKUP(D69,$Y$7:$Z$46,2,FALSE),"")</f>
        <v>1.74</v>
      </c>
      <c r="G69" s="643"/>
      <c r="H69" s="57">
        <f>IFERROR(IF(F69=0,0,E69/F69),"")</f>
        <v>1.1494252873563218E-2</v>
      </c>
      <c r="J69" s="33">
        <v>3</v>
      </c>
      <c r="K69" s="36" t="s">
        <v>696</v>
      </c>
      <c r="L69" s="35">
        <v>0.02</v>
      </c>
      <c r="M69" s="642">
        <f>IFERROR(VLOOKUP(K69,$Y$7:$Z$46,2,FALSE),"")</f>
        <v>1.74</v>
      </c>
      <c r="N69" s="643"/>
      <c r="O69" s="57">
        <f t="shared" si="8"/>
        <v>1.1494252873563218E-2</v>
      </c>
    </row>
    <row r="70" spans="3:15" x14ac:dyDescent="0.3">
      <c r="C70" s="33">
        <v>4</v>
      </c>
      <c r="D70" s="36"/>
      <c r="E70" s="35"/>
      <c r="F70" s="643" t="str">
        <f>IFERROR(VLOOKUP(D70,$Y$7:$Z$33,2,FALSE),"")</f>
        <v/>
      </c>
      <c r="G70" s="643"/>
      <c r="H70" s="57" t="str">
        <f t="shared" si="7"/>
        <v/>
      </c>
      <c r="J70" s="33">
        <v>4</v>
      </c>
      <c r="K70" s="36" t="s">
        <v>713</v>
      </c>
      <c r="L70" s="35">
        <v>0.1</v>
      </c>
      <c r="M70" s="643">
        <f>IFERROR(VLOOKUP(K70,$Y$7:$Z$33,2,FALSE),"")</f>
        <v>3.7999999999999999E-2</v>
      </c>
      <c r="N70" s="643"/>
      <c r="O70" s="57">
        <f t="shared" si="8"/>
        <v>2.6315789473684212</v>
      </c>
    </row>
    <row r="71" spans="3:15" x14ac:dyDescent="0.3">
      <c r="C71" s="33">
        <v>5</v>
      </c>
      <c r="D71" s="36"/>
      <c r="E71" s="35"/>
      <c r="F71" s="643" t="str">
        <f>IFERROR(VLOOKUP(D71,$Y$7:$Z$33,2,FALSE),"")</f>
        <v/>
      </c>
      <c r="G71" s="643"/>
      <c r="H71" s="57" t="str">
        <f>IFERROR(IF(F71=0,0,E71/F71),"")</f>
        <v/>
      </c>
      <c r="J71" s="33">
        <v>5</v>
      </c>
      <c r="K71" s="36" t="s">
        <v>710</v>
      </c>
      <c r="L71" s="35">
        <v>4.0000000000000001E-3</v>
      </c>
      <c r="M71" s="643">
        <f>IFERROR(VLOOKUP(K71,$Y$7:$Z$33,2,FALSE),"")</f>
        <v>0.65</v>
      </c>
      <c r="N71" s="643"/>
      <c r="O71" s="57">
        <f>IFERROR(IF(M71=0,0,L71/M71),"")</f>
        <v>6.1538461538461538E-3</v>
      </c>
    </row>
    <row r="72" spans="3:15" x14ac:dyDescent="0.3">
      <c r="C72" s="33">
        <v>6</v>
      </c>
      <c r="D72" s="36"/>
      <c r="E72" s="35"/>
      <c r="F72" s="642" t="str">
        <f>IFERROR(VLOOKUP(D72,$Y$7:$Z$46,2,FALSE),"")</f>
        <v/>
      </c>
      <c r="G72" s="643"/>
      <c r="H72" s="57" t="str">
        <f>IFERROR(IF(F72=0,0,E72/F72),"")</f>
        <v/>
      </c>
      <c r="J72" s="33">
        <v>6</v>
      </c>
      <c r="K72" s="36" t="s">
        <v>693</v>
      </c>
      <c r="L72" s="35">
        <v>3.0000000000000001E-3</v>
      </c>
      <c r="M72" s="642">
        <f>IFERROR(VLOOKUP(K72,$Y$7:$Z$46,2,FALSE),"")</f>
        <v>0.76</v>
      </c>
      <c r="N72" s="643"/>
      <c r="O72" s="57">
        <f>IFERROR(IF(M72=0,0,L72/M72),"")</f>
        <v>3.9473684210526317E-3</v>
      </c>
    </row>
    <row r="73" spans="3:15" x14ac:dyDescent="0.3">
      <c r="C73" s="655" t="s">
        <v>0</v>
      </c>
      <c r="D73" s="656"/>
      <c r="E73" s="15">
        <f>SUM(E67:E72)</f>
        <v>0.65</v>
      </c>
      <c r="F73" s="664"/>
      <c r="G73" s="664"/>
      <c r="H73" s="58">
        <f>SUM(H67:H72)</f>
        <v>0.36346793708408953</v>
      </c>
      <c r="J73" s="655" t="s">
        <v>0</v>
      </c>
      <c r="K73" s="656"/>
      <c r="L73" s="15">
        <f>SUM(L67:L72)</f>
        <v>0.75700000000000001</v>
      </c>
      <c r="M73" s="664"/>
      <c r="N73" s="664"/>
      <c r="O73" s="58">
        <f>SUM(O67:O72)</f>
        <v>3.0051480990274091</v>
      </c>
    </row>
    <row r="74" spans="3:15" x14ac:dyDescent="0.3">
      <c r="C74" s="657" t="s">
        <v>690</v>
      </c>
      <c r="D74" s="658"/>
      <c r="E74" s="658"/>
      <c r="F74" s="30" t="s">
        <v>60</v>
      </c>
      <c r="G74" s="30" t="s">
        <v>59</v>
      </c>
      <c r="H74" s="37">
        <f>T8</f>
        <v>2.1</v>
      </c>
      <c r="J74" s="657" t="s">
        <v>690</v>
      </c>
      <c r="K74" s="658"/>
      <c r="L74" s="658"/>
      <c r="M74" s="30" t="s">
        <v>60</v>
      </c>
      <c r="N74" s="30" t="s">
        <v>59</v>
      </c>
      <c r="O74" s="37">
        <f>H74</f>
        <v>2.1</v>
      </c>
    </row>
    <row r="75" spans="3:15" x14ac:dyDescent="0.3">
      <c r="C75" s="657" t="s">
        <v>691</v>
      </c>
      <c r="D75" s="658"/>
      <c r="E75" s="658"/>
      <c r="F75" s="30" t="s">
        <v>61</v>
      </c>
      <c r="G75" s="30" t="s">
        <v>59</v>
      </c>
      <c r="H75" s="37">
        <f>U15</f>
        <v>0</v>
      </c>
      <c r="J75" s="657" t="s">
        <v>691</v>
      </c>
      <c r="K75" s="658"/>
      <c r="L75" s="658"/>
      <c r="M75" s="30" t="s">
        <v>61</v>
      </c>
      <c r="N75" s="30" t="s">
        <v>59</v>
      </c>
      <c r="O75" s="37">
        <f>AB15</f>
        <v>0</v>
      </c>
    </row>
    <row r="76" spans="3:15" ht="15" thickBot="1" x14ac:dyDescent="0.35">
      <c r="C76" s="659" t="s">
        <v>692</v>
      </c>
      <c r="D76" s="660"/>
      <c r="E76" s="660"/>
      <c r="F76" s="660"/>
      <c r="G76" s="34" t="s">
        <v>62</v>
      </c>
      <c r="H76" s="59">
        <f>1/(H75+H74+H73)</f>
        <v>0.40593181057743372</v>
      </c>
      <c r="J76" s="659" t="s">
        <v>692</v>
      </c>
      <c r="K76" s="660"/>
      <c r="L76" s="660"/>
      <c r="M76" s="660"/>
      <c r="N76" s="34" t="s">
        <v>62</v>
      </c>
      <c r="O76" s="59">
        <f>1/(O75+O74+O73)</f>
        <v>0.19588070328273371</v>
      </c>
    </row>
    <row r="78" spans="3:15" ht="15" thickBot="1" x14ac:dyDescent="0.35">
      <c r="C78" s="176" t="s">
        <v>816</v>
      </c>
      <c r="J78" s="176" t="s">
        <v>817</v>
      </c>
    </row>
    <row r="79" spans="3:15" ht="14.7" customHeight="1" x14ac:dyDescent="0.3">
      <c r="C79" s="649" t="s">
        <v>685</v>
      </c>
      <c r="D79" s="650"/>
      <c r="E79" s="653" t="s">
        <v>686</v>
      </c>
      <c r="F79" s="653" t="s">
        <v>687</v>
      </c>
      <c r="G79" s="653"/>
      <c r="H79" s="661" t="s">
        <v>688</v>
      </c>
      <c r="J79" s="649" t="s">
        <v>685</v>
      </c>
      <c r="K79" s="650"/>
      <c r="L79" s="653" t="s">
        <v>686</v>
      </c>
      <c r="M79" s="653" t="s">
        <v>687</v>
      </c>
      <c r="N79" s="653"/>
      <c r="O79" s="661" t="s">
        <v>688</v>
      </c>
    </row>
    <row r="80" spans="3:15" x14ac:dyDescent="0.3">
      <c r="C80" s="651"/>
      <c r="D80" s="652"/>
      <c r="E80" s="654"/>
      <c r="F80" s="654"/>
      <c r="G80" s="654"/>
      <c r="H80" s="662"/>
      <c r="J80" s="651"/>
      <c r="K80" s="652"/>
      <c r="L80" s="654"/>
      <c r="M80" s="654"/>
      <c r="N80" s="654"/>
      <c r="O80" s="662"/>
    </row>
    <row r="81" spans="3:15" x14ac:dyDescent="0.3">
      <c r="C81" s="651"/>
      <c r="D81" s="652"/>
      <c r="E81" s="483" t="s">
        <v>57</v>
      </c>
      <c r="F81" s="663" t="s">
        <v>58</v>
      </c>
      <c r="G81" s="663"/>
      <c r="H81" s="32" t="s">
        <v>59</v>
      </c>
      <c r="J81" s="651"/>
      <c r="K81" s="652"/>
      <c r="L81" s="483" t="s">
        <v>57</v>
      </c>
      <c r="M81" s="663" t="s">
        <v>58</v>
      </c>
      <c r="N81" s="663"/>
      <c r="O81" s="32" t="s">
        <v>59</v>
      </c>
    </row>
    <row r="82" spans="3:15" x14ac:dyDescent="0.3">
      <c r="C82" s="33">
        <v>1</v>
      </c>
      <c r="D82" s="36" t="s">
        <v>689</v>
      </c>
      <c r="E82" s="35">
        <v>0.01</v>
      </c>
      <c r="F82" s="642">
        <f>IFERROR(VLOOKUP(D82,$Y$7:$Z$46,2,FALSE),"")</f>
        <v>0.7</v>
      </c>
      <c r="G82" s="643"/>
      <c r="H82" s="57">
        <f t="shared" ref="H82:H85" si="9">IFERROR(IF(F82=0,0,E82/F82),"")</f>
        <v>1.4285714285714287E-2</v>
      </c>
      <c r="J82" s="33">
        <v>1</v>
      </c>
      <c r="K82" s="36" t="s">
        <v>689</v>
      </c>
      <c r="L82" s="35">
        <v>0.01</v>
      </c>
      <c r="M82" s="642">
        <f t="shared" ref="M82:M87" si="10">IFERROR(VLOOKUP(K82,$Y$7:$Z$46,2,FALSE),"")</f>
        <v>0.7</v>
      </c>
      <c r="N82" s="643"/>
      <c r="O82" s="57">
        <f t="shared" ref="O82:O85" si="11">IFERROR(IF(M82=0,0,L82/M82),"")</f>
        <v>1.4285714285714287E-2</v>
      </c>
    </row>
    <row r="83" spans="3:15" x14ac:dyDescent="0.3">
      <c r="C83" s="33">
        <v>2</v>
      </c>
      <c r="D83" s="36" t="s">
        <v>768</v>
      </c>
      <c r="E83" s="35">
        <v>0.22</v>
      </c>
      <c r="F83" s="642">
        <f>IFERROR(VLOOKUP(D83,$Y$7:$Z$46,2,FALSE),"")</f>
        <v>1.2949999999999999</v>
      </c>
      <c r="G83" s="643"/>
      <c r="H83" s="57">
        <f t="shared" si="9"/>
        <v>0.16988416988416991</v>
      </c>
      <c r="J83" s="33">
        <v>2</v>
      </c>
      <c r="K83" s="36" t="s">
        <v>768</v>
      </c>
      <c r="L83" s="35">
        <v>0.22</v>
      </c>
      <c r="M83" s="642">
        <f t="shared" si="10"/>
        <v>1.2949999999999999</v>
      </c>
      <c r="N83" s="643"/>
      <c r="O83" s="57">
        <f t="shared" si="11"/>
        <v>0.16988416988416991</v>
      </c>
    </row>
    <row r="84" spans="3:15" x14ac:dyDescent="0.3">
      <c r="C84" s="33">
        <v>3</v>
      </c>
      <c r="D84" s="36" t="s">
        <v>704</v>
      </c>
      <c r="E84" s="35">
        <v>0.05</v>
      </c>
      <c r="F84" s="642">
        <f>IFERROR(VLOOKUP(D84,$Y$7:$Z$46,2,FALSE),"")</f>
        <v>0.76</v>
      </c>
      <c r="G84" s="643"/>
      <c r="H84" s="57">
        <f t="shared" si="9"/>
        <v>6.5789473684210523E-2</v>
      </c>
      <c r="J84" s="33">
        <v>3</v>
      </c>
      <c r="K84" s="36" t="s">
        <v>704</v>
      </c>
      <c r="L84" s="35">
        <v>0.05</v>
      </c>
      <c r="M84" s="642">
        <f t="shared" si="10"/>
        <v>0.76</v>
      </c>
      <c r="N84" s="643"/>
      <c r="O84" s="57">
        <f t="shared" si="11"/>
        <v>6.5789473684210523E-2</v>
      </c>
    </row>
    <row r="85" spans="3:15" x14ac:dyDescent="0.3">
      <c r="C85" s="33">
        <v>4</v>
      </c>
      <c r="D85" s="36" t="s">
        <v>700</v>
      </c>
      <c r="E85" s="35">
        <v>0.01</v>
      </c>
      <c r="F85" s="643">
        <f>IFERROR(VLOOKUP(D85,$Y$7:$Z$33,2,FALSE),"")</f>
        <v>0.27</v>
      </c>
      <c r="G85" s="643"/>
      <c r="H85" s="57">
        <f t="shared" si="9"/>
        <v>3.7037037037037035E-2</v>
      </c>
      <c r="J85" s="33">
        <v>4</v>
      </c>
      <c r="K85" s="36" t="s">
        <v>700</v>
      </c>
      <c r="L85" s="35">
        <v>0.01</v>
      </c>
      <c r="M85" s="642">
        <f t="shared" si="10"/>
        <v>0.27</v>
      </c>
      <c r="N85" s="643"/>
      <c r="O85" s="57">
        <f t="shared" si="11"/>
        <v>3.7037037037037035E-2</v>
      </c>
    </row>
    <row r="86" spans="3:15" x14ac:dyDescent="0.3">
      <c r="C86" s="33">
        <v>5</v>
      </c>
      <c r="D86" s="36"/>
      <c r="E86" s="35"/>
      <c r="F86" s="643" t="str">
        <f>IFERROR(VLOOKUP(D86,$Y$7:$Z$33,2,FALSE),"")</f>
        <v/>
      </c>
      <c r="G86" s="643"/>
      <c r="H86" s="57" t="str">
        <f>IFERROR(IF(F86=0,0,E86/F86),"")</f>
        <v/>
      </c>
      <c r="J86" s="33">
        <v>5</v>
      </c>
      <c r="K86" s="36" t="s">
        <v>1165</v>
      </c>
      <c r="L86" s="35">
        <v>0.15</v>
      </c>
      <c r="M86" s="642">
        <f t="shared" si="10"/>
        <v>5.5E-2</v>
      </c>
      <c r="N86" s="643"/>
      <c r="O86" s="57">
        <f>IFERROR(IF(M86=0,0,L86/M86),"")</f>
        <v>2.7272727272727271</v>
      </c>
    </row>
    <row r="87" spans="3:15" x14ac:dyDescent="0.3">
      <c r="C87" s="33">
        <v>6</v>
      </c>
      <c r="D87" s="36"/>
      <c r="E87" s="35"/>
      <c r="F87" s="642" t="str">
        <f>IFERROR(VLOOKUP(D87,$Y$7:$Z$46,2,FALSE),"")</f>
        <v/>
      </c>
      <c r="G87" s="643"/>
      <c r="H87" s="57" t="str">
        <f>IFERROR(IF(F87=0,0,E87/F87),"")</f>
        <v/>
      </c>
      <c r="J87" s="33">
        <v>6</v>
      </c>
      <c r="K87" s="36"/>
      <c r="L87" s="35"/>
      <c r="M87" s="642" t="str">
        <f t="shared" si="10"/>
        <v/>
      </c>
      <c r="N87" s="643"/>
      <c r="O87" s="57" t="str">
        <f>IFERROR(IF(M87=0,0,L87/M87),"")</f>
        <v/>
      </c>
    </row>
    <row r="88" spans="3:15" x14ac:dyDescent="0.3">
      <c r="C88" s="655" t="s">
        <v>0</v>
      </c>
      <c r="D88" s="656"/>
      <c r="E88" s="15">
        <f>SUM(E82:E87)</f>
        <v>0.29000000000000004</v>
      </c>
      <c r="F88" s="664"/>
      <c r="G88" s="664"/>
      <c r="H88" s="58">
        <f>SUM(H82:H87)</f>
        <v>0.28699639489113177</v>
      </c>
      <c r="J88" s="655" t="s">
        <v>0</v>
      </c>
      <c r="K88" s="656"/>
      <c r="L88" s="15">
        <f>SUM(L82:L87)</f>
        <v>0.44000000000000006</v>
      </c>
      <c r="M88" s="664"/>
      <c r="N88" s="664"/>
      <c r="O88" s="58">
        <f>SUM(O82:O87)</f>
        <v>3.0142691221638587</v>
      </c>
    </row>
    <row r="89" spans="3:15" x14ac:dyDescent="0.3">
      <c r="C89" s="657" t="s">
        <v>690</v>
      </c>
      <c r="D89" s="658"/>
      <c r="E89" s="658"/>
      <c r="F89" s="30" t="s">
        <v>60</v>
      </c>
      <c r="G89" s="30" t="s">
        <v>59</v>
      </c>
      <c r="H89" s="37">
        <f>T10</f>
        <v>0.115</v>
      </c>
      <c r="J89" s="657" t="s">
        <v>690</v>
      </c>
      <c r="K89" s="658"/>
      <c r="L89" s="658"/>
      <c r="M89" s="30" t="s">
        <v>60</v>
      </c>
      <c r="N89" s="30" t="s">
        <v>59</v>
      </c>
      <c r="O89" s="37">
        <f>H89</f>
        <v>0.115</v>
      </c>
    </row>
    <row r="90" spans="3:15" x14ac:dyDescent="0.3">
      <c r="C90" s="657" t="s">
        <v>691</v>
      </c>
      <c r="D90" s="658"/>
      <c r="E90" s="658"/>
      <c r="F90" s="30" t="s">
        <v>61</v>
      </c>
      <c r="G90" s="30" t="s">
        <v>59</v>
      </c>
      <c r="H90" s="37">
        <f>U10</f>
        <v>8.3000000000000004E-2</v>
      </c>
      <c r="J90" s="657" t="s">
        <v>691</v>
      </c>
      <c r="K90" s="658"/>
      <c r="L90" s="658"/>
      <c r="M90" s="30" t="s">
        <v>61</v>
      </c>
      <c r="N90" s="30" t="s">
        <v>59</v>
      </c>
      <c r="O90" s="37">
        <f>H90</f>
        <v>8.3000000000000004E-2</v>
      </c>
    </row>
    <row r="91" spans="3:15" ht="15" thickBot="1" x14ac:dyDescent="0.35">
      <c r="C91" s="659" t="s">
        <v>692</v>
      </c>
      <c r="D91" s="660"/>
      <c r="E91" s="660"/>
      <c r="F91" s="660"/>
      <c r="G91" s="34" t="s">
        <v>62</v>
      </c>
      <c r="H91" s="59">
        <f>1/(H90+H89+H88)</f>
        <v>2.0618709964317823</v>
      </c>
      <c r="J91" s="659" t="s">
        <v>692</v>
      </c>
      <c r="K91" s="660"/>
      <c r="L91" s="660"/>
      <c r="M91" s="660"/>
      <c r="N91" s="34" t="s">
        <v>62</v>
      </c>
      <c r="O91" s="59">
        <f>1/(O90+O89+O88)</f>
        <v>0.31130641984516444</v>
      </c>
    </row>
    <row r="93" spans="3:15" x14ac:dyDescent="0.3">
      <c r="C93" s="176"/>
    </row>
    <row r="94" spans="3:15" ht="15" customHeight="1" thickBot="1" x14ac:dyDescent="0.35">
      <c r="C94" s="176" t="s">
        <v>818</v>
      </c>
      <c r="J94" s="176" t="s">
        <v>819</v>
      </c>
    </row>
    <row r="95" spans="3:15" x14ac:dyDescent="0.3">
      <c r="C95" s="649" t="s">
        <v>685</v>
      </c>
      <c r="D95" s="650"/>
      <c r="E95" s="653" t="s">
        <v>686</v>
      </c>
      <c r="F95" s="653" t="s">
        <v>687</v>
      </c>
      <c r="G95" s="653"/>
      <c r="H95" s="661" t="s">
        <v>688</v>
      </c>
      <c r="J95" s="649" t="s">
        <v>685</v>
      </c>
      <c r="K95" s="650"/>
      <c r="L95" s="653" t="s">
        <v>686</v>
      </c>
      <c r="M95" s="653" t="s">
        <v>687</v>
      </c>
      <c r="N95" s="653"/>
      <c r="O95" s="661" t="s">
        <v>688</v>
      </c>
    </row>
    <row r="96" spans="3:15" x14ac:dyDescent="0.3">
      <c r="C96" s="651"/>
      <c r="D96" s="652"/>
      <c r="E96" s="654"/>
      <c r="F96" s="654"/>
      <c r="G96" s="654"/>
      <c r="H96" s="662"/>
      <c r="J96" s="651"/>
      <c r="K96" s="652"/>
      <c r="L96" s="654"/>
      <c r="M96" s="654"/>
      <c r="N96" s="654"/>
      <c r="O96" s="662"/>
    </row>
    <row r="97" spans="2:15" x14ac:dyDescent="0.3">
      <c r="C97" s="651"/>
      <c r="D97" s="652"/>
      <c r="E97" s="483" t="s">
        <v>57</v>
      </c>
      <c r="F97" s="663" t="s">
        <v>58</v>
      </c>
      <c r="G97" s="663"/>
      <c r="H97" s="32" t="s">
        <v>59</v>
      </c>
      <c r="J97" s="651"/>
      <c r="K97" s="652"/>
      <c r="L97" s="483" t="s">
        <v>57</v>
      </c>
      <c r="M97" s="663" t="s">
        <v>58</v>
      </c>
      <c r="N97" s="663"/>
      <c r="O97" s="32" t="s">
        <v>59</v>
      </c>
    </row>
    <row r="98" spans="2:15" x14ac:dyDescent="0.3">
      <c r="C98" s="33">
        <v>1</v>
      </c>
      <c r="D98" s="36"/>
      <c r="E98" s="35"/>
      <c r="F98" s="642" t="str">
        <f>IFERROR(VLOOKUP(D98,$Y$7:$Z$46,2,FALSE),"")</f>
        <v/>
      </c>
      <c r="G98" s="643"/>
      <c r="H98" s="57" t="str">
        <f t="shared" ref="H98:H102" si="12">IFERROR(IF(F98=0,0,E98/F98),"")</f>
        <v/>
      </c>
      <c r="J98" s="33">
        <v>1</v>
      </c>
      <c r="K98" s="36"/>
      <c r="L98" s="35"/>
      <c r="M98" s="642" t="str">
        <f>IFERROR(VLOOKUP(K98,$Y$7:$Z$46,2,FALSE),"")</f>
        <v/>
      </c>
      <c r="N98" s="643"/>
      <c r="O98" s="57" t="str">
        <f t="shared" ref="O98:O101" si="13">IFERROR(IF(M98=0,0,L98/M98),"")</f>
        <v/>
      </c>
    </row>
    <row r="99" spans="2:15" x14ac:dyDescent="0.3">
      <c r="C99" s="33">
        <v>2</v>
      </c>
      <c r="D99" s="36"/>
      <c r="E99" s="35"/>
      <c r="F99" s="642" t="str">
        <f>IFERROR(VLOOKUP(D99,$Y$7:$Z$46,2,FALSE),"")</f>
        <v/>
      </c>
      <c r="G99" s="643"/>
      <c r="H99" s="57" t="str">
        <f t="shared" si="12"/>
        <v/>
      </c>
      <c r="J99" s="33">
        <v>2</v>
      </c>
      <c r="K99" s="36"/>
      <c r="L99" s="35"/>
      <c r="M99" s="642" t="str">
        <f>IFERROR(VLOOKUP(K99,$Y$7:$Z$46,2,FALSE),"")</f>
        <v/>
      </c>
      <c r="N99" s="643"/>
      <c r="O99" s="57" t="str">
        <f t="shared" si="13"/>
        <v/>
      </c>
    </row>
    <row r="100" spans="2:15" x14ac:dyDescent="0.3">
      <c r="C100" s="33">
        <v>3</v>
      </c>
      <c r="D100" s="36"/>
      <c r="E100" s="35"/>
      <c r="F100" s="642" t="str">
        <f>IFERROR(VLOOKUP(D100,$Y$7:$Z$46,2,FALSE),"")</f>
        <v/>
      </c>
      <c r="G100" s="643"/>
      <c r="H100" s="57" t="str">
        <f t="shared" si="12"/>
        <v/>
      </c>
      <c r="J100" s="33">
        <v>3</v>
      </c>
      <c r="K100" s="36"/>
      <c r="L100" s="35"/>
      <c r="M100" s="642" t="str">
        <f>IFERROR(VLOOKUP(K100,$Y$7:$Z$46,2,FALSE),"")</f>
        <v/>
      </c>
      <c r="N100" s="643"/>
      <c r="O100" s="57" t="str">
        <f t="shared" si="13"/>
        <v/>
      </c>
    </row>
    <row r="101" spans="2:15" x14ac:dyDescent="0.3">
      <c r="C101" s="33">
        <v>4</v>
      </c>
      <c r="D101" s="36"/>
      <c r="E101" s="35"/>
      <c r="F101" s="643" t="str">
        <f>IFERROR(VLOOKUP(D101,$Y$7:$Z$33,2,FALSE),"")</f>
        <v/>
      </c>
      <c r="G101" s="643"/>
      <c r="H101" s="57" t="str">
        <f t="shared" si="12"/>
        <v/>
      </c>
      <c r="J101" s="33">
        <v>4</v>
      </c>
      <c r="K101" s="36"/>
      <c r="L101" s="35"/>
      <c r="M101" s="642" t="str">
        <f>IFERROR(VLOOKUP(K101,$Y$7:$Z$46,2,FALSE),"")</f>
        <v/>
      </c>
      <c r="N101" s="643"/>
      <c r="O101" s="57" t="str">
        <f t="shared" si="13"/>
        <v/>
      </c>
    </row>
    <row r="102" spans="2:15" x14ac:dyDescent="0.3">
      <c r="C102" s="33">
        <v>5</v>
      </c>
      <c r="D102" s="36"/>
      <c r="E102" s="35"/>
      <c r="F102" s="642" t="str">
        <f>IFERROR(VLOOKUP(D102,$Y$7:$Z$46,2,FALSE),"")</f>
        <v/>
      </c>
      <c r="G102" s="643"/>
      <c r="H102" s="57" t="str">
        <f t="shared" si="12"/>
        <v/>
      </c>
      <c r="J102" s="33">
        <v>5</v>
      </c>
      <c r="K102" s="36"/>
      <c r="L102" s="35"/>
      <c r="M102" s="643" t="str">
        <f>IFERROR(VLOOKUP(K102,$Y$7:$Z$33,2,FALSE),"")</f>
        <v/>
      </c>
      <c r="N102" s="643"/>
      <c r="O102" s="57" t="str">
        <f>IFERROR(IF(M102=0,0,L102/M102),"")</f>
        <v/>
      </c>
    </row>
    <row r="103" spans="2:15" x14ac:dyDescent="0.3">
      <c r="C103" s="33">
        <v>6</v>
      </c>
      <c r="D103" s="36"/>
      <c r="E103" s="35"/>
      <c r="F103" s="642" t="str">
        <f>IFERROR(VLOOKUP(D103,$Y$7:$Z$46,2,FALSE),"")</f>
        <v/>
      </c>
      <c r="G103" s="643"/>
      <c r="H103" s="57" t="str">
        <f>IFERROR(IF(F103=0,0,E103/F103),"")</f>
        <v/>
      </c>
      <c r="J103" s="33">
        <v>6</v>
      </c>
      <c r="K103" s="36"/>
      <c r="L103" s="35"/>
      <c r="M103" s="642" t="str">
        <f>IFERROR(VLOOKUP(K103,$Y$7:$Z$46,2,FALSE),"")</f>
        <v/>
      </c>
      <c r="N103" s="643"/>
      <c r="O103" s="57" t="str">
        <f>IFERROR(IF(M103=0,0,L103/M103),"")</f>
        <v/>
      </c>
    </row>
    <row r="104" spans="2:15" x14ac:dyDescent="0.3">
      <c r="C104" s="655" t="s">
        <v>0</v>
      </c>
      <c r="D104" s="656"/>
      <c r="E104" s="15">
        <f>SUM(E98:E103)</f>
        <v>0</v>
      </c>
      <c r="F104" s="664"/>
      <c r="G104" s="664"/>
      <c r="H104" s="58">
        <f>SUM(H98:H103)</f>
        <v>0</v>
      </c>
      <c r="J104" s="655" t="s">
        <v>0</v>
      </c>
      <c r="K104" s="656"/>
      <c r="L104" s="15">
        <f>SUM(L98:L103)</f>
        <v>0</v>
      </c>
      <c r="M104" s="664"/>
      <c r="N104" s="664"/>
      <c r="O104" s="58">
        <f>SUM(O98:O103)</f>
        <v>0</v>
      </c>
    </row>
    <row r="105" spans="2:15" x14ac:dyDescent="0.3">
      <c r="C105" s="657" t="s">
        <v>690</v>
      </c>
      <c r="D105" s="658"/>
      <c r="E105" s="658"/>
      <c r="F105" s="30" t="s">
        <v>60</v>
      </c>
      <c r="G105" s="30" t="s">
        <v>59</v>
      </c>
      <c r="H105" s="37"/>
      <c r="J105" s="657" t="s">
        <v>690</v>
      </c>
      <c r="K105" s="658"/>
      <c r="L105" s="658"/>
      <c r="M105" s="30" t="s">
        <v>60</v>
      </c>
      <c r="N105" s="30" t="s">
        <v>59</v>
      </c>
      <c r="O105" s="37">
        <f>H105</f>
        <v>0</v>
      </c>
    </row>
    <row r="106" spans="2:15" x14ac:dyDescent="0.3">
      <c r="C106" s="657" t="s">
        <v>691</v>
      </c>
      <c r="D106" s="658"/>
      <c r="E106" s="658"/>
      <c r="F106" s="30" t="s">
        <v>61</v>
      </c>
      <c r="G106" s="30" t="s">
        <v>59</v>
      </c>
      <c r="H106" s="37"/>
      <c r="J106" s="657" t="s">
        <v>691</v>
      </c>
      <c r="K106" s="658"/>
      <c r="L106" s="658"/>
      <c r="M106" s="30" t="s">
        <v>61</v>
      </c>
      <c r="N106" s="30" t="s">
        <v>59</v>
      </c>
      <c r="O106" s="37">
        <f>H106</f>
        <v>0</v>
      </c>
    </row>
    <row r="107" spans="2:15" ht="15" thickBot="1" x14ac:dyDescent="0.35">
      <c r="C107" s="659" t="s">
        <v>692</v>
      </c>
      <c r="D107" s="660"/>
      <c r="E107" s="660"/>
      <c r="F107" s="660"/>
      <c r="G107" s="34" t="s">
        <v>62</v>
      </c>
      <c r="H107" s="59" t="e">
        <f>1/(H106+H105+H104)</f>
        <v>#DIV/0!</v>
      </c>
      <c r="J107" s="659" t="s">
        <v>692</v>
      </c>
      <c r="K107" s="660"/>
      <c r="L107" s="660"/>
      <c r="M107" s="660"/>
      <c r="N107" s="34" t="s">
        <v>62</v>
      </c>
      <c r="O107" s="59" t="e">
        <f>1/(O106+O105+O104)</f>
        <v>#DIV/0!</v>
      </c>
    </row>
    <row r="108" spans="2:15" ht="15" thickBot="1" x14ac:dyDescent="0.35">
      <c r="C108" s="176" t="s">
        <v>820</v>
      </c>
      <c r="J108" s="176" t="s">
        <v>821</v>
      </c>
    </row>
    <row r="109" spans="2:15" ht="15" customHeight="1" x14ac:dyDescent="0.3">
      <c r="B109" s="532"/>
      <c r="C109" s="649" t="s">
        <v>685</v>
      </c>
      <c r="D109" s="650"/>
      <c r="E109" s="653" t="s">
        <v>686</v>
      </c>
      <c r="F109" s="653" t="s">
        <v>687</v>
      </c>
      <c r="G109" s="653"/>
      <c r="H109" s="661" t="s">
        <v>688</v>
      </c>
      <c r="J109" s="649" t="s">
        <v>685</v>
      </c>
      <c r="K109" s="650"/>
      <c r="L109" s="653" t="s">
        <v>686</v>
      </c>
      <c r="M109" s="653" t="s">
        <v>687</v>
      </c>
      <c r="N109" s="653"/>
      <c r="O109" s="661" t="s">
        <v>688</v>
      </c>
    </row>
    <row r="110" spans="2:15" x14ac:dyDescent="0.3">
      <c r="B110" s="532"/>
      <c r="C110" s="651"/>
      <c r="D110" s="652"/>
      <c r="E110" s="654"/>
      <c r="F110" s="654"/>
      <c r="G110" s="654"/>
      <c r="H110" s="662"/>
      <c r="J110" s="651"/>
      <c r="K110" s="652"/>
      <c r="L110" s="654"/>
      <c r="M110" s="654"/>
      <c r="N110" s="654"/>
      <c r="O110" s="662"/>
    </row>
    <row r="111" spans="2:15" x14ac:dyDescent="0.3">
      <c r="B111" s="532"/>
      <c r="C111" s="651"/>
      <c r="D111" s="652"/>
      <c r="E111" s="483" t="s">
        <v>57</v>
      </c>
      <c r="F111" s="663" t="s">
        <v>58</v>
      </c>
      <c r="G111" s="663"/>
      <c r="H111" s="32" t="s">
        <v>59</v>
      </c>
      <c r="J111" s="651"/>
      <c r="K111" s="652"/>
      <c r="L111" s="483" t="s">
        <v>57</v>
      </c>
      <c r="M111" s="663" t="s">
        <v>58</v>
      </c>
      <c r="N111" s="663"/>
      <c r="O111" s="32" t="s">
        <v>59</v>
      </c>
    </row>
    <row r="112" spans="2:15" x14ac:dyDescent="0.3">
      <c r="B112" s="532"/>
      <c r="C112" s="33">
        <v>1</v>
      </c>
      <c r="D112" s="36" t="s">
        <v>768</v>
      </c>
      <c r="E112" s="35">
        <v>0.22</v>
      </c>
      <c r="F112" s="642">
        <f>IFERROR(VLOOKUP(D112,$Y$7:$Z$46,2,FALSE),"")</f>
        <v>1.2949999999999999</v>
      </c>
      <c r="G112" s="643"/>
      <c r="H112" s="57">
        <f t="shared" ref="H112:H116" si="14">IFERROR(IF(F112=0,0,E112/F112),"")</f>
        <v>0.16988416988416991</v>
      </c>
      <c r="J112" s="33">
        <v>1</v>
      </c>
      <c r="K112" s="36" t="s">
        <v>768</v>
      </c>
      <c r="L112" s="35">
        <v>0.22</v>
      </c>
      <c r="M112" s="642">
        <f>IFERROR(VLOOKUP(K112,$Y$7:$Z$46,2,FALSE),"")</f>
        <v>1.2949999999999999</v>
      </c>
      <c r="N112" s="643"/>
      <c r="O112" s="57">
        <f t="shared" ref="O112:O116" si="15">IFERROR(IF(M112=0,0,L112/M112),"")</f>
        <v>0.16988416988416991</v>
      </c>
    </row>
    <row r="113" spans="2:16" x14ac:dyDescent="0.3">
      <c r="B113" s="532"/>
      <c r="C113" s="33">
        <v>2</v>
      </c>
      <c r="D113" s="36" t="s">
        <v>704</v>
      </c>
      <c r="E113" s="35">
        <v>0.05</v>
      </c>
      <c r="F113" s="642">
        <f>IFERROR(VLOOKUP(D113,$Y$7:$Z$46,2,FALSE),"")</f>
        <v>0.76</v>
      </c>
      <c r="G113" s="643"/>
      <c r="H113" s="57">
        <f t="shared" si="14"/>
        <v>6.5789473684210523E-2</v>
      </c>
      <c r="J113" s="33">
        <v>2</v>
      </c>
      <c r="K113" s="36" t="s">
        <v>704</v>
      </c>
      <c r="L113" s="35">
        <v>0.05</v>
      </c>
      <c r="M113" s="642">
        <f>IFERROR(VLOOKUP(K113,$Y$7:$Z$46,2,FALSE),"")</f>
        <v>0.76</v>
      </c>
      <c r="N113" s="643"/>
      <c r="O113" s="57">
        <f t="shared" si="15"/>
        <v>6.5789473684210523E-2</v>
      </c>
    </row>
    <row r="114" spans="2:16" x14ac:dyDescent="0.3">
      <c r="B114" s="532"/>
      <c r="C114" s="33">
        <v>3</v>
      </c>
      <c r="D114" s="36"/>
      <c r="E114" s="35"/>
      <c r="F114" s="643"/>
      <c r="G114" s="643"/>
      <c r="H114" s="57">
        <f>IFERROR(IF(F114=0,0,E114/F114),"")</f>
        <v>0</v>
      </c>
      <c r="J114" s="33">
        <v>3</v>
      </c>
      <c r="K114" s="36"/>
      <c r="L114" s="35"/>
      <c r="M114" s="642" t="str">
        <f>IFERROR(VLOOKUP(K114,$Y$7:$Z$46,2,FALSE),"")</f>
        <v/>
      </c>
      <c r="N114" s="643"/>
      <c r="O114" s="57" t="str">
        <f t="shared" si="15"/>
        <v/>
      </c>
    </row>
    <row r="115" spans="2:16" x14ac:dyDescent="0.3">
      <c r="B115" s="532"/>
      <c r="C115" s="33"/>
      <c r="D115" s="36"/>
      <c r="E115" s="35"/>
      <c r="F115" s="531"/>
      <c r="G115" s="90"/>
      <c r="H115" s="57"/>
      <c r="J115" s="33">
        <v>4</v>
      </c>
      <c r="K115" s="36"/>
      <c r="L115" s="35"/>
      <c r="M115" s="642" t="str">
        <f>IFERROR(VLOOKUP(K115,$Y$7:$Z$46,2,FALSE),"")</f>
        <v/>
      </c>
      <c r="N115" s="643"/>
      <c r="O115" s="57" t="str">
        <f>IFERROR(IF(M115=0,0,L115/M115),"")</f>
        <v/>
      </c>
    </row>
    <row r="116" spans="2:16" x14ac:dyDescent="0.3">
      <c r="B116" s="532"/>
      <c r="C116" s="33">
        <v>4</v>
      </c>
      <c r="D116" s="36"/>
      <c r="E116" s="35"/>
      <c r="F116" s="642" t="str">
        <f>IFERROR(VLOOKUP(D116,$Y$7:$Z$46,2,FALSE),"")</f>
        <v/>
      </c>
      <c r="G116" s="643"/>
      <c r="H116" s="57" t="str">
        <f t="shared" si="14"/>
        <v/>
      </c>
      <c r="J116" s="33">
        <v>5</v>
      </c>
      <c r="K116" s="36"/>
      <c r="L116" s="35"/>
      <c r="M116" s="643" t="str">
        <f>IFERROR(VLOOKUP(K116,$Y$7:$Z$33,2,FALSE),"")</f>
        <v/>
      </c>
      <c r="N116" s="643"/>
      <c r="O116" s="57" t="str">
        <f t="shared" si="15"/>
        <v/>
      </c>
      <c r="P116" t="s">
        <v>866</v>
      </c>
    </row>
    <row r="117" spans="2:16" x14ac:dyDescent="0.3">
      <c r="B117" s="532"/>
      <c r="C117" s="33">
        <v>5</v>
      </c>
      <c r="D117" s="36"/>
      <c r="E117" s="35"/>
      <c r="F117" s="643" t="str">
        <f>IFERROR(VLOOKUP(D117,$Y$7:$Z$33,2,FALSE),"")</f>
        <v/>
      </c>
      <c r="G117" s="643"/>
      <c r="H117" s="57" t="str">
        <f>IFERROR(IF(F117=0,0,E117/F117),"")</f>
        <v/>
      </c>
      <c r="J117" s="33">
        <v>6</v>
      </c>
      <c r="K117" s="36"/>
      <c r="L117" s="35"/>
      <c r="M117" s="642" t="str">
        <f>IFERROR(VLOOKUP(K117,$Y$7:$Z$46,2,FALSE),"")</f>
        <v/>
      </c>
      <c r="N117" s="643"/>
      <c r="O117" s="57" t="str">
        <f>IFERROR(IF(M117=0,0,L117/M117),"")</f>
        <v/>
      </c>
    </row>
    <row r="118" spans="2:16" x14ac:dyDescent="0.3">
      <c r="B118" s="532"/>
      <c r="C118" s="33">
        <v>6</v>
      </c>
      <c r="D118" s="36"/>
      <c r="E118" s="35"/>
      <c r="F118" s="642" t="str">
        <f>IFERROR(VLOOKUP(D118,$Y$7:$Z$46,2,FALSE),"")</f>
        <v/>
      </c>
      <c r="G118" s="643"/>
      <c r="H118" s="57" t="str">
        <f>IFERROR(IF(F118=0,0,E118/F118),"")</f>
        <v/>
      </c>
      <c r="J118" s="33">
        <v>7</v>
      </c>
      <c r="K118" s="36"/>
      <c r="L118" s="35"/>
      <c r="M118" s="642" t="str">
        <f>IFERROR(VLOOKUP(K118,$Y$7:$Z$46,2,FALSE),"")</f>
        <v/>
      </c>
      <c r="N118" s="643"/>
      <c r="O118" s="57" t="str">
        <f>IFERROR(IF(M118=0,0,L118/M118),"")</f>
        <v/>
      </c>
    </row>
    <row r="119" spans="2:16" x14ac:dyDescent="0.3">
      <c r="B119" s="532"/>
      <c r="C119" s="655" t="s">
        <v>0</v>
      </c>
      <c r="D119" s="656"/>
      <c r="E119" s="15">
        <f>SUM(E112:E118)</f>
        <v>0.27</v>
      </c>
      <c r="F119" s="664"/>
      <c r="G119" s="664"/>
      <c r="H119" s="58">
        <f>SUM(H112:H118)</f>
        <v>0.23567364356838044</v>
      </c>
      <c r="J119" s="655" t="s">
        <v>0</v>
      </c>
      <c r="K119" s="656"/>
      <c r="L119" s="15">
        <f>SUM(L112:L118)</f>
        <v>0.27</v>
      </c>
      <c r="M119" s="664"/>
      <c r="N119" s="664"/>
      <c r="O119" s="58">
        <f>SUM(O112:O118)</f>
        <v>0.23567364356838044</v>
      </c>
    </row>
    <row r="120" spans="2:16" x14ac:dyDescent="0.3">
      <c r="B120" s="532"/>
      <c r="C120" s="657" t="s">
        <v>690</v>
      </c>
      <c r="D120" s="658"/>
      <c r="E120" s="658"/>
      <c r="F120" s="30" t="s">
        <v>60</v>
      </c>
      <c r="G120" s="30" t="s">
        <v>59</v>
      </c>
      <c r="H120" s="37">
        <f>H74</f>
        <v>2.1</v>
      </c>
      <c r="J120" s="657" t="s">
        <v>690</v>
      </c>
      <c r="K120" s="658"/>
      <c r="L120" s="658"/>
      <c r="M120" s="30" t="s">
        <v>60</v>
      </c>
      <c r="N120" s="30" t="s">
        <v>59</v>
      </c>
      <c r="O120" s="37">
        <f>H120</f>
        <v>2.1</v>
      </c>
    </row>
    <row r="121" spans="2:16" x14ac:dyDescent="0.3">
      <c r="B121" s="532"/>
      <c r="C121" s="657" t="s">
        <v>691</v>
      </c>
      <c r="D121" s="658"/>
      <c r="E121" s="658"/>
      <c r="F121" s="30" t="s">
        <v>61</v>
      </c>
      <c r="G121" s="30" t="s">
        <v>59</v>
      </c>
      <c r="H121" s="37">
        <f>H75</f>
        <v>0</v>
      </c>
      <c r="J121" s="657" t="s">
        <v>691</v>
      </c>
      <c r="K121" s="658"/>
      <c r="L121" s="658"/>
      <c r="M121" s="30" t="s">
        <v>61</v>
      </c>
      <c r="N121" s="30" t="s">
        <v>59</v>
      </c>
      <c r="O121" s="37">
        <f>H121</f>
        <v>0</v>
      </c>
    </row>
    <row r="122" spans="2:16" ht="15" thickBot="1" x14ac:dyDescent="0.35">
      <c r="B122" s="532"/>
      <c r="C122" s="659" t="s">
        <v>692</v>
      </c>
      <c r="D122" s="660"/>
      <c r="E122" s="660"/>
      <c r="F122" s="660"/>
      <c r="G122" s="34" t="s">
        <v>62</v>
      </c>
      <c r="H122" s="59">
        <f>1/(H121+H120+H119)</f>
        <v>0.42814200637732347</v>
      </c>
      <c r="J122" s="659" t="s">
        <v>692</v>
      </c>
      <c r="K122" s="660"/>
      <c r="L122" s="660"/>
      <c r="M122" s="660"/>
      <c r="N122" s="34" t="s">
        <v>62</v>
      </c>
      <c r="O122" s="59">
        <f>1/(O121+O120+O119)</f>
        <v>0.42814200637732347</v>
      </c>
    </row>
    <row r="124" spans="2:16" ht="15" thickBot="1" x14ac:dyDescent="0.35">
      <c r="C124" s="176" t="s">
        <v>822</v>
      </c>
      <c r="J124" s="176" t="s">
        <v>823</v>
      </c>
    </row>
    <row r="125" spans="2:16" ht="15" customHeight="1" x14ac:dyDescent="0.3">
      <c r="C125" s="649" t="s">
        <v>685</v>
      </c>
      <c r="D125" s="650"/>
      <c r="E125" s="653" t="s">
        <v>686</v>
      </c>
      <c r="F125" s="653" t="s">
        <v>687</v>
      </c>
      <c r="G125" s="653"/>
      <c r="H125" s="661" t="s">
        <v>688</v>
      </c>
      <c r="J125" s="649" t="s">
        <v>685</v>
      </c>
      <c r="K125" s="650"/>
      <c r="L125" s="653" t="s">
        <v>686</v>
      </c>
      <c r="M125" s="653" t="s">
        <v>687</v>
      </c>
      <c r="N125" s="653"/>
      <c r="O125" s="661" t="s">
        <v>688</v>
      </c>
    </row>
    <row r="126" spans="2:16" x14ac:dyDescent="0.3">
      <c r="C126" s="651"/>
      <c r="D126" s="652"/>
      <c r="E126" s="654"/>
      <c r="F126" s="654"/>
      <c r="G126" s="654"/>
      <c r="H126" s="662"/>
      <c r="J126" s="651"/>
      <c r="K126" s="652"/>
      <c r="L126" s="654"/>
      <c r="M126" s="654"/>
      <c r="N126" s="654"/>
      <c r="O126" s="662"/>
    </row>
    <row r="127" spans="2:16" x14ac:dyDescent="0.3">
      <c r="C127" s="651"/>
      <c r="D127" s="652"/>
      <c r="E127" s="483" t="s">
        <v>57</v>
      </c>
      <c r="F127" s="663" t="s">
        <v>58</v>
      </c>
      <c r="G127" s="663"/>
      <c r="H127" s="32" t="s">
        <v>59</v>
      </c>
      <c r="J127" s="651"/>
      <c r="K127" s="652"/>
      <c r="L127" s="483" t="s">
        <v>57</v>
      </c>
      <c r="M127" s="663" t="s">
        <v>58</v>
      </c>
      <c r="N127" s="663"/>
      <c r="O127" s="32" t="s">
        <v>59</v>
      </c>
    </row>
    <row r="128" spans="2:16" x14ac:dyDescent="0.3">
      <c r="C128" s="33">
        <v>1</v>
      </c>
      <c r="D128" s="36"/>
      <c r="E128" s="35"/>
      <c r="F128" s="642" t="str">
        <f t="shared" ref="F128:F133" si="16">IFERROR(VLOOKUP(D128,$Y$7:$Z$46,2,FALSE),"")</f>
        <v/>
      </c>
      <c r="G128" s="643"/>
      <c r="H128" s="57" t="str">
        <f t="shared" ref="H128:H131" si="17">IFERROR(IF(F128=0,0,E128/F128),"")</f>
        <v/>
      </c>
      <c r="J128" s="33">
        <v>1</v>
      </c>
      <c r="K128" s="36"/>
      <c r="L128" s="35"/>
      <c r="M128" s="642" t="str">
        <f t="shared" ref="M128:M134" si="18">IFERROR(VLOOKUP(K128,$Y$7:$Z$46,2,FALSE),"")</f>
        <v/>
      </c>
      <c r="N128" s="643"/>
      <c r="O128" s="57" t="str">
        <f>IFERROR(IF(M128=0,0,L128/M128),"")</f>
        <v/>
      </c>
    </row>
    <row r="129" spans="3:15" x14ac:dyDescent="0.3">
      <c r="C129" s="33">
        <v>2</v>
      </c>
      <c r="D129" s="36"/>
      <c r="E129" s="35"/>
      <c r="F129" s="642" t="str">
        <f t="shared" si="16"/>
        <v/>
      </c>
      <c r="G129" s="643"/>
      <c r="H129" s="57" t="str">
        <f t="shared" si="17"/>
        <v/>
      </c>
      <c r="J129" s="33">
        <v>2</v>
      </c>
      <c r="K129" s="36"/>
      <c r="L129" s="35"/>
      <c r="M129" s="642" t="str">
        <f t="shared" si="18"/>
        <v/>
      </c>
      <c r="N129" s="643"/>
      <c r="O129" s="57" t="str">
        <f t="shared" ref="O129:O131" si="19">IFERROR(IF(M129=0,0,L129/M129),"")</f>
        <v/>
      </c>
    </row>
    <row r="130" spans="3:15" x14ac:dyDescent="0.3">
      <c r="C130" s="33">
        <v>3</v>
      </c>
      <c r="D130" s="36"/>
      <c r="E130" s="35"/>
      <c r="F130" s="642" t="str">
        <f t="shared" si="16"/>
        <v/>
      </c>
      <c r="G130" s="643"/>
      <c r="H130" s="57" t="str">
        <f t="shared" si="17"/>
        <v/>
      </c>
      <c r="J130" s="33">
        <v>3</v>
      </c>
      <c r="K130" s="36"/>
      <c r="L130" s="35"/>
      <c r="M130" s="642" t="str">
        <f t="shared" si="18"/>
        <v/>
      </c>
      <c r="N130" s="643"/>
      <c r="O130" s="57" t="str">
        <f t="shared" si="19"/>
        <v/>
      </c>
    </row>
    <row r="131" spans="3:15" x14ac:dyDescent="0.3">
      <c r="C131" s="33">
        <v>4</v>
      </c>
      <c r="D131" s="36"/>
      <c r="E131" s="35"/>
      <c r="F131" s="642" t="str">
        <f t="shared" si="16"/>
        <v/>
      </c>
      <c r="G131" s="643"/>
      <c r="H131" s="57" t="str">
        <f t="shared" si="17"/>
        <v/>
      </c>
      <c r="J131" s="33">
        <v>4</v>
      </c>
      <c r="K131" s="36"/>
      <c r="L131" s="35"/>
      <c r="M131" s="642" t="str">
        <f t="shared" si="18"/>
        <v/>
      </c>
      <c r="N131" s="643"/>
      <c r="O131" s="57" t="str">
        <f t="shared" si="19"/>
        <v/>
      </c>
    </row>
    <row r="132" spans="3:15" x14ac:dyDescent="0.3">
      <c r="C132" s="33">
        <v>5</v>
      </c>
      <c r="D132" s="36"/>
      <c r="E132" s="35"/>
      <c r="F132" s="642" t="str">
        <f t="shared" si="16"/>
        <v/>
      </c>
      <c r="G132" s="643"/>
      <c r="H132" s="57" t="str">
        <f>IFERROR(IF(F132=0,0,E132/F132),"")</f>
        <v/>
      </c>
      <c r="J132" s="33">
        <v>5</v>
      </c>
      <c r="K132" s="36"/>
      <c r="L132" s="35"/>
      <c r="M132" s="642" t="str">
        <f t="shared" si="18"/>
        <v/>
      </c>
      <c r="N132" s="643"/>
      <c r="O132" s="57" t="str">
        <f>IFERROR(IF(M132=0,0,L132/M132),"")</f>
        <v/>
      </c>
    </row>
    <row r="133" spans="3:15" x14ac:dyDescent="0.3">
      <c r="C133" s="33">
        <v>6</v>
      </c>
      <c r="D133" s="36"/>
      <c r="E133" s="35"/>
      <c r="F133" s="642" t="str">
        <f t="shared" si="16"/>
        <v/>
      </c>
      <c r="G133" s="643"/>
      <c r="H133" s="57" t="str">
        <f>IFERROR(IF(F133=0,0,E133/F133),"")</f>
        <v/>
      </c>
      <c r="J133" s="33">
        <v>6</v>
      </c>
      <c r="K133" s="36"/>
      <c r="L133" s="35"/>
      <c r="M133" s="642" t="str">
        <f t="shared" si="18"/>
        <v/>
      </c>
      <c r="N133" s="643"/>
      <c r="O133" s="57" t="str">
        <f>IFERROR(IF(M133=0,0,L133/M133),"")</f>
        <v/>
      </c>
    </row>
    <row r="134" spans="3:15" x14ac:dyDescent="0.3">
      <c r="C134" s="33"/>
      <c r="D134" s="36"/>
      <c r="E134" s="35"/>
      <c r="F134" s="531"/>
      <c r="G134" s="90"/>
      <c r="H134" s="57"/>
      <c r="J134" s="33"/>
      <c r="K134" s="36"/>
      <c r="L134" s="35"/>
      <c r="M134" s="642" t="str">
        <f t="shared" si="18"/>
        <v/>
      </c>
      <c r="N134" s="643"/>
      <c r="O134" s="57" t="str">
        <f>IFERROR(IF(M134=0,0,L134/M134),"")</f>
        <v/>
      </c>
    </row>
    <row r="135" spans="3:15" x14ac:dyDescent="0.3">
      <c r="C135" s="655" t="s">
        <v>0</v>
      </c>
      <c r="D135" s="656"/>
      <c r="E135" s="15">
        <f>SUM(E128:E133)</f>
        <v>0</v>
      </c>
      <c r="F135" s="664"/>
      <c r="G135" s="664"/>
      <c r="H135" s="58">
        <f>SUM(H128:H133)</f>
        <v>0</v>
      </c>
      <c r="J135" s="655" t="s">
        <v>0</v>
      </c>
      <c r="K135" s="656"/>
      <c r="L135" s="15">
        <f>SUM(L128:L134)</f>
        <v>0</v>
      </c>
      <c r="M135" s="664"/>
      <c r="N135" s="664"/>
      <c r="O135" s="58">
        <f>SUM(O128:O133)</f>
        <v>0</v>
      </c>
    </row>
    <row r="136" spans="3:15" x14ac:dyDescent="0.3">
      <c r="C136" s="657" t="s">
        <v>690</v>
      </c>
      <c r="D136" s="658"/>
      <c r="E136" s="658"/>
      <c r="F136" s="30" t="s">
        <v>60</v>
      </c>
      <c r="G136" s="30" t="s">
        <v>59</v>
      </c>
      <c r="H136" s="37"/>
      <c r="J136" s="657" t="s">
        <v>690</v>
      </c>
      <c r="K136" s="658"/>
      <c r="L136" s="658"/>
      <c r="M136" s="30" t="s">
        <v>60</v>
      </c>
      <c r="N136" s="30" t="s">
        <v>59</v>
      </c>
      <c r="O136" s="37"/>
    </row>
    <row r="137" spans="3:15" x14ac:dyDescent="0.3">
      <c r="C137" s="657" t="s">
        <v>691</v>
      </c>
      <c r="D137" s="658"/>
      <c r="E137" s="658"/>
      <c r="F137" s="30" t="s">
        <v>61</v>
      </c>
      <c r="G137" s="30" t="s">
        <v>59</v>
      </c>
      <c r="H137" s="37"/>
      <c r="J137" s="657" t="s">
        <v>691</v>
      </c>
      <c r="K137" s="658"/>
      <c r="L137" s="658"/>
      <c r="M137" s="30" t="s">
        <v>61</v>
      </c>
      <c r="N137" s="30" t="s">
        <v>59</v>
      </c>
      <c r="O137" s="37"/>
    </row>
    <row r="138" spans="3:15" ht="15" thickBot="1" x14ac:dyDescent="0.35">
      <c r="C138" s="659" t="s">
        <v>692</v>
      </c>
      <c r="D138" s="660"/>
      <c r="E138" s="660"/>
      <c r="F138" s="660"/>
      <c r="G138" s="34" t="s">
        <v>62</v>
      </c>
      <c r="H138" s="59" t="e">
        <f>1/(H137+H136+H135)</f>
        <v>#DIV/0!</v>
      </c>
      <c r="J138" s="659" t="s">
        <v>692</v>
      </c>
      <c r="K138" s="660"/>
      <c r="L138" s="660"/>
      <c r="M138" s="660"/>
      <c r="N138" s="34" t="s">
        <v>62</v>
      </c>
      <c r="O138" s="59" t="e">
        <f>1/(O137+O136+O135)</f>
        <v>#DIV/0!</v>
      </c>
    </row>
    <row r="140" spans="3:15" x14ac:dyDescent="0.3">
      <c r="C140" s="176"/>
      <c r="J140" s="176"/>
    </row>
    <row r="141" spans="3:15" ht="15" customHeight="1" x14ac:dyDescent="0.3"/>
    <row r="155" spans="1:1" x14ac:dyDescent="0.3">
      <c r="A155" t="s">
        <v>137</v>
      </c>
    </row>
    <row r="156" spans="1:1" ht="15" customHeight="1" x14ac:dyDescent="0.3"/>
    <row r="170" spans="1:1" x14ac:dyDescent="0.3">
      <c r="A170" t="s">
        <v>493</v>
      </c>
    </row>
    <row r="171" spans="1:1" ht="14.7" customHeight="1" x14ac:dyDescent="0.3"/>
    <row r="185" spans="1:1" x14ac:dyDescent="0.3">
      <c r="A185" t="s">
        <v>630</v>
      </c>
    </row>
    <row r="186" spans="1:1" ht="14.7" customHeight="1" x14ac:dyDescent="0.3"/>
    <row r="200" spans="1:1" x14ac:dyDescent="0.3">
      <c r="A200" t="s">
        <v>631</v>
      </c>
    </row>
    <row r="201" spans="1:1" ht="15" customHeight="1" x14ac:dyDescent="0.3"/>
  </sheetData>
  <mergeCells count="230">
    <mergeCell ref="M115:N115"/>
    <mergeCell ref="M12:N12"/>
    <mergeCell ref="M13:N13"/>
    <mergeCell ref="M71:N71"/>
    <mergeCell ref="M72:N72"/>
    <mergeCell ref="J73:K73"/>
    <mergeCell ref="M73:N73"/>
    <mergeCell ref="J74:L74"/>
    <mergeCell ref="J75:L75"/>
    <mergeCell ref="J76:M76"/>
    <mergeCell ref="J64:K66"/>
    <mergeCell ref="L64:L65"/>
    <mergeCell ref="M64:N65"/>
    <mergeCell ref="M38:N38"/>
    <mergeCell ref="M39:N39"/>
    <mergeCell ref="M40:N40"/>
    <mergeCell ref="M41:N41"/>
    <mergeCell ref="M42:N42"/>
    <mergeCell ref="J43:K43"/>
    <mergeCell ref="M43:N43"/>
    <mergeCell ref="M86:N86"/>
    <mergeCell ref="M87:N87"/>
    <mergeCell ref="J88:K88"/>
    <mergeCell ref="M88:N88"/>
    <mergeCell ref="O64:O65"/>
    <mergeCell ref="M66:N66"/>
    <mergeCell ref="M67:N67"/>
    <mergeCell ref="M68:N68"/>
    <mergeCell ref="M69:N69"/>
    <mergeCell ref="M70:N70"/>
    <mergeCell ref="J121:L121"/>
    <mergeCell ref="J122:M122"/>
    <mergeCell ref="M112:N112"/>
    <mergeCell ref="M113:N113"/>
    <mergeCell ref="M114:N114"/>
    <mergeCell ref="M116:N116"/>
    <mergeCell ref="M117:N117"/>
    <mergeCell ref="M118:N118"/>
    <mergeCell ref="J119:K119"/>
    <mergeCell ref="M119:N119"/>
    <mergeCell ref="J120:L120"/>
    <mergeCell ref="M104:N104"/>
    <mergeCell ref="J105:L105"/>
    <mergeCell ref="J106:L106"/>
    <mergeCell ref="J107:M107"/>
    <mergeCell ref="J109:K111"/>
    <mergeCell ref="L109:L110"/>
    <mergeCell ref="M109:N110"/>
    <mergeCell ref="O109:O110"/>
    <mergeCell ref="M111:N111"/>
    <mergeCell ref="M95:N96"/>
    <mergeCell ref="O95:O96"/>
    <mergeCell ref="M97:N97"/>
    <mergeCell ref="M98:N98"/>
    <mergeCell ref="M99:N99"/>
    <mergeCell ref="M100:N100"/>
    <mergeCell ref="M101:N101"/>
    <mergeCell ref="M102:N102"/>
    <mergeCell ref="M103:N103"/>
    <mergeCell ref="F104:G104"/>
    <mergeCell ref="C105:E105"/>
    <mergeCell ref="C106:E106"/>
    <mergeCell ref="C107:F107"/>
    <mergeCell ref="J95:K97"/>
    <mergeCell ref="L95:L96"/>
    <mergeCell ref="J104:K104"/>
    <mergeCell ref="C95:D97"/>
    <mergeCell ref="E95:E96"/>
    <mergeCell ref="F95:G96"/>
    <mergeCell ref="H95:H96"/>
    <mergeCell ref="F97:G97"/>
    <mergeCell ref="F98:G98"/>
    <mergeCell ref="F99:G99"/>
    <mergeCell ref="F100:G100"/>
    <mergeCell ref="F101:G101"/>
    <mergeCell ref="J89:L89"/>
    <mergeCell ref="J90:L90"/>
    <mergeCell ref="J91:M91"/>
    <mergeCell ref="F82:G82"/>
    <mergeCell ref="F83:G83"/>
    <mergeCell ref="F84:G84"/>
    <mergeCell ref="F85:G85"/>
    <mergeCell ref="F86:G86"/>
    <mergeCell ref="F87:G87"/>
    <mergeCell ref="J79:K81"/>
    <mergeCell ref="L79:L80"/>
    <mergeCell ref="M79:N80"/>
    <mergeCell ref="O79:O80"/>
    <mergeCell ref="M81:N81"/>
    <mergeCell ref="M82:N82"/>
    <mergeCell ref="M83:N83"/>
    <mergeCell ref="M84:N84"/>
    <mergeCell ref="M85:N85"/>
    <mergeCell ref="M11:N11"/>
    <mergeCell ref="J14:K14"/>
    <mergeCell ref="M14:N14"/>
    <mergeCell ref="J15:L15"/>
    <mergeCell ref="J16:L16"/>
    <mergeCell ref="J17:M17"/>
    <mergeCell ref="O34:O35"/>
    <mergeCell ref="M36:N36"/>
    <mergeCell ref="M37:N37"/>
    <mergeCell ref="M34:N35"/>
    <mergeCell ref="L3:L4"/>
    <mergeCell ref="M3:N4"/>
    <mergeCell ref="O3:O4"/>
    <mergeCell ref="M5:N5"/>
    <mergeCell ref="M6:N6"/>
    <mergeCell ref="M7:N7"/>
    <mergeCell ref="M8:N8"/>
    <mergeCell ref="M9:N9"/>
    <mergeCell ref="M10:N10"/>
    <mergeCell ref="C3:D5"/>
    <mergeCell ref="E3:E4"/>
    <mergeCell ref="F3:G4"/>
    <mergeCell ref="H3:H4"/>
    <mergeCell ref="C14:D14"/>
    <mergeCell ref="F14:G14"/>
    <mergeCell ref="C16:E16"/>
    <mergeCell ref="C17:F17"/>
    <mergeCell ref="J3:K5"/>
    <mergeCell ref="F5:G5"/>
    <mergeCell ref="F6:G6"/>
    <mergeCell ref="F7:G7"/>
    <mergeCell ref="F8:G8"/>
    <mergeCell ref="F9:G9"/>
    <mergeCell ref="F10:G10"/>
    <mergeCell ref="F11:G11"/>
    <mergeCell ref="C15:E15"/>
    <mergeCell ref="C135:D135"/>
    <mergeCell ref="F135:G135"/>
    <mergeCell ref="J135:K135"/>
    <mergeCell ref="M135:N135"/>
    <mergeCell ref="C136:E136"/>
    <mergeCell ref="J136:L136"/>
    <mergeCell ref="C137:E137"/>
    <mergeCell ref="J137:L137"/>
    <mergeCell ref="C138:F138"/>
    <mergeCell ref="J138:M138"/>
    <mergeCell ref="F129:G129"/>
    <mergeCell ref="M129:N129"/>
    <mergeCell ref="F130:G130"/>
    <mergeCell ref="M130:N130"/>
    <mergeCell ref="F131:G131"/>
    <mergeCell ref="M131:N131"/>
    <mergeCell ref="F132:G132"/>
    <mergeCell ref="M132:N132"/>
    <mergeCell ref="F133:G133"/>
    <mergeCell ref="M133:N133"/>
    <mergeCell ref="H125:H126"/>
    <mergeCell ref="J125:K127"/>
    <mergeCell ref="L125:L126"/>
    <mergeCell ref="M125:N126"/>
    <mergeCell ref="O125:O126"/>
    <mergeCell ref="F127:G127"/>
    <mergeCell ref="M127:N127"/>
    <mergeCell ref="F128:G128"/>
    <mergeCell ref="M128:N128"/>
    <mergeCell ref="F116:G116"/>
    <mergeCell ref="F117:G117"/>
    <mergeCell ref="F118:G118"/>
    <mergeCell ref="C119:D119"/>
    <mergeCell ref="F119:G119"/>
    <mergeCell ref="C120:E120"/>
    <mergeCell ref="C121:E121"/>
    <mergeCell ref="C122:F122"/>
    <mergeCell ref="C125:D127"/>
    <mergeCell ref="E125:E126"/>
    <mergeCell ref="F125:G126"/>
    <mergeCell ref="C109:D111"/>
    <mergeCell ref="E109:E110"/>
    <mergeCell ref="F109:G110"/>
    <mergeCell ref="H109:H110"/>
    <mergeCell ref="F111:G111"/>
    <mergeCell ref="F112:G112"/>
    <mergeCell ref="F113:G113"/>
    <mergeCell ref="F114:G114"/>
    <mergeCell ref="F70:G70"/>
    <mergeCell ref="C89:E89"/>
    <mergeCell ref="H79:H80"/>
    <mergeCell ref="F81:G81"/>
    <mergeCell ref="F71:G71"/>
    <mergeCell ref="F72:G72"/>
    <mergeCell ref="C73:D73"/>
    <mergeCell ref="F73:G73"/>
    <mergeCell ref="C74:E74"/>
    <mergeCell ref="C75:E75"/>
    <mergeCell ref="C76:F76"/>
    <mergeCell ref="C90:E90"/>
    <mergeCell ref="C91:F91"/>
    <mergeCell ref="F102:G102"/>
    <mergeCell ref="F103:G103"/>
    <mergeCell ref="C104:D104"/>
    <mergeCell ref="C64:D66"/>
    <mergeCell ref="E64:E65"/>
    <mergeCell ref="F64:G65"/>
    <mergeCell ref="H64:H65"/>
    <mergeCell ref="F66:G66"/>
    <mergeCell ref="F67:G67"/>
    <mergeCell ref="C88:D88"/>
    <mergeCell ref="F88:G88"/>
    <mergeCell ref="F68:G68"/>
    <mergeCell ref="F69:G69"/>
    <mergeCell ref="C79:D81"/>
    <mergeCell ref="E79:E80"/>
    <mergeCell ref="F79:G80"/>
    <mergeCell ref="M134:N134"/>
    <mergeCell ref="Q14:S14"/>
    <mergeCell ref="Q15:S15"/>
    <mergeCell ref="C34:D36"/>
    <mergeCell ref="E34:E35"/>
    <mergeCell ref="F34:G35"/>
    <mergeCell ref="C43:D43"/>
    <mergeCell ref="C44:E44"/>
    <mergeCell ref="C45:E45"/>
    <mergeCell ref="C46:F46"/>
    <mergeCell ref="H34:H35"/>
    <mergeCell ref="F36:G36"/>
    <mergeCell ref="F37:G37"/>
    <mergeCell ref="F38:G38"/>
    <mergeCell ref="F39:G39"/>
    <mergeCell ref="F40:G40"/>
    <mergeCell ref="F42:G42"/>
    <mergeCell ref="F43:G43"/>
    <mergeCell ref="F41:G41"/>
    <mergeCell ref="J44:L44"/>
    <mergeCell ref="J45:L45"/>
    <mergeCell ref="J46:M46"/>
    <mergeCell ref="J34:K36"/>
    <mergeCell ref="L34:L35"/>
  </mergeCells>
  <dataValidations count="1">
    <dataValidation type="list" allowBlank="1" showInputMessage="1" showErrorMessage="1" sqref="K22:K27 D128:D134 D204:D209 K189:K194 D189:D194 K174:K179 D174:D179 K159:K164 D159:D164 K144:K149 D144:D149 D67:D72 K67:K72 K98:K103 D112:D118 D98:D103 K112:K118 D82:D87 K52:K57 K128:K134 K37:K42 D52:D57 K204:K209 D22:D27 D6:D13 K6:K13 D37:D42 K82:K87" xr:uid="{00000000-0002-0000-0500-000000000000}">
      <formula1>$Y$7:$Y$46</formula1>
    </dataValidation>
  </dataValidations>
  <pageMargins left="0.7" right="0.7" top="0.75" bottom="0.75" header="0.3" footer="0.3"/>
  <pageSetup paperSize="9" orientation="portrait" horizontalDpi="4294967293" verticalDpi="0"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2:T68"/>
  <sheetViews>
    <sheetView topLeftCell="A38" zoomScale="133" zoomScaleNormal="175" workbookViewId="0">
      <selection activeCell="B40" sqref="B40:K41"/>
    </sheetView>
  </sheetViews>
  <sheetFormatPr defaultRowHeight="14.4" x14ac:dyDescent="0.3"/>
  <cols>
    <col min="2" max="2" width="6.5546875" customWidth="1"/>
    <col min="3" max="3" width="20.5546875" customWidth="1"/>
    <col min="4" max="4" width="12.44140625" customWidth="1"/>
    <col min="7" max="13" width="10.44140625" customWidth="1"/>
    <col min="14" max="14" width="7.5546875" customWidth="1"/>
    <col min="15" max="15" width="6.5546875" customWidth="1"/>
    <col min="16" max="16" width="7.33203125" customWidth="1"/>
    <col min="17" max="17" width="7.5546875" customWidth="1"/>
    <col min="18" max="24" width="5" customWidth="1"/>
  </cols>
  <sheetData>
    <row r="2" spans="2:7" x14ac:dyDescent="0.3">
      <c r="B2" s="176" t="s">
        <v>352</v>
      </c>
    </row>
    <row r="4" spans="2:7" x14ac:dyDescent="0.3">
      <c r="B4" s="599" t="s">
        <v>97</v>
      </c>
      <c r="C4" s="669" t="s">
        <v>128</v>
      </c>
      <c r="D4" s="599" t="s">
        <v>129</v>
      </c>
      <c r="E4" s="181" t="s">
        <v>50</v>
      </c>
      <c r="F4" s="181" t="s">
        <v>130</v>
      </c>
      <c r="G4" s="181" t="s">
        <v>324</v>
      </c>
    </row>
    <row r="5" spans="2:7" x14ac:dyDescent="0.3">
      <c r="B5" s="599"/>
      <c r="C5" s="669"/>
      <c r="D5" s="599"/>
      <c r="E5" s="181" t="s">
        <v>31</v>
      </c>
      <c r="F5" s="181" t="s">
        <v>62</v>
      </c>
      <c r="G5" s="181" t="s">
        <v>132</v>
      </c>
    </row>
    <row r="6" spans="2:7" ht="14.7" customHeight="1" x14ac:dyDescent="0.3">
      <c r="B6" s="677" t="s">
        <v>67</v>
      </c>
      <c r="C6" s="678" t="s">
        <v>133</v>
      </c>
      <c r="D6" s="74"/>
      <c r="E6" s="82"/>
      <c r="F6" s="83"/>
      <c r="G6" s="126">
        <f t="shared" ref="G6:G11" si="0">IF(D6=D42,SUM(E42:K42),0)</f>
        <v>0</v>
      </c>
    </row>
    <row r="7" spans="2:7" ht="14.7" customHeight="1" x14ac:dyDescent="0.3">
      <c r="B7" s="677"/>
      <c r="C7" s="678"/>
      <c r="D7" s="74" t="str">
        <f>Envelope!AG104</f>
        <v>W1</v>
      </c>
      <c r="E7" s="82">
        <f>Envelope!AH104</f>
        <v>1492.8999999999999</v>
      </c>
      <c r="F7" s="83">
        <f>'U-values'!H17</f>
        <v>1.3754589172139198</v>
      </c>
      <c r="G7" s="126">
        <f>IF(D7=D43,SUM(E43:K44),0)</f>
        <v>95776.559094885961</v>
      </c>
    </row>
    <row r="8" spans="2:7" ht="14.7" customHeight="1" x14ac:dyDescent="0.3">
      <c r="B8" s="677"/>
      <c r="C8" s="678"/>
      <c r="D8" s="74"/>
      <c r="E8" s="82"/>
      <c r="F8" s="83"/>
      <c r="G8" s="126"/>
    </row>
    <row r="9" spans="2:7" ht="23.7" customHeight="1" x14ac:dyDescent="0.3">
      <c r="B9" s="677"/>
      <c r="C9" s="678"/>
      <c r="D9" s="74" t="str">
        <f>Envelope!AG106</f>
        <v>Socle 1. (heated space)</v>
      </c>
      <c r="E9" s="82">
        <f>Envelope!AH106</f>
        <v>0</v>
      </c>
      <c r="F9" s="83">
        <f>'U-values'!H46</f>
        <v>1.8503815182531478</v>
      </c>
      <c r="G9" s="126">
        <f t="shared" si="0"/>
        <v>0</v>
      </c>
    </row>
    <row r="10" spans="2:7" ht="25.2" customHeight="1" x14ac:dyDescent="0.3">
      <c r="B10" s="677"/>
      <c r="C10" s="678"/>
      <c r="D10" s="74"/>
      <c r="E10" s="82"/>
      <c r="F10" s="83"/>
      <c r="G10" s="126"/>
    </row>
    <row r="11" spans="2:7" x14ac:dyDescent="0.3">
      <c r="B11" s="677"/>
      <c r="C11" s="182" t="s">
        <v>134</v>
      </c>
      <c r="D11" s="74" t="str">
        <f>Envelope!AG108</f>
        <v>Socle 2</v>
      </c>
      <c r="E11" s="82">
        <f>Envelope!AH108</f>
        <v>0</v>
      </c>
      <c r="F11" s="367">
        <f>'U-values'!H76</f>
        <v>0.40593181057743372</v>
      </c>
      <c r="G11" s="126">
        <f t="shared" si="0"/>
        <v>0</v>
      </c>
    </row>
    <row r="12" spans="2:7" x14ac:dyDescent="0.3">
      <c r="B12" s="677"/>
      <c r="C12" s="182"/>
      <c r="D12" s="74"/>
      <c r="E12" s="74"/>
      <c r="F12" s="74"/>
      <c r="G12" s="126"/>
    </row>
    <row r="13" spans="2:7" x14ac:dyDescent="0.3">
      <c r="B13" s="677"/>
      <c r="C13" s="174" t="s">
        <v>359</v>
      </c>
      <c r="D13" s="175"/>
      <c r="E13" s="175"/>
      <c r="F13" s="175"/>
      <c r="G13" s="85">
        <f>SUM(G6:G12)</f>
        <v>95776.559094885961</v>
      </c>
    </row>
    <row r="14" spans="2:7" ht="14.7" customHeight="1" x14ac:dyDescent="0.3">
      <c r="B14" s="677" t="s">
        <v>136</v>
      </c>
      <c r="C14" s="413" t="s">
        <v>133</v>
      </c>
      <c r="D14" s="74" t="str">
        <f>Envelope!AG123</f>
        <v>R2</v>
      </c>
      <c r="E14" s="74">
        <f>Envelope!AH123</f>
        <v>0</v>
      </c>
      <c r="F14" s="367" t="e">
        <f>'U-values'!H107</f>
        <v>#DIV/0!</v>
      </c>
      <c r="G14" s="126"/>
    </row>
    <row r="15" spans="2:7" ht="14.7" customHeight="1" x14ac:dyDescent="0.3">
      <c r="B15" s="677"/>
      <c r="C15" s="415"/>
      <c r="D15" s="74"/>
      <c r="E15" s="74"/>
      <c r="F15" s="367"/>
      <c r="G15" s="126"/>
    </row>
    <row r="16" spans="2:7" x14ac:dyDescent="0.3">
      <c r="B16" s="677"/>
      <c r="C16" s="182" t="s">
        <v>138</v>
      </c>
      <c r="D16" s="74"/>
      <c r="E16" s="74"/>
      <c r="F16" s="74"/>
      <c r="G16" s="126"/>
    </row>
    <row r="17" spans="2:7" x14ac:dyDescent="0.3">
      <c r="B17" s="677"/>
      <c r="C17" s="413"/>
      <c r="D17" s="74"/>
      <c r="E17" s="74"/>
      <c r="F17" s="367"/>
      <c r="G17" s="126"/>
    </row>
    <row r="18" spans="2:7" x14ac:dyDescent="0.3">
      <c r="B18" s="677"/>
      <c r="C18" s="414" t="s">
        <v>135</v>
      </c>
      <c r="D18" s="74" t="str">
        <f>Envelope!AG122</f>
        <v>R1</v>
      </c>
      <c r="E18" s="74">
        <f>Envelope!AH122</f>
        <v>1279.175</v>
      </c>
      <c r="F18" s="367">
        <f>'U-values'!H91</f>
        <v>2.0618709964317823</v>
      </c>
      <c r="G18" s="126">
        <f>IF(D18=D54,SUM(E53:K54),0)</f>
        <v>123019.042303176</v>
      </c>
    </row>
    <row r="19" spans="2:7" x14ac:dyDescent="0.3">
      <c r="B19" s="677"/>
      <c r="C19" s="174" t="s">
        <v>358</v>
      </c>
      <c r="D19" s="175"/>
      <c r="E19" s="175"/>
      <c r="F19" s="175"/>
      <c r="G19" s="85">
        <f>SUM(G14:G18)</f>
        <v>123019.042303176</v>
      </c>
    </row>
    <row r="20" spans="2:7" ht="14.7" customHeight="1" x14ac:dyDescent="0.3">
      <c r="B20" s="677" t="s">
        <v>139</v>
      </c>
      <c r="C20" s="182" t="s">
        <v>134</v>
      </c>
      <c r="D20" s="74"/>
      <c r="E20" s="81"/>
      <c r="F20" s="367"/>
      <c r="G20" s="126">
        <f>IF(D20=D56,SUM(E56:K56),0)</f>
        <v>0</v>
      </c>
    </row>
    <row r="21" spans="2:7" x14ac:dyDescent="0.3">
      <c r="B21" s="677"/>
      <c r="C21" s="182" t="s">
        <v>141</v>
      </c>
      <c r="D21" s="74" t="str">
        <f>Envelope!AG115</f>
        <v>F1</v>
      </c>
      <c r="E21" s="81">
        <f>Envelope!AH115</f>
        <v>1279.175</v>
      </c>
      <c r="F21" s="367">
        <f>'U-values'!H122</f>
        <v>0.42814200637732347</v>
      </c>
      <c r="G21" s="126">
        <f>IF(D21=D57,SUM(E57:K57),0)</f>
        <v>14809.505287799559</v>
      </c>
    </row>
    <row r="22" spans="2:7" x14ac:dyDescent="0.3">
      <c r="B22" s="677"/>
      <c r="C22" s="182" t="s">
        <v>642</v>
      </c>
      <c r="D22" s="74" t="str">
        <f>Envelope!AG116</f>
        <v>F2</v>
      </c>
      <c r="E22" s="81">
        <f>Envelope!AH116</f>
        <v>0</v>
      </c>
      <c r="F22" s="367"/>
      <c r="G22" s="126"/>
    </row>
    <row r="23" spans="2:7" x14ac:dyDescent="0.3">
      <c r="B23" s="677"/>
      <c r="C23" s="174" t="s">
        <v>357</v>
      </c>
      <c r="D23" s="175"/>
      <c r="E23" s="175"/>
      <c r="F23" s="175"/>
      <c r="G23" s="85">
        <f>SUM(G20:G22)</f>
        <v>14809.505287799559</v>
      </c>
    </row>
    <row r="24" spans="2:7" ht="14.7" customHeight="1" x14ac:dyDescent="0.3">
      <c r="B24" s="673" t="s">
        <v>146</v>
      </c>
      <c r="C24" s="80"/>
      <c r="D24" s="74" t="str">
        <f>Envelope!AG86</f>
        <v>Win1</v>
      </c>
      <c r="E24" s="82">
        <f>Envelope!AI86</f>
        <v>0</v>
      </c>
      <c r="F24" s="81">
        <f>Envelope!AH86</f>
        <v>2.56</v>
      </c>
      <c r="G24" s="126">
        <f t="shared" ref="G24:G30" si="1">IF(D24=D60,SUM(E60:K60),0)</f>
        <v>0</v>
      </c>
    </row>
    <row r="25" spans="2:7" ht="14.7" customHeight="1" x14ac:dyDescent="0.3">
      <c r="B25" s="673"/>
      <c r="C25" s="80"/>
      <c r="D25" s="74" t="str">
        <f>Envelope!AG87</f>
        <v>Win2</v>
      </c>
      <c r="E25" s="82">
        <f>Envelope!AI87</f>
        <v>0</v>
      </c>
      <c r="F25" s="81">
        <f>Envelope!AH87</f>
        <v>2.78</v>
      </c>
      <c r="G25" s="126">
        <f t="shared" si="1"/>
        <v>0</v>
      </c>
    </row>
    <row r="26" spans="2:7" ht="14.7" customHeight="1" x14ac:dyDescent="0.3">
      <c r="B26" s="673"/>
      <c r="C26" s="80"/>
      <c r="D26" s="74" t="str">
        <f>Envelope!AG88</f>
        <v>Win3</v>
      </c>
      <c r="E26" s="82">
        <f>Envelope!AI88</f>
        <v>256.62</v>
      </c>
      <c r="F26" s="81">
        <f>Envelope!AH88</f>
        <v>2.94</v>
      </c>
      <c r="G26" s="126">
        <f>IF(D26=D62,SUM(E62:K62),0)</f>
        <v>20401.428574800004</v>
      </c>
    </row>
    <row r="27" spans="2:7" ht="14.7" customHeight="1" x14ac:dyDescent="0.3">
      <c r="B27" s="673"/>
      <c r="C27" s="80"/>
      <c r="D27" s="74"/>
      <c r="E27" s="82"/>
      <c r="F27" s="81"/>
      <c r="G27" s="126">
        <f t="shared" si="1"/>
        <v>0</v>
      </c>
    </row>
    <row r="28" spans="2:7" ht="14.7" customHeight="1" x14ac:dyDescent="0.3">
      <c r="B28" s="673"/>
      <c r="C28" s="80"/>
      <c r="D28" s="74" t="str">
        <f>Envelope!AG90</f>
        <v>D1</v>
      </c>
      <c r="E28" s="82">
        <f>Envelope!AI90</f>
        <v>61.43</v>
      </c>
      <c r="F28" s="81">
        <f>Envelope!AH90</f>
        <v>3.5</v>
      </c>
      <c r="G28" s="126">
        <f t="shared" si="1"/>
        <v>5813.9502050000001</v>
      </c>
    </row>
    <row r="29" spans="2:7" ht="14.7" customHeight="1" x14ac:dyDescent="0.3">
      <c r="B29" s="673"/>
      <c r="C29" s="80"/>
      <c r="D29" s="74" t="str">
        <f>Envelope!AG91</f>
        <v>D2</v>
      </c>
      <c r="E29" s="82">
        <f>Envelope!AI91</f>
        <v>0</v>
      </c>
      <c r="F29" s="81">
        <f>Envelope!AH91</f>
        <v>4</v>
      </c>
      <c r="G29" s="126">
        <f t="shared" si="1"/>
        <v>0</v>
      </c>
    </row>
    <row r="30" spans="2:7" ht="14.7" customHeight="1" x14ac:dyDescent="0.3">
      <c r="B30" s="673"/>
      <c r="C30" s="80"/>
      <c r="D30" s="74" t="str">
        <f>Envelope!AG92</f>
        <v>D3</v>
      </c>
      <c r="E30" s="82">
        <f>Envelope!AI92</f>
        <v>0</v>
      </c>
      <c r="F30" s="81">
        <f>Envelope!AH92</f>
        <v>5.88</v>
      </c>
      <c r="G30" s="126">
        <f t="shared" si="1"/>
        <v>0</v>
      </c>
    </row>
    <row r="31" spans="2:7" x14ac:dyDescent="0.3">
      <c r="B31" s="673"/>
      <c r="C31" s="670" t="s">
        <v>356</v>
      </c>
      <c r="D31" s="671"/>
      <c r="E31" s="671"/>
      <c r="F31" s="672"/>
      <c r="G31" s="85">
        <f>SUM(G24:G30)</f>
        <v>26215.378779800005</v>
      </c>
    </row>
    <row r="32" spans="2:7" x14ac:dyDescent="0.3">
      <c r="B32" s="674" t="s">
        <v>360</v>
      </c>
      <c r="C32" s="675"/>
      <c r="D32" s="675"/>
      <c r="E32" s="675"/>
      <c r="F32" s="676"/>
      <c r="G32" s="85">
        <f>G31+G23+G19+G13</f>
        <v>259820.48546566151</v>
      </c>
    </row>
    <row r="34" spans="2:20" x14ac:dyDescent="0.3">
      <c r="B34" s="176" t="s">
        <v>353</v>
      </c>
      <c r="M34" s="176" t="s">
        <v>325</v>
      </c>
    </row>
    <row r="35" spans="2:20" x14ac:dyDescent="0.3">
      <c r="N35" s="79">
        <v>13.8</v>
      </c>
      <c r="O35" s="79">
        <v>8.5</v>
      </c>
      <c r="P35" s="79">
        <v>3.5</v>
      </c>
      <c r="Q35" s="79">
        <v>1.9</v>
      </c>
      <c r="R35" s="79">
        <v>3.9</v>
      </c>
      <c r="S35" s="79">
        <v>9.4</v>
      </c>
      <c r="T35" s="79">
        <v>15.5</v>
      </c>
    </row>
    <row r="36" spans="2:20" x14ac:dyDescent="0.3">
      <c r="M36" s="181" t="s">
        <v>21</v>
      </c>
      <c r="N36" s="181" t="s">
        <v>327</v>
      </c>
      <c r="O36" s="181" t="s">
        <v>328</v>
      </c>
      <c r="P36" s="181" t="s">
        <v>329</v>
      </c>
      <c r="Q36" s="181" t="s">
        <v>330</v>
      </c>
      <c r="R36" s="181" t="s">
        <v>331</v>
      </c>
      <c r="S36" s="181" t="s">
        <v>332</v>
      </c>
      <c r="T36" s="181" t="s">
        <v>333</v>
      </c>
    </row>
    <row r="37" spans="2:20" x14ac:dyDescent="0.3">
      <c r="M37" s="183" t="s">
        <v>336</v>
      </c>
      <c r="N37" s="79" t="s">
        <v>1009</v>
      </c>
      <c r="O37" s="79" t="s">
        <v>1010</v>
      </c>
      <c r="P37" s="79" t="s">
        <v>1011</v>
      </c>
      <c r="Q37" s="79" t="s">
        <v>1001</v>
      </c>
      <c r="R37" s="79" t="s">
        <v>1002</v>
      </c>
      <c r="S37" s="79" t="s">
        <v>1003</v>
      </c>
      <c r="T37" s="79" t="s">
        <v>1004</v>
      </c>
    </row>
    <row r="38" spans="2:20" ht="14.7" customHeight="1" x14ac:dyDescent="0.3">
      <c r="M38" s="183" t="s">
        <v>326</v>
      </c>
      <c r="N38" s="79">
        <v>15</v>
      </c>
      <c r="O38" s="79">
        <v>27</v>
      </c>
      <c r="P38" s="79">
        <v>28</v>
      </c>
      <c r="Q38" s="79">
        <v>28</v>
      </c>
      <c r="R38" s="79">
        <v>25</v>
      </c>
      <c r="S38" s="79">
        <v>28</v>
      </c>
      <c r="T38" s="79">
        <v>12</v>
      </c>
    </row>
    <row r="39" spans="2:20" x14ac:dyDescent="0.3">
      <c r="E39" t="s">
        <v>212</v>
      </c>
      <c r="F39" t="s">
        <v>638</v>
      </c>
      <c r="G39" t="s">
        <v>639</v>
      </c>
      <c r="H39" t="s">
        <v>341</v>
      </c>
      <c r="I39" t="s">
        <v>640</v>
      </c>
      <c r="J39" t="s">
        <v>211</v>
      </c>
      <c r="K39" t="s">
        <v>641</v>
      </c>
      <c r="M39" s="183" t="s">
        <v>334</v>
      </c>
      <c r="N39" s="79">
        <f>Building_data!$D$9-'Losses env. before'!N37</f>
        <v>9.6</v>
      </c>
      <c r="O39" s="79">
        <f>Building_data!$D$9-'Losses env. before'!O37</f>
        <v>15.4</v>
      </c>
      <c r="P39" s="79">
        <f>Building_data!$D$9-'Losses env. before'!P37</f>
        <v>20.8</v>
      </c>
      <c r="Q39" s="79">
        <f>Building_data!$D$9-'Losses env. before'!Q37</f>
        <v>22.1</v>
      </c>
      <c r="R39" s="79">
        <f>Building_data!$D$9-'Losses env. before'!R37</f>
        <v>19.5</v>
      </c>
      <c r="S39" s="79">
        <f>Building_data!$D$9-'Losses env. before'!S37</f>
        <v>13.4</v>
      </c>
      <c r="T39" s="79">
        <f>Building_data!$D$9-'Losses env. before'!T37</f>
        <v>6.6999999999999993</v>
      </c>
    </row>
    <row r="40" spans="2:20" x14ac:dyDescent="0.3">
      <c r="B40" s="599" t="s">
        <v>97</v>
      </c>
      <c r="C40" s="181" t="s">
        <v>128</v>
      </c>
      <c r="D40" s="187" t="s">
        <v>129</v>
      </c>
      <c r="E40" s="181" t="s">
        <v>337</v>
      </c>
      <c r="F40" s="181" t="s">
        <v>339</v>
      </c>
      <c r="G40" s="181" t="s">
        <v>340</v>
      </c>
      <c r="H40" s="181" t="s">
        <v>341</v>
      </c>
      <c r="I40" s="181" t="s">
        <v>342</v>
      </c>
      <c r="J40" s="181" t="s">
        <v>343</v>
      </c>
      <c r="K40" s="181" t="s">
        <v>344</v>
      </c>
      <c r="M40" s="183" t="s">
        <v>335</v>
      </c>
      <c r="N40" s="79">
        <f>N38*Building_data!$D$14</f>
        <v>150</v>
      </c>
      <c r="O40" s="79">
        <f>O38*Building_data!$D$14</f>
        <v>270</v>
      </c>
      <c r="P40" s="79">
        <f>P38*Building_data!$D$14</f>
        <v>280</v>
      </c>
      <c r="Q40" s="79">
        <f>Q38*Building_data!$D$14</f>
        <v>280</v>
      </c>
      <c r="R40" s="79">
        <f>R38*Building_data!$D$14</f>
        <v>250</v>
      </c>
      <c r="S40" s="79">
        <f>S38*Building_data!$D$14</f>
        <v>280</v>
      </c>
      <c r="T40" s="79">
        <f>T38*Building_data!$D$14</f>
        <v>120</v>
      </c>
    </row>
    <row r="41" spans="2:20" x14ac:dyDescent="0.3">
      <c r="B41" s="599"/>
      <c r="C41" s="181"/>
      <c r="D41" s="187"/>
      <c r="E41" s="181" t="s">
        <v>338</v>
      </c>
      <c r="F41" s="181" t="s">
        <v>338</v>
      </c>
      <c r="G41" s="181" t="s">
        <v>338</v>
      </c>
      <c r="H41" s="181" t="s">
        <v>338</v>
      </c>
      <c r="I41" s="181" t="s">
        <v>338</v>
      </c>
      <c r="J41" s="181" t="s">
        <v>338</v>
      </c>
      <c r="K41" s="181" t="s">
        <v>338</v>
      </c>
    </row>
    <row r="42" spans="2:20" ht="24.6" customHeight="1" x14ac:dyDescent="0.3">
      <c r="B42" s="684" t="s">
        <v>67</v>
      </c>
      <c r="C42" s="682" t="s">
        <v>133</v>
      </c>
      <c r="D42" s="74">
        <f t="shared" ref="D42:D48" si="2">D6</f>
        <v>0</v>
      </c>
      <c r="E42" s="126">
        <f t="shared" ref="E42:K42" si="3">($E$6*$F$6*N39*N40)/1000</f>
        <v>0</v>
      </c>
      <c r="F42" s="126">
        <f t="shared" si="3"/>
        <v>0</v>
      </c>
      <c r="G42" s="126">
        <f t="shared" si="3"/>
        <v>0</v>
      </c>
      <c r="H42" s="126">
        <f t="shared" si="3"/>
        <v>0</v>
      </c>
      <c r="I42" s="126">
        <f t="shared" si="3"/>
        <v>0</v>
      </c>
      <c r="J42" s="126">
        <f t="shared" si="3"/>
        <v>0</v>
      </c>
      <c r="K42" s="126">
        <f t="shared" si="3"/>
        <v>0</v>
      </c>
      <c r="M42" s="181" t="s">
        <v>21</v>
      </c>
      <c r="N42" s="181" t="s">
        <v>327</v>
      </c>
      <c r="O42" s="181" t="s">
        <v>328</v>
      </c>
      <c r="P42" s="181" t="s">
        <v>329</v>
      </c>
      <c r="Q42" s="181" t="s">
        <v>330</v>
      </c>
      <c r="R42" s="181" t="s">
        <v>331</v>
      </c>
      <c r="S42" s="181" t="s">
        <v>332</v>
      </c>
      <c r="T42" s="181" t="s">
        <v>333</v>
      </c>
    </row>
    <row r="43" spans="2:20" ht="14.7" customHeight="1" x14ac:dyDescent="0.3">
      <c r="B43" s="685"/>
      <c r="C43" s="683"/>
      <c r="D43" s="74" t="str">
        <f t="shared" si="2"/>
        <v>W1</v>
      </c>
      <c r="E43" s="126">
        <f t="shared" ref="E43:K43" si="4">($E$7*$F$7*N39*N40)/1000</f>
        <v>2956.9285692124713</v>
      </c>
      <c r="F43" s="126">
        <f t="shared" si="4"/>
        <v>8538.1312436010103</v>
      </c>
      <c r="G43" s="126">
        <f t="shared" si="4"/>
        <v>11959.133324370438</v>
      </c>
      <c r="H43" s="126">
        <f t="shared" si="4"/>
        <v>12706.579157143591</v>
      </c>
      <c r="I43" s="126">
        <f t="shared" si="4"/>
        <v>10010.43526035472</v>
      </c>
      <c r="J43" s="126">
        <f t="shared" si="4"/>
        <v>7704.4416608924948</v>
      </c>
      <c r="K43" s="126">
        <f t="shared" si="4"/>
        <v>1650.951784476963</v>
      </c>
      <c r="M43" s="183" t="s">
        <v>336</v>
      </c>
      <c r="N43" s="79" t="s">
        <v>1009</v>
      </c>
      <c r="O43" s="79" t="s">
        <v>1010</v>
      </c>
      <c r="P43" s="79" t="s">
        <v>1011</v>
      </c>
      <c r="Q43" s="79" t="s">
        <v>1001</v>
      </c>
      <c r="R43" s="79" t="s">
        <v>1002</v>
      </c>
      <c r="S43" s="79" t="s">
        <v>1003</v>
      </c>
      <c r="T43" s="79" t="s">
        <v>1004</v>
      </c>
    </row>
    <row r="44" spans="2:20" ht="14.7" customHeight="1" x14ac:dyDescent="0.3">
      <c r="B44" s="685"/>
      <c r="C44" s="683"/>
      <c r="D44" s="74" t="s">
        <v>785</v>
      </c>
      <c r="E44" s="126">
        <f>($E$7*$F$7*N45*N46)/1000</f>
        <v>689.94999948290979</v>
      </c>
      <c r="F44" s="126">
        <f>($E$7*$F$7*O45*O46)/1000</f>
        <v>5743.8337456952258</v>
      </c>
      <c r="G44" s="126">
        <f t="shared" ref="G44:K44" si="5">($E$7*$F$7*P45*P46)/1000</f>
        <v>10303.253325611455</v>
      </c>
      <c r="H44" s="126">
        <f t="shared" si="5"/>
        <v>11349.677491493867</v>
      </c>
      <c r="I44" s="126">
        <f t="shared" si="5"/>
        <v>8265.0260354723578</v>
      </c>
      <c r="J44" s="126">
        <f t="shared" si="5"/>
        <v>4346.6849967423332</v>
      </c>
      <c r="K44" s="126">
        <f t="shared" si="5"/>
        <v>-448.46749966389166</v>
      </c>
      <c r="M44" s="183" t="s">
        <v>326</v>
      </c>
      <c r="N44" s="79">
        <v>15</v>
      </c>
      <c r="O44" s="79">
        <v>27</v>
      </c>
      <c r="P44" s="79">
        <v>28</v>
      </c>
      <c r="Q44" s="79">
        <v>28</v>
      </c>
      <c r="R44" s="79">
        <v>25</v>
      </c>
      <c r="S44" s="79">
        <v>28</v>
      </c>
      <c r="T44" s="79">
        <v>12</v>
      </c>
    </row>
    <row r="45" spans="2:20" ht="22.5" customHeight="1" x14ac:dyDescent="0.3">
      <c r="B45" s="685"/>
      <c r="C45" s="683"/>
      <c r="D45" s="74" t="str">
        <f t="shared" si="2"/>
        <v>Socle 1. (heated space)</v>
      </c>
      <c r="E45" s="126">
        <f t="shared" ref="E45:K45" si="6">($E$9*$F$9*N39*N40)/1000</f>
        <v>0</v>
      </c>
      <c r="F45" s="126">
        <f t="shared" si="6"/>
        <v>0</v>
      </c>
      <c r="G45" s="126">
        <f t="shared" si="6"/>
        <v>0</v>
      </c>
      <c r="H45" s="126">
        <f t="shared" si="6"/>
        <v>0</v>
      </c>
      <c r="I45" s="126">
        <f t="shared" si="6"/>
        <v>0</v>
      </c>
      <c r="J45" s="126">
        <f t="shared" si="6"/>
        <v>0</v>
      </c>
      <c r="K45" s="126">
        <f t="shared" si="6"/>
        <v>0</v>
      </c>
      <c r="M45" s="183" t="s">
        <v>334</v>
      </c>
      <c r="N45" s="79">
        <f>Building_data!$D8-'Losses env. before'!N43</f>
        <v>1.5999999999999996</v>
      </c>
      <c r="O45" s="79">
        <f>Building_data!$D8-'Losses env. before'!O43</f>
        <v>7.4</v>
      </c>
      <c r="P45" s="79">
        <f>Building_data!$D8-'Losses env. before'!P43</f>
        <v>12.8</v>
      </c>
      <c r="Q45" s="79">
        <f>Building_data!$D8-'Losses env. before'!Q43</f>
        <v>14.1</v>
      </c>
      <c r="R45" s="79">
        <f>Building_data!$D8-'Losses env. before'!R43</f>
        <v>11.5</v>
      </c>
      <c r="S45" s="79">
        <f>Building_data!$D8-'Losses env. before'!S43</f>
        <v>5.4</v>
      </c>
      <c r="T45" s="79">
        <f>Building_data!$D8-'Losses env. before'!T43</f>
        <v>-1.3000000000000007</v>
      </c>
    </row>
    <row r="46" spans="2:20" ht="21.45" customHeight="1" x14ac:dyDescent="0.3">
      <c r="B46" s="685"/>
      <c r="C46" s="683"/>
      <c r="D46" s="74">
        <f t="shared" si="2"/>
        <v>0</v>
      </c>
      <c r="E46" s="126">
        <f t="shared" ref="E46:K46" si="7">($E$10*$F$10*N39*N40)/1000</f>
        <v>0</v>
      </c>
      <c r="F46" s="126">
        <f t="shared" si="7"/>
        <v>0</v>
      </c>
      <c r="G46" s="126">
        <f t="shared" si="7"/>
        <v>0</v>
      </c>
      <c r="H46" s="126">
        <f t="shared" si="7"/>
        <v>0</v>
      </c>
      <c r="I46" s="126">
        <f t="shared" si="7"/>
        <v>0</v>
      </c>
      <c r="J46" s="126">
        <f t="shared" si="7"/>
        <v>0</v>
      </c>
      <c r="K46" s="126">
        <f t="shared" si="7"/>
        <v>0</v>
      </c>
      <c r="M46" s="183" t="s">
        <v>335</v>
      </c>
      <c r="N46" s="79">
        <f>N44*Building_data!$D$13</f>
        <v>210</v>
      </c>
      <c r="O46" s="79">
        <f>O44*Building_data!$D$13</f>
        <v>378</v>
      </c>
      <c r="P46" s="79">
        <f>P44*Building_data!$D$13</f>
        <v>392</v>
      </c>
      <c r="Q46" s="79">
        <f>Q44*Building_data!$D$13</f>
        <v>392</v>
      </c>
      <c r="R46" s="79">
        <f>R44*Building_data!$D$13</f>
        <v>350</v>
      </c>
      <c r="S46" s="79">
        <f>S44*Building_data!$D$13</f>
        <v>392</v>
      </c>
      <c r="T46" s="79">
        <f>T44*Building_data!$D$13</f>
        <v>168</v>
      </c>
    </row>
    <row r="47" spans="2:20" x14ac:dyDescent="0.3">
      <c r="B47" s="685"/>
      <c r="C47" s="182" t="s">
        <v>134</v>
      </c>
      <c r="D47" s="74" t="str">
        <f t="shared" si="2"/>
        <v>Socle 2</v>
      </c>
      <c r="E47" s="126">
        <f t="shared" ref="E47:K47" si="8">($E$11*$F$11*N39*N40)/1000</f>
        <v>0</v>
      </c>
      <c r="F47" s="126">
        <f t="shared" si="8"/>
        <v>0</v>
      </c>
      <c r="G47" s="126">
        <f t="shared" si="8"/>
        <v>0</v>
      </c>
      <c r="H47" s="126">
        <f t="shared" si="8"/>
        <v>0</v>
      </c>
      <c r="I47" s="126">
        <f t="shared" si="8"/>
        <v>0</v>
      </c>
      <c r="J47" s="126">
        <f t="shared" si="8"/>
        <v>0</v>
      </c>
      <c r="K47" s="126">
        <f t="shared" si="8"/>
        <v>0</v>
      </c>
    </row>
    <row r="48" spans="2:20" x14ac:dyDescent="0.3">
      <c r="B48" s="686"/>
      <c r="C48" s="182" t="s">
        <v>135</v>
      </c>
      <c r="D48" s="74">
        <f t="shared" si="2"/>
        <v>0</v>
      </c>
      <c r="E48" s="126">
        <f t="shared" ref="E48:K48" si="9">($E$12*$F$12*N39*N40)/1000</f>
        <v>0</v>
      </c>
      <c r="F48" s="126">
        <f t="shared" si="9"/>
        <v>0</v>
      </c>
      <c r="G48" s="126">
        <f t="shared" si="9"/>
        <v>0</v>
      </c>
      <c r="H48" s="126">
        <f t="shared" si="9"/>
        <v>0</v>
      </c>
      <c r="I48" s="126">
        <f t="shared" si="9"/>
        <v>0</v>
      </c>
      <c r="J48" s="126">
        <f t="shared" si="9"/>
        <v>0</v>
      </c>
      <c r="K48" s="126">
        <f t="shared" si="9"/>
        <v>0</v>
      </c>
    </row>
    <row r="49" spans="2:11" x14ac:dyDescent="0.3">
      <c r="B49" s="349"/>
      <c r="C49" s="174" t="s">
        <v>350</v>
      </c>
      <c r="D49" s="175"/>
      <c r="E49" s="85">
        <f t="shared" ref="E49:K49" si="10">SUM(E42:E48)</f>
        <v>3646.8785686953811</v>
      </c>
      <c r="F49" s="85">
        <f t="shared" si="10"/>
        <v>14281.964989296237</v>
      </c>
      <c r="G49" s="85">
        <f t="shared" si="10"/>
        <v>22262.386649981891</v>
      </c>
      <c r="H49" s="85">
        <f t="shared" si="10"/>
        <v>24056.256648637456</v>
      </c>
      <c r="I49" s="85">
        <f t="shared" si="10"/>
        <v>18275.461295827077</v>
      </c>
      <c r="J49" s="85">
        <f t="shared" si="10"/>
        <v>12051.126657634828</v>
      </c>
      <c r="K49" s="85">
        <f t="shared" si="10"/>
        <v>1202.4842848130713</v>
      </c>
    </row>
    <row r="50" spans="2:11" ht="14.7" customHeight="1" x14ac:dyDescent="0.3">
      <c r="B50" s="684" t="s">
        <v>136</v>
      </c>
      <c r="C50" s="682" t="s">
        <v>133</v>
      </c>
      <c r="D50" s="74" t="s">
        <v>493</v>
      </c>
      <c r="E50" s="126"/>
      <c r="F50" s="126"/>
      <c r="G50" s="126"/>
      <c r="H50" s="126"/>
      <c r="I50" s="126"/>
      <c r="J50" s="126"/>
      <c r="K50" s="126"/>
    </row>
    <row r="51" spans="2:11" ht="14.7" customHeight="1" x14ac:dyDescent="0.3">
      <c r="B51" s="685"/>
      <c r="C51" s="687"/>
      <c r="D51" s="74"/>
      <c r="E51" s="126"/>
      <c r="F51" s="126">
        <f t="shared" ref="F51:K51" si="11">($E$15*$F$15*O39*O40)/1000</f>
        <v>0</v>
      </c>
      <c r="G51" s="126">
        <f t="shared" si="11"/>
        <v>0</v>
      </c>
      <c r="H51" s="126">
        <f t="shared" si="11"/>
        <v>0</v>
      </c>
      <c r="I51" s="126">
        <f t="shared" si="11"/>
        <v>0</v>
      </c>
      <c r="J51" s="126">
        <f t="shared" si="11"/>
        <v>0</v>
      </c>
      <c r="K51" s="126">
        <f t="shared" si="11"/>
        <v>0</v>
      </c>
    </row>
    <row r="52" spans="2:11" x14ac:dyDescent="0.3">
      <c r="B52" s="685"/>
      <c r="C52" s="182" t="s">
        <v>138</v>
      </c>
      <c r="D52" s="74">
        <f>D16</f>
        <v>0</v>
      </c>
      <c r="E52" s="126"/>
      <c r="F52" s="126">
        <f t="shared" ref="F52:K52" si="12">($E$16*$F$16*O39*O40)/1000</f>
        <v>0</v>
      </c>
      <c r="G52" s="126">
        <f t="shared" si="12"/>
        <v>0</v>
      </c>
      <c r="H52" s="126">
        <f t="shared" si="12"/>
        <v>0</v>
      </c>
      <c r="I52" s="126">
        <f t="shared" si="12"/>
        <v>0</v>
      </c>
      <c r="J52" s="126">
        <f t="shared" si="12"/>
        <v>0</v>
      </c>
      <c r="K52" s="126">
        <f t="shared" si="12"/>
        <v>0</v>
      </c>
    </row>
    <row r="53" spans="2:11" x14ac:dyDescent="0.3">
      <c r="B53" s="685"/>
      <c r="C53" s="682" t="s">
        <v>135</v>
      </c>
      <c r="D53" s="74"/>
      <c r="E53" s="126">
        <f>($E$18*$F$18*N45*N46)/1000</f>
        <v>886.1979275051699</v>
      </c>
      <c r="F53" s="126">
        <f t="shared" ref="F53:K53" si="13">($E$18*$F$18*O45*O46)/1000</f>
        <v>7377.597746480541</v>
      </c>
      <c r="G53" s="126">
        <f t="shared" si="13"/>
        <v>13233.889050743872</v>
      </c>
      <c r="H53" s="126">
        <f t="shared" si="13"/>
        <v>14577.955907460047</v>
      </c>
      <c r="I53" s="126">
        <f t="shared" si="13"/>
        <v>10615.912673239016</v>
      </c>
      <c r="J53" s="126">
        <f t="shared" si="13"/>
        <v>5583.0469432825712</v>
      </c>
      <c r="K53" s="126">
        <f t="shared" si="13"/>
        <v>-576.02865287836084</v>
      </c>
    </row>
    <row r="54" spans="2:11" x14ac:dyDescent="0.3">
      <c r="B54" s="686"/>
      <c r="C54" s="687"/>
      <c r="D54" s="74" t="s">
        <v>137</v>
      </c>
      <c r="E54" s="126">
        <f t="shared" ref="E54:K54" si="14">($E$18*$F$18*N39*N40)/1000</f>
        <v>3797.9911178793</v>
      </c>
      <c r="F54" s="126">
        <f t="shared" si="14"/>
        <v>10966.69935287648</v>
      </c>
      <c r="G54" s="126">
        <f t="shared" si="14"/>
        <v>15360.764076756283</v>
      </c>
      <c r="H54" s="126">
        <f t="shared" si="14"/>
        <v>16320.811831553548</v>
      </c>
      <c r="I54" s="126">
        <f t="shared" si="14"/>
        <v>12857.782430320547</v>
      </c>
      <c r="J54" s="126">
        <f t="shared" si="14"/>
        <v>9895.8768571410656</v>
      </c>
      <c r="K54" s="126">
        <f t="shared" si="14"/>
        <v>2120.5450408159422</v>
      </c>
    </row>
    <row r="55" spans="2:11" x14ac:dyDescent="0.3">
      <c r="B55" s="349"/>
      <c r="C55" s="174" t="s">
        <v>351</v>
      </c>
      <c r="D55" s="175"/>
      <c r="E55" s="85">
        <f t="shared" ref="E55:K55" si="15">SUM(E50:E54)</f>
        <v>4684.1890453844699</v>
      </c>
      <c r="F55" s="85">
        <f t="shared" si="15"/>
        <v>18344.29709935702</v>
      </c>
      <c r="G55" s="85">
        <f t="shared" si="15"/>
        <v>28594.653127500154</v>
      </c>
      <c r="H55" s="85">
        <f t="shared" si="15"/>
        <v>30898.767739013594</v>
      </c>
      <c r="I55" s="85">
        <f t="shared" si="15"/>
        <v>23473.695103559563</v>
      </c>
      <c r="J55" s="85">
        <f t="shared" si="15"/>
        <v>15478.923800423636</v>
      </c>
      <c r="K55" s="85">
        <f t="shared" si="15"/>
        <v>1544.5163879375814</v>
      </c>
    </row>
    <row r="56" spans="2:11" ht="14.7" customHeight="1" x14ac:dyDescent="0.3">
      <c r="B56" s="684" t="s">
        <v>139</v>
      </c>
      <c r="C56" s="182" t="s">
        <v>134</v>
      </c>
      <c r="D56" s="74"/>
      <c r="E56" s="126">
        <f t="shared" ref="E56:K56" si="16">($E$20*$F$20*N39*N40)/1000</f>
        <v>0</v>
      </c>
      <c r="F56" s="126">
        <f t="shared" si="16"/>
        <v>0</v>
      </c>
      <c r="G56" s="126">
        <f t="shared" si="16"/>
        <v>0</v>
      </c>
      <c r="H56" s="126">
        <f t="shared" si="16"/>
        <v>0</v>
      </c>
      <c r="I56" s="126">
        <f t="shared" si="16"/>
        <v>0</v>
      </c>
      <c r="J56" s="126">
        <f t="shared" si="16"/>
        <v>0</v>
      </c>
      <c r="K56" s="126">
        <f t="shared" si="16"/>
        <v>0</v>
      </c>
    </row>
    <row r="57" spans="2:11" x14ac:dyDescent="0.3">
      <c r="B57" s="685"/>
      <c r="C57" s="182" t="s">
        <v>141</v>
      </c>
      <c r="D57" s="74" t="s">
        <v>140</v>
      </c>
      <c r="E57" s="126">
        <f t="shared" ref="E57:K57" si="17">($E$21*$F$21*N39*N40)/1000</f>
        <v>788.64271345110626</v>
      </c>
      <c r="F57" s="126">
        <f t="shared" si="17"/>
        <v>2277.2058350900697</v>
      </c>
      <c r="G57" s="126">
        <f t="shared" si="17"/>
        <v>3189.621641068919</v>
      </c>
      <c r="H57" s="126">
        <f t="shared" si="17"/>
        <v>3388.9729936357267</v>
      </c>
      <c r="I57" s="126">
        <f t="shared" si="17"/>
        <v>2669.8841861625997</v>
      </c>
      <c r="J57" s="126">
        <f t="shared" si="17"/>
        <v>2054.8524033809381</v>
      </c>
      <c r="K57" s="126">
        <f t="shared" si="17"/>
        <v>440.32551501020095</v>
      </c>
    </row>
    <row r="58" spans="2:11" x14ac:dyDescent="0.3">
      <c r="B58" s="686"/>
      <c r="C58" s="182" t="s">
        <v>642</v>
      </c>
      <c r="D58" s="74" t="s">
        <v>494</v>
      </c>
      <c r="E58" s="126">
        <f t="shared" ref="E58:K58" si="18">($E$22*$F$22*N39*N40)/1000</f>
        <v>0</v>
      </c>
      <c r="F58" s="126">
        <f t="shared" si="18"/>
        <v>0</v>
      </c>
      <c r="G58" s="126">
        <f t="shared" si="18"/>
        <v>0</v>
      </c>
      <c r="H58" s="126">
        <f t="shared" si="18"/>
        <v>0</v>
      </c>
      <c r="I58" s="126">
        <f t="shared" si="18"/>
        <v>0</v>
      </c>
      <c r="J58" s="126">
        <f t="shared" si="18"/>
        <v>0</v>
      </c>
      <c r="K58" s="126">
        <f t="shared" si="18"/>
        <v>0</v>
      </c>
    </row>
    <row r="59" spans="2:11" x14ac:dyDescent="0.3">
      <c r="B59" s="349"/>
      <c r="C59" s="174" t="s">
        <v>354</v>
      </c>
      <c r="D59" s="175"/>
      <c r="E59" s="85">
        <f>SUM(E56:E58)</f>
        <v>788.64271345110626</v>
      </c>
      <c r="F59" s="85">
        <f t="shared" ref="F59:K59" si="19">SUM(F56:F58)</f>
        <v>2277.2058350900697</v>
      </c>
      <c r="G59" s="85">
        <f t="shared" si="19"/>
        <v>3189.621641068919</v>
      </c>
      <c r="H59" s="85">
        <f t="shared" si="19"/>
        <v>3388.9729936357267</v>
      </c>
      <c r="I59" s="85">
        <f t="shared" si="19"/>
        <v>2669.8841861625997</v>
      </c>
      <c r="J59" s="85">
        <f t="shared" si="19"/>
        <v>2054.8524033809381</v>
      </c>
      <c r="K59" s="85">
        <f t="shared" si="19"/>
        <v>440.32551501020095</v>
      </c>
    </row>
    <row r="60" spans="2:11" ht="42.75" customHeight="1" x14ac:dyDescent="0.3">
      <c r="B60" s="679" t="s">
        <v>146</v>
      </c>
      <c r="C60" s="80"/>
      <c r="D60" s="74" t="str">
        <f t="shared" ref="D60:D66" si="20">D24</f>
        <v>Win1</v>
      </c>
      <c r="E60" s="126">
        <f t="shared" ref="E60:K60" si="21">($E$24*$F$24*N39*N40)/1000</f>
        <v>0</v>
      </c>
      <c r="F60" s="126">
        <f t="shared" si="21"/>
        <v>0</v>
      </c>
      <c r="G60" s="126">
        <f t="shared" si="21"/>
        <v>0</v>
      </c>
      <c r="H60" s="126">
        <f t="shared" si="21"/>
        <v>0</v>
      </c>
      <c r="I60" s="126">
        <f t="shared" si="21"/>
        <v>0</v>
      </c>
      <c r="J60" s="126">
        <f t="shared" si="21"/>
        <v>0</v>
      </c>
      <c r="K60" s="126">
        <f t="shared" si="21"/>
        <v>0</v>
      </c>
    </row>
    <row r="61" spans="2:11" x14ac:dyDescent="0.3">
      <c r="B61" s="680"/>
      <c r="C61" s="80"/>
      <c r="D61" s="74" t="str">
        <f t="shared" si="20"/>
        <v>Win2</v>
      </c>
      <c r="E61" s="126">
        <f t="shared" ref="E61:K61" si="22">($E$25*$F$25*N39*N40)/1000</f>
        <v>0</v>
      </c>
      <c r="F61" s="126">
        <f t="shared" si="22"/>
        <v>0</v>
      </c>
      <c r="G61" s="126">
        <f t="shared" si="22"/>
        <v>0</v>
      </c>
      <c r="H61" s="126">
        <f t="shared" si="22"/>
        <v>0</v>
      </c>
      <c r="I61" s="126">
        <f t="shared" si="22"/>
        <v>0</v>
      </c>
      <c r="J61" s="126">
        <f t="shared" si="22"/>
        <v>0</v>
      </c>
      <c r="K61" s="126">
        <f t="shared" si="22"/>
        <v>0</v>
      </c>
    </row>
    <row r="62" spans="2:11" x14ac:dyDescent="0.3">
      <c r="B62" s="680"/>
      <c r="C62" s="80"/>
      <c r="D62" s="74" t="str">
        <f t="shared" si="20"/>
        <v>Win3</v>
      </c>
      <c r="E62" s="126">
        <f t="shared" ref="E62:K62" si="23">($E$26*$F$26*N39*N40)/1000</f>
        <v>1086.426432</v>
      </c>
      <c r="F62" s="126">
        <f t="shared" si="23"/>
        <v>3137.0563224000002</v>
      </c>
      <c r="G62" s="126">
        <f t="shared" si="23"/>
        <v>4393.9913471999998</v>
      </c>
      <c r="H62" s="126">
        <f t="shared" si="23"/>
        <v>4668.6158064000001</v>
      </c>
      <c r="I62" s="126">
        <f t="shared" si="23"/>
        <v>3678.0061500000002</v>
      </c>
      <c r="J62" s="126">
        <f t="shared" si="23"/>
        <v>2830.7444256000003</v>
      </c>
      <c r="K62" s="126">
        <f t="shared" si="23"/>
        <v>606.58809119999989</v>
      </c>
    </row>
    <row r="63" spans="2:11" x14ac:dyDescent="0.3">
      <c r="B63" s="680"/>
      <c r="C63" s="80"/>
      <c r="D63" s="74">
        <f t="shared" si="20"/>
        <v>0</v>
      </c>
      <c r="E63" s="126">
        <f t="shared" ref="E63:K63" si="24">($E$27*$F$27*N39*N40)/1000</f>
        <v>0</v>
      </c>
      <c r="F63" s="126">
        <f t="shared" si="24"/>
        <v>0</v>
      </c>
      <c r="G63" s="126">
        <f t="shared" si="24"/>
        <v>0</v>
      </c>
      <c r="H63" s="126">
        <f t="shared" si="24"/>
        <v>0</v>
      </c>
      <c r="I63" s="126">
        <f t="shared" si="24"/>
        <v>0</v>
      </c>
      <c r="J63" s="126">
        <f t="shared" si="24"/>
        <v>0</v>
      </c>
      <c r="K63" s="126">
        <f t="shared" si="24"/>
        <v>0</v>
      </c>
    </row>
    <row r="64" spans="2:11" x14ac:dyDescent="0.3">
      <c r="B64" s="680"/>
      <c r="C64" s="80"/>
      <c r="D64" s="74" t="str">
        <f t="shared" si="20"/>
        <v>D1</v>
      </c>
      <c r="E64" s="126">
        <f t="shared" ref="E64:K64" si="25">($E$28*$F$28*N39*N40)/1000</f>
        <v>309.60719999999998</v>
      </c>
      <c r="F64" s="126">
        <f t="shared" si="25"/>
        <v>893.99079000000006</v>
      </c>
      <c r="G64" s="126">
        <f t="shared" si="25"/>
        <v>1252.18912</v>
      </c>
      <c r="H64" s="126">
        <f t="shared" si="25"/>
        <v>1330.4509399999999</v>
      </c>
      <c r="I64" s="126">
        <f t="shared" si="25"/>
        <v>1048.149375</v>
      </c>
      <c r="J64" s="126">
        <f t="shared" si="25"/>
        <v>806.69875999999999</v>
      </c>
      <c r="K64" s="126">
        <f t="shared" si="25"/>
        <v>172.86401999999995</v>
      </c>
    </row>
    <row r="65" spans="2:11" x14ac:dyDescent="0.3">
      <c r="B65" s="680"/>
      <c r="C65" s="80"/>
      <c r="D65" s="74" t="str">
        <f t="shared" si="20"/>
        <v>D2</v>
      </c>
      <c r="E65" s="126">
        <f t="shared" ref="E65:K65" si="26">($E$29*$F$29*N39*N40)/1000</f>
        <v>0</v>
      </c>
      <c r="F65" s="126">
        <f t="shared" si="26"/>
        <v>0</v>
      </c>
      <c r="G65" s="126">
        <f t="shared" si="26"/>
        <v>0</v>
      </c>
      <c r="H65" s="126">
        <f t="shared" si="26"/>
        <v>0</v>
      </c>
      <c r="I65" s="126">
        <f t="shared" si="26"/>
        <v>0</v>
      </c>
      <c r="J65" s="126">
        <f t="shared" si="26"/>
        <v>0</v>
      </c>
      <c r="K65" s="126">
        <f t="shared" si="26"/>
        <v>0</v>
      </c>
    </row>
    <row r="66" spans="2:11" x14ac:dyDescent="0.3">
      <c r="B66" s="681"/>
      <c r="C66" s="80"/>
      <c r="D66" s="74" t="str">
        <f t="shared" si="20"/>
        <v>D3</v>
      </c>
      <c r="E66" s="126">
        <f t="shared" ref="E66:K66" si="27">($E$30*$F$30*N39*N40)/1000</f>
        <v>0</v>
      </c>
      <c r="F66" s="126">
        <f t="shared" si="27"/>
        <v>0</v>
      </c>
      <c r="G66" s="126">
        <f t="shared" si="27"/>
        <v>0</v>
      </c>
      <c r="H66" s="126">
        <f t="shared" si="27"/>
        <v>0</v>
      </c>
      <c r="I66" s="126">
        <f t="shared" si="27"/>
        <v>0</v>
      </c>
      <c r="J66" s="126">
        <f t="shared" si="27"/>
        <v>0</v>
      </c>
      <c r="K66" s="126">
        <f t="shared" si="27"/>
        <v>0</v>
      </c>
    </row>
    <row r="67" spans="2:11" x14ac:dyDescent="0.3">
      <c r="B67" s="350"/>
      <c r="C67" s="185" t="s">
        <v>355</v>
      </c>
      <c r="D67" s="186"/>
      <c r="E67" s="85">
        <f t="shared" ref="E67:K67" si="28">SUM(E60:E66)</f>
        <v>1396.0336319999999</v>
      </c>
      <c r="F67" s="85">
        <f t="shared" si="28"/>
        <v>4031.0471124000005</v>
      </c>
      <c r="G67" s="85">
        <f t="shared" si="28"/>
        <v>5646.1804671999998</v>
      </c>
      <c r="H67" s="85">
        <f t="shared" si="28"/>
        <v>5999.0667463999998</v>
      </c>
      <c r="I67" s="85">
        <f t="shared" si="28"/>
        <v>4726.1555250000001</v>
      </c>
      <c r="J67" s="85">
        <f t="shared" si="28"/>
        <v>3637.4431856000001</v>
      </c>
      <c r="K67" s="85">
        <f t="shared" si="28"/>
        <v>779.45211119999988</v>
      </c>
    </row>
    <row r="68" spans="2:11" x14ac:dyDescent="0.3">
      <c r="B68" s="188" t="s">
        <v>362</v>
      </c>
      <c r="C68" s="189"/>
      <c r="D68" s="189"/>
      <c r="E68" s="85">
        <f t="shared" ref="E68:K68" si="29">E67+E59+E55+E49</f>
        <v>10515.743959530957</v>
      </c>
      <c r="F68" s="85">
        <f t="shared" si="29"/>
        <v>38934.515036143326</v>
      </c>
      <c r="G68" s="85">
        <f t="shared" si="29"/>
        <v>59692.841885750961</v>
      </c>
      <c r="H68" s="85">
        <f t="shared" si="29"/>
        <v>64343.064127686775</v>
      </c>
      <c r="I68" s="85">
        <f t="shared" si="29"/>
        <v>49145.196110549237</v>
      </c>
      <c r="J68" s="85">
        <f t="shared" si="29"/>
        <v>33222.346047039406</v>
      </c>
      <c r="K68" s="85">
        <f t="shared" si="29"/>
        <v>3966.7782989608531</v>
      </c>
    </row>
  </sheetData>
  <mergeCells count="18">
    <mergeCell ref="B60:B66"/>
    <mergeCell ref="B14:B19"/>
    <mergeCell ref="B20:B23"/>
    <mergeCell ref="C42:C46"/>
    <mergeCell ref="B42:B48"/>
    <mergeCell ref="C50:C51"/>
    <mergeCell ref="C53:C54"/>
    <mergeCell ref="B50:B54"/>
    <mergeCell ref="B56:B58"/>
    <mergeCell ref="B4:B5"/>
    <mergeCell ref="C4:C5"/>
    <mergeCell ref="C31:F31"/>
    <mergeCell ref="B40:B41"/>
    <mergeCell ref="B24:B31"/>
    <mergeCell ref="B32:F32"/>
    <mergeCell ref="D4:D5"/>
    <mergeCell ref="B6:B13"/>
    <mergeCell ref="C6:C1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B2:T81"/>
  <sheetViews>
    <sheetView topLeftCell="A17" zoomScale="135" zoomScaleNormal="85" workbookViewId="0">
      <selection activeCell="L79" sqref="L79:P79"/>
    </sheetView>
  </sheetViews>
  <sheetFormatPr defaultColWidth="8.6640625" defaultRowHeight="14.4" x14ac:dyDescent="0.3"/>
  <cols>
    <col min="2" max="2" width="6.5546875" customWidth="1"/>
    <col min="3" max="3" width="19.6640625" customWidth="1"/>
    <col min="4" max="4" width="12.44140625" customWidth="1"/>
    <col min="7" max="11" width="10.44140625" customWidth="1"/>
    <col min="12" max="12" width="17" customWidth="1"/>
    <col min="13" max="13" width="30" customWidth="1"/>
    <col min="17" max="17" width="16.44140625" customWidth="1"/>
    <col min="18" max="24" width="5" customWidth="1"/>
  </cols>
  <sheetData>
    <row r="2" spans="2:7" x14ac:dyDescent="0.3">
      <c r="B2" s="176" t="s">
        <v>361</v>
      </c>
    </row>
    <row r="4" spans="2:7" x14ac:dyDescent="0.3">
      <c r="B4" s="599" t="s">
        <v>97</v>
      </c>
      <c r="C4" s="669" t="s">
        <v>128</v>
      </c>
      <c r="D4" s="599" t="s">
        <v>129</v>
      </c>
      <c r="E4" s="181" t="s">
        <v>50</v>
      </c>
      <c r="F4" s="181" t="s">
        <v>130</v>
      </c>
      <c r="G4" s="181" t="s">
        <v>324</v>
      </c>
    </row>
    <row r="5" spans="2:7" x14ac:dyDescent="0.3">
      <c r="B5" s="599"/>
      <c r="C5" s="669"/>
      <c r="D5" s="599"/>
      <c r="E5" s="181" t="s">
        <v>31</v>
      </c>
      <c r="F5" s="181" t="s">
        <v>62</v>
      </c>
      <c r="G5" s="181" t="s">
        <v>132</v>
      </c>
    </row>
    <row r="6" spans="2:7" ht="14.7" customHeight="1" x14ac:dyDescent="0.3">
      <c r="B6" s="677" t="s">
        <v>67</v>
      </c>
      <c r="C6" s="678" t="s">
        <v>133</v>
      </c>
      <c r="D6" s="74"/>
      <c r="E6" s="366"/>
      <c r="F6" s="83"/>
      <c r="G6" s="126">
        <f t="shared" ref="G6:G12" si="0">IF(D6=D38,SUM(E38:K38),0)</f>
        <v>0</v>
      </c>
    </row>
    <row r="7" spans="2:7" x14ac:dyDescent="0.3">
      <c r="B7" s="677"/>
      <c r="C7" s="678"/>
      <c r="D7" s="74" t="str">
        <f>'Losses env. before'!D7</f>
        <v>W1</v>
      </c>
      <c r="E7" s="366">
        <f>'Losses env. before'!E7</f>
        <v>1492.8999999999999</v>
      </c>
      <c r="F7" s="83">
        <f>'U-values'!O17</f>
        <v>0.29458554120484315</v>
      </c>
      <c r="G7" s="126">
        <f>IF(D7=D39,SUM(E39:K40),0)</f>
        <v>20512.709716444806</v>
      </c>
    </row>
    <row r="8" spans="2:7" ht="14.7" customHeight="1" x14ac:dyDescent="0.3">
      <c r="B8" s="677"/>
      <c r="C8" s="678"/>
      <c r="D8" s="74"/>
      <c r="E8" s="366"/>
      <c r="F8" s="83"/>
      <c r="G8" s="126"/>
    </row>
    <row r="9" spans="2:7" ht="24" x14ac:dyDescent="0.3">
      <c r="B9" s="677"/>
      <c r="C9" s="678"/>
      <c r="D9" s="74" t="str">
        <f>'Losses env. before'!D9</f>
        <v>Socle 1. (heated space)</v>
      </c>
      <c r="E9" s="366">
        <f>'Losses env. before'!E9</f>
        <v>0</v>
      </c>
      <c r="F9" s="83">
        <f>'U-values'!O46</f>
        <v>0.31425696631876809</v>
      </c>
      <c r="G9" s="126">
        <f t="shared" si="0"/>
        <v>0</v>
      </c>
    </row>
    <row r="10" spans="2:7" ht="21.45" customHeight="1" x14ac:dyDescent="0.3">
      <c r="B10" s="677"/>
      <c r="C10" s="678"/>
      <c r="D10" s="74"/>
      <c r="E10" s="366"/>
      <c r="F10" s="83"/>
      <c r="G10" s="126"/>
    </row>
    <row r="11" spans="2:7" x14ac:dyDescent="0.3">
      <c r="B11" s="677"/>
      <c r="C11" s="182" t="s">
        <v>134</v>
      </c>
      <c r="D11" s="74" t="str">
        <f>'Losses env. before'!D11</f>
        <v>Socle 2</v>
      </c>
      <c r="E11" s="366">
        <f>'Losses env. before'!E11</f>
        <v>0</v>
      </c>
      <c r="F11" s="367">
        <f>'U-values'!O76</f>
        <v>0.19588070328273371</v>
      </c>
      <c r="G11" s="126">
        <f t="shared" si="0"/>
        <v>0</v>
      </c>
    </row>
    <row r="12" spans="2:7" x14ac:dyDescent="0.3">
      <c r="B12" s="677"/>
      <c r="C12" s="182" t="s">
        <v>135</v>
      </c>
      <c r="D12" s="74"/>
      <c r="E12" s="74"/>
      <c r="F12" s="74"/>
      <c r="G12" s="126">
        <f t="shared" si="0"/>
        <v>0</v>
      </c>
    </row>
    <row r="13" spans="2:7" x14ac:dyDescent="0.3">
      <c r="B13" s="677"/>
      <c r="C13" s="174" t="s">
        <v>359</v>
      </c>
      <c r="D13" s="175"/>
      <c r="E13" s="175"/>
      <c r="F13" s="175"/>
      <c r="G13" s="85">
        <f>SUM(G6:G12)</f>
        <v>20512.709716444806</v>
      </c>
    </row>
    <row r="14" spans="2:7" ht="14.7" customHeight="1" x14ac:dyDescent="0.3">
      <c r="B14" s="677" t="s">
        <v>136</v>
      </c>
      <c r="C14" s="413" t="s">
        <v>133</v>
      </c>
      <c r="D14" s="74" t="s">
        <v>493</v>
      </c>
      <c r="E14" s="74">
        <f>'Losses env. before'!E14</f>
        <v>0</v>
      </c>
      <c r="F14" s="367"/>
      <c r="G14" s="126"/>
    </row>
    <row r="15" spans="2:7" x14ac:dyDescent="0.3">
      <c r="B15" s="677"/>
      <c r="C15" s="415"/>
      <c r="D15" s="74"/>
      <c r="E15" s="74"/>
      <c r="F15" s="367"/>
      <c r="G15" s="126">
        <f>IF(D15=D47,SUM(E47:K47),0)</f>
        <v>0</v>
      </c>
    </row>
    <row r="16" spans="2:7" ht="14.7" customHeight="1" x14ac:dyDescent="0.3">
      <c r="B16" s="677"/>
      <c r="C16" s="182" t="s">
        <v>138</v>
      </c>
      <c r="D16" s="74"/>
      <c r="E16" s="74"/>
      <c r="F16" s="74"/>
      <c r="G16" s="126">
        <f>IF(D16=D48,SUM(E48:K48),0)</f>
        <v>0</v>
      </c>
    </row>
    <row r="17" spans="2:20" x14ac:dyDescent="0.3">
      <c r="B17" s="677"/>
      <c r="C17" s="413"/>
      <c r="D17" s="74"/>
      <c r="E17" s="74"/>
      <c r="F17" s="367"/>
      <c r="G17" s="126"/>
    </row>
    <row r="18" spans="2:20" ht="14.7" customHeight="1" x14ac:dyDescent="0.3">
      <c r="B18" s="677"/>
      <c r="C18" s="414" t="s">
        <v>135</v>
      </c>
      <c r="D18" s="74" t="s">
        <v>137</v>
      </c>
      <c r="E18" s="74">
        <f>'Losses env. before'!E18</f>
        <v>1279.175</v>
      </c>
      <c r="F18" s="367">
        <f>'U-values'!O91</f>
        <v>0.31130641984516444</v>
      </c>
      <c r="G18" s="126">
        <f>IF(D18=D50,SUM(E49:K50),0)</f>
        <v>18573.721488132695</v>
      </c>
    </row>
    <row r="19" spans="2:20" ht="14.7" customHeight="1" x14ac:dyDescent="0.3">
      <c r="B19" s="677"/>
      <c r="C19" s="174" t="s">
        <v>358</v>
      </c>
      <c r="D19" s="175"/>
      <c r="E19" s="175"/>
      <c r="F19" s="175"/>
      <c r="G19" s="85">
        <f>SUM(G14:G18)</f>
        <v>18573.721488132695</v>
      </c>
    </row>
    <row r="20" spans="2:20" ht="14.7" customHeight="1" x14ac:dyDescent="0.3">
      <c r="B20" s="677" t="s">
        <v>139</v>
      </c>
      <c r="C20" s="182" t="s">
        <v>134</v>
      </c>
      <c r="D20" s="74"/>
      <c r="E20" s="81"/>
      <c r="F20" s="367"/>
      <c r="G20" s="126">
        <f>IF(D20=D52,SUM(E52:K52),0)</f>
        <v>0</v>
      </c>
    </row>
    <row r="21" spans="2:20" x14ac:dyDescent="0.3">
      <c r="B21" s="677"/>
      <c r="C21" s="182" t="s">
        <v>141</v>
      </c>
      <c r="D21" s="74" t="s">
        <v>140</v>
      </c>
      <c r="E21" s="81">
        <f>'Losses env. before'!E21</f>
        <v>1279.175</v>
      </c>
      <c r="F21" s="367">
        <f>'U-values'!O122</f>
        <v>0.42814200637732347</v>
      </c>
      <c r="G21" s="126">
        <f>IF(D21=D53,SUM(E53:K53),0)</f>
        <v>14809.505287799559</v>
      </c>
    </row>
    <row r="22" spans="2:20" ht="14.7" customHeight="1" x14ac:dyDescent="0.3">
      <c r="B22" s="677"/>
      <c r="C22" s="182" t="s">
        <v>642</v>
      </c>
      <c r="D22" s="74" t="s">
        <v>494</v>
      </c>
      <c r="E22" s="81">
        <f>'Losses env. before'!E22</f>
        <v>0</v>
      </c>
      <c r="F22" s="367"/>
      <c r="G22" s="126"/>
    </row>
    <row r="23" spans="2:20" x14ac:dyDescent="0.3">
      <c r="B23" s="677"/>
      <c r="C23" s="174" t="s">
        <v>357</v>
      </c>
      <c r="D23" s="175"/>
      <c r="E23" s="175"/>
      <c r="F23" s="175"/>
      <c r="G23" s="85">
        <f>SUM(G20:G22)</f>
        <v>14809.505287799559</v>
      </c>
    </row>
    <row r="24" spans="2:20" x14ac:dyDescent="0.3">
      <c r="B24" s="673" t="s">
        <v>146</v>
      </c>
      <c r="C24" s="80"/>
      <c r="D24" s="74" t="s">
        <v>345</v>
      </c>
      <c r="E24" s="82">
        <f>'Losses env. before'!E24+'Losses env. before'!E25+'Losses env. before'!E26</f>
        <v>256.62</v>
      </c>
      <c r="F24" s="81">
        <v>1.5</v>
      </c>
      <c r="G24" s="126">
        <f>IF(D24=D56,SUM(E56:K56),0)</f>
        <v>10408.89213</v>
      </c>
    </row>
    <row r="25" spans="2:20" x14ac:dyDescent="0.3">
      <c r="B25" s="673"/>
      <c r="C25" s="80"/>
      <c r="D25" s="74"/>
      <c r="E25" s="82"/>
      <c r="F25" s="81"/>
      <c r="G25" s="126">
        <f>IF(D25=D57,SUM(E57:K57),0)</f>
        <v>0</v>
      </c>
    </row>
    <row r="26" spans="2:20" x14ac:dyDescent="0.3">
      <c r="B26" s="673"/>
      <c r="C26" s="80"/>
      <c r="D26" s="74" t="s">
        <v>347</v>
      </c>
      <c r="E26" s="82">
        <f>'Losses env. before'!E28+'Losses env. before'!E29+'Losses env. before'!E30</f>
        <v>61.43</v>
      </c>
      <c r="F26" s="81">
        <v>1.8</v>
      </c>
      <c r="G26" s="126">
        <f>IF(D26=D58,SUM(E58:K58),0)</f>
        <v>2990.0315340000002</v>
      </c>
    </row>
    <row r="27" spans="2:20" x14ac:dyDescent="0.3">
      <c r="B27" s="673"/>
      <c r="C27" s="670" t="s">
        <v>356</v>
      </c>
      <c r="D27" s="671"/>
      <c r="E27" s="671"/>
      <c r="F27" s="672"/>
      <c r="G27" s="85">
        <f>SUM(G24:G26)</f>
        <v>13398.923664</v>
      </c>
    </row>
    <row r="28" spans="2:20" x14ac:dyDescent="0.3">
      <c r="B28" s="674" t="s">
        <v>360</v>
      </c>
      <c r="C28" s="675"/>
      <c r="D28" s="675"/>
      <c r="E28" s="675"/>
      <c r="F28" s="676"/>
      <c r="G28" s="85">
        <f>G27+G23+G19+G13</f>
        <v>67294.86015637705</v>
      </c>
    </row>
    <row r="30" spans="2:20" x14ac:dyDescent="0.3">
      <c r="B30" s="176" t="s">
        <v>353</v>
      </c>
      <c r="M30" s="176" t="s">
        <v>325</v>
      </c>
    </row>
    <row r="32" spans="2:20" ht="14.7" customHeight="1" x14ac:dyDescent="0.3">
      <c r="M32" s="181" t="s">
        <v>21</v>
      </c>
      <c r="N32" s="181" t="s">
        <v>327</v>
      </c>
      <c r="O32" s="181" t="s">
        <v>328</v>
      </c>
      <c r="P32" s="181" t="s">
        <v>329</v>
      </c>
      <c r="Q32" s="181" t="s">
        <v>330</v>
      </c>
      <c r="R32" s="181" t="s">
        <v>331</v>
      </c>
      <c r="S32" s="181" t="s">
        <v>332</v>
      </c>
      <c r="T32" s="181" t="s">
        <v>333</v>
      </c>
    </row>
    <row r="33" spans="2:20" x14ac:dyDescent="0.3">
      <c r="M33" s="183" t="s">
        <v>336</v>
      </c>
      <c r="N33" s="79" t="str">
        <f>'Losses env. before'!N37</f>
        <v xml:space="preserve">12,4 </v>
      </c>
      <c r="O33" s="79" t="str">
        <f>'Losses env. before'!O37</f>
        <v xml:space="preserve">6,6 </v>
      </c>
      <c r="P33" s="79" t="str">
        <f>'Losses env. before'!P37</f>
        <v xml:space="preserve">1,2 </v>
      </c>
      <c r="Q33" s="79" t="str">
        <f>'Losses env. before'!Q37</f>
        <v xml:space="preserve">-0,1 </v>
      </c>
      <c r="R33" s="79" t="str">
        <f>'Losses env. before'!R37</f>
        <v xml:space="preserve">2,5 </v>
      </c>
      <c r="S33" s="79" t="str">
        <f>'Losses env. before'!S37</f>
        <v xml:space="preserve">8,6 </v>
      </c>
      <c r="T33" s="79" t="str">
        <f>'Losses env. before'!T37</f>
        <v xml:space="preserve">15,3 </v>
      </c>
    </row>
    <row r="34" spans="2:20" x14ac:dyDescent="0.3">
      <c r="M34" s="183" t="s">
        <v>326</v>
      </c>
      <c r="N34" s="79">
        <v>15</v>
      </c>
      <c r="O34" s="79">
        <v>27</v>
      </c>
      <c r="P34" s="79">
        <v>28</v>
      </c>
      <c r="Q34" s="79">
        <v>28</v>
      </c>
      <c r="R34" s="79">
        <v>25</v>
      </c>
      <c r="S34" s="79">
        <v>28</v>
      </c>
      <c r="T34" s="79">
        <v>12</v>
      </c>
    </row>
    <row r="35" spans="2:20" x14ac:dyDescent="0.3">
      <c r="E35" t="s">
        <v>212</v>
      </c>
      <c r="F35" t="s">
        <v>638</v>
      </c>
      <c r="G35" t="s">
        <v>639</v>
      </c>
      <c r="H35" t="s">
        <v>341</v>
      </c>
      <c r="I35" t="s">
        <v>640</v>
      </c>
      <c r="J35" t="s">
        <v>211</v>
      </c>
      <c r="K35" t="s">
        <v>641</v>
      </c>
      <c r="M35" s="183" t="s">
        <v>334</v>
      </c>
      <c r="N35" s="79">
        <f>Building_data!$D$9-'Losses env. before'!N37</f>
        <v>9.6</v>
      </c>
      <c r="O35" s="79">
        <f>Building_data!$D$9-'Losses env. before'!O37</f>
        <v>15.4</v>
      </c>
      <c r="P35" s="79">
        <f>Building_data!$D$9-'Losses env. before'!P37</f>
        <v>20.8</v>
      </c>
      <c r="Q35" s="79">
        <f>Building_data!$D$9-'Losses env. before'!Q37</f>
        <v>22.1</v>
      </c>
      <c r="R35" s="79">
        <f>Building_data!$D$9-'Losses env. before'!R37</f>
        <v>19.5</v>
      </c>
      <c r="S35" s="79">
        <f>Building_data!$D$9-'Losses env. before'!S37</f>
        <v>13.4</v>
      </c>
      <c r="T35" s="79">
        <f>Building_data!$D$9-'Losses env. before'!T37</f>
        <v>6.6999999999999993</v>
      </c>
    </row>
    <row r="36" spans="2:20" x14ac:dyDescent="0.3">
      <c r="B36" s="599" t="s">
        <v>97</v>
      </c>
      <c r="C36" s="181" t="s">
        <v>128</v>
      </c>
      <c r="D36" s="187" t="s">
        <v>129</v>
      </c>
      <c r="E36" s="181" t="s">
        <v>337</v>
      </c>
      <c r="F36" s="181" t="s">
        <v>339</v>
      </c>
      <c r="G36" s="181" t="s">
        <v>340</v>
      </c>
      <c r="H36" s="181" t="s">
        <v>341</v>
      </c>
      <c r="I36" s="181" t="s">
        <v>342</v>
      </c>
      <c r="J36" s="181" t="s">
        <v>343</v>
      </c>
      <c r="K36" s="181" t="s">
        <v>344</v>
      </c>
      <c r="M36" s="183" t="s">
        <v>335</v>
      </c>
      <c r="N36" s="79">
        <f>N34*Building_data!$D$14</f>
        <v>150</v>
      </c>
      <c r="O36" s="79">
        <f>O34*Building_data!$D$14</f>
        <v>270</v>
      </c>
      <c r="P36" s="79">
        <f>P34*Building_data!$D$14</f>
        <v>280</v>
      </c>
      <c r="Q36" s="79">
        <f>Q34*Building_data!$D$14</f>
        <v>280</v>
      </c>
      <c r="R36" s="79">
        <f>R34*Building_data!$D$14</f>
        <v>250</v>
      </c>
      <c r="S36" s="79">
        <f>S34*Building_data!$D$14</f>
        <v>280</v>
      </c>
      <c r="T36" s="79">
        <f>T34*Building_data!$D$14</f>
        <v>120</v>
      </c>
    </row>
    <row r="37" spans="2:20" ht="14.7" customHeight="1" x14ac:dyDescent="0.3">
      <c r="B37" s="599"/>
      <c r="C37" s="181"/>
      <c r="D37" s="187"/>
      <c r="E37" s="181" t="s">
        <v>338</v>
      </c>
      <c r="F37" s="181" t="s">
        <v>338</v>
      </c>
      <c r="G37" s="181" t="s">
        <v>338</v>
      </c>
      <c r="H37" s="181" t="s">
        <v>338</v>
      </c>
      <c r="I37" s="181" t="s">
        <v>338</v>
      </c>
      <c r="J37" s="181" t="s">
        <v>338</v>
      </c>
      <c r="K37" s="181" t="s">
        <v>338</v>
      </c>
    </row>
    <row r="38" spans="2:20" x14ac:dyDescent="0.3">
      <c r="B38" s="684" t="s">
        <v>67</v>
      </c>
      <c r="C38" s="682" t="s">
        <v>133</v>
      </c>
      <c r="D38" s="74">
        <f t="shared" ref="D38:D44" si="1">D6</f>
        <v>0</v>
      </c>
      <c r="E38" s="126">
        <f t="shared" ref="E38:K38" si="2">($E$6*$F$6*N35*N36)/1000</f>
        <v>0</v>
      </c>
      <c r="F38" s="126">
        <f t="shared" si="2"/>
        <v>0</v>
      </c>
      <c r="G38" s="126">
        <f t="shared" si="2"/>
        <v>0</v>
      </c>
      <c r="H38" s="126">
        <f t="shared" si="2"/>
        <v>0</v>
      </c>
      <c r="I38" s="126">
        <f t="shared" si="2"/>
        <v>0</v>
      </c>
      <c r="J38" s="126">
        <f t="shared" si="2"/>
        <v>0</v>
      </c>
      <c r="K38" s="126">
        <f t="shared" si="2"/>
        <v>0</v>
      </c>
      <c r="M38" s="181" t="s">
        <v>21</v>
      </c>
      <c r="N38" s="181" t="s">
        <v>327</v>
      </c>
      <c r="O38" s="181" t="s">
        <v>328</v>
      </c>
      <c r="P38" s="181" t="s">
        <v>329</v>
      </c>
      <c r="Q38" s="181" t="s">
        <v>330</v>
      </c>
      <c r="R38" s="181" t="s">
        <v>331</v>
      </c>
      <c r="S38" s="181" t="s">
        <v>332</v>
      </c>
      <c r="T38" s="181" t="s">
        <v>333</v>
      </c>
    </row>
    <row r="39" spans="2:20" x14ac:dyDescent="0.3">
      <c r="B39" s="685"/>
      <c r="C39" s="683"/>
      <c r="D39" s="74" t="str">
        <f t="shared" si="1"/>
        <v>W1</v>
      </c>
      <c r="E39" s="126">
        <f t="shared" ref="E39:K39" si="3">($E$7*$F$7*N35*N36)/1000</f>
        <v>633.29292642918278</v>
      </c>
      <c r="F39" s="126">
        <f t="shared" si="3"/>
        <v>1828.6333250642654</v>
      </c>
      <c r="G39" s="126">
        <f t="shared" si="3"/>
        <v>2561.3180580024723</v>
      </c>
      <c r="H39" s="126">
        <f t="shared" si="3"/>
        <v>2721.4004366276272</v>
      </c>
      <c r="I39" s="126">
        <f t="shared" si="3"/>
        <v>2143.9604280154626</v>
      </c>
      <c r="J39" s="126">
        <f t="shared" si="3"/>
        <v>1650.079902751593</v>
      </c>
      <c r="K39" s="126">
        <f t="shared" si="3"/>
        <v>353.588550589627</v>
      </c>
      <c r="M39" s="183" t="s">
        <v>336</v>
      </c>
      <c r="N39" s="79" t="str">
        <f>'Losses env. before'!N43</f>
        <v xml:space="preserve">12,4 </v>
      </c>
      <c r="O39" s="79" t="str">
        <f>'Losses env. before'!O43</f>
        <v xml:space="preserve">6,6 </v>
      </c>
      <c r="P39" s="79" t="str">
        <f>'Losses env. before'!P43</f>
        <v xml:space="preserve">1,2 </v>
      </c>
      <c r="Q39" s="79" t="str">
        <f>'Losses env. before'!Q43</f>
        <v xml:space="preserve">-0,1 </v>
      </c>
      <c r="R39" s="79" t="str">
        <f>'Losses env. before'!R43</f>
        <v xml:space="preserve">2,5 </v>
      </c>
      <c r="S39" s="79" t="str">
        <f>'Losses env. before'!S43</f>
        <v xml:space="preserve">8,6 </v>
      </c>
      <c r="T39" s="79" t="str">
        <f>'Losses env. before'!T43</f>
        <v xml:space="preserve">15,3 </v>
      </c>
    </row>
    <row r="40" spans="2:20" ht="14.7" customHeight="1" x14ac:dyDescent="0.3">
      <c r="B40" s="685"/>
      <c r="C40" s="683"/>
      <c r="D40" s="74">
        <f t="shared" si="1"/>
        <v>0</v>
      </c>
      <c r="E40" s="126">
        <f>($E$7*$F$7*N41*N42)/1000</f>
        <v>147.76834950014262</v>
      </c>
      <c r="F40" s="126">
        <f t="shared" ref="F40:K40" si="4">($E$7*$F$7*O41*O42)/1000</f>
        <v>1230.1715095886877</v>
      </c>
      <c r="G40" s="126">
        <f t="shared" si="4"/>
        <v>2206.6740192021302</v>
      </c>
      <c r="H40" s="126">
        <f t="shared" si="4"/>
        <v>2430.7893492773464</v>
      </c>
      <c r="I40" s="126">
        <f t="shared" si="4"/>
        <v>1770.1416867204591</v>
      </c>
      <c r="J40" s="126">
        <f t="shared" si="4"/>
        <v>930.94060185089882</v>
      </c>
      <c r="K40" s="126">
        <f t="shared" si="4"/>
        <v>-96.049427175092774</v>
      </c>
      <c r="M40" s="183" t="s">
        <v>326</v>
      </c>
      <c r="N40" s="79">
        <v>15</v>
      </c>
      <c r="O40" s="79">
        <v>27</v>
      </c>
      <c r="P40" s="79">
        <v>28</v>
      </c>
      <c r="Q40" s="79">
        <v>28</v>
      </c>
      <c r="R40" s="79">
        <v>25</v>
      </c>
      <c r="S40" s="79">
        <v>28</v>
      </c>
      <c r="T40" s="79">
        <v>12</v>
      </c>
    </row>
    <row r="41" spans="2:20" ht="14.7" customHeight="1" x14ac:dyDescent="0.3">
      <c r="B41" s="685"/>
      <c r="C41" s="683"/>
      <c r="D41" s="74" t="str">
        <f t="shared" si="1"/>
        <v>Socle 1. (heated space)</v>
      </c>
      <c r="E41" s="126">
        <f t="shared" ref="E41:K41" si="5">($E$9*$F$9*N35*N36)/1000</f>
        <v>0</v>
      </c>
      <c r="F41" s="126">
        <f t="shared" si="5"/>
        <v>0</v>
      </c>
      <c r="G41" s="126">
        <f t="shared" si="5"/>
        <v>0</v>
      </c>
      <c r="H41" s="126">
        <f t="shared" si="5"/>
        <v>0</v>
      </c>
      <c r="I41" s="126">
        <f t="shared" si="5"/>
        <v>0</v>
      </c>
      <c r="J41" s="126">
        <f t="shared" si="5"/>
        <v>0</v>
      </c>
      <c r="K41" s="126">
        <f t="shared" si="5"/>
        <v>0</v>
      </c>
      <c r="M41" s="183" t="s">
        <v>334</v>
      </c>
      <c r="N41" s="79">
        <f>Building_data!$D8-'Losses env. before'!N43</f>
        <v>1.5999999999999996</v>
      </c>
      <c r="O41" s="79">
        <f>Building_data!$D8-'Losses env. before'!O43</f>
        <v>7.4</v>
      </c>
      <c r="P41" s="79">
        <f>Building_data!$D8-'Losses env. before'!P43</f>
        <v>12.8</v>
      </c>
      <c r="Q41" s="79">
        <f>Building_data!$D8-'Losses env. before'!Q43</f>
        <v>14.1</v>
      </c>
      <c r="R41" s="79">
        <f>Building_data!$D8-'Losses env. before'!R43</f>
        <v>11.5</v>
      </c>
      <c r="S41" s="79">
        <f>Building_data!$D8-'Losses env. before'!S43</f>
        <v>5.4</v>
      </c>
      <c r="T41" s="79">
        <f>Building_data!$D8-'Losses env. before'!T43</f>
        <v>-1.3000000000000007</v>
      </c>
    </row>
    <row r="42" spans="2:20" x14ac:dyDescent="0.3">
      <c r="B42" s="685"/>
      <c r="C42" s="683"/>
      <c r="D42" s="74">
        <f t="shared" si="1"/>
        <v>0</v>
      </c>
      <c r="E42" s="126">
        <f t="shared" ref="E42:K42" si="6">($E$10*$F$10*N35*N36)/1000</f>
        <v>0</v>
      </c>
      <c r="F42" s="126">
        <f t="shared" si="6"/>
        <v>0</v>
      </c>
      <c r="G42" s="126">
        <f t="shared" si="6"/>
        <v>0</v>
      </c>
      <c r="H42" s="126">
        <f t="shared" si="6"/>
        <v>0</v>
      </c>
      <c r="I42" s="126">
        <f t="shared" si="6"/>
        <v>0</v>
      </c>
      <c r="J42" s="126">
        <f t="shared" si="6"/>
        <v>0</v>
      </c>
      <c r="K42" s="126">
        <f t="shared" si="6"/>
        <v>0</v>
      </c>
      <c r="M42" s="183" t="s">
        <v>335</v>
      </c>
      <c r="N42" s="79">
        <f>N40*Building_data!$D13</f>
        <v>210</v>
      </c>
      <c r="O42" s="79">
        <f>O40*Building_data!$D13</f>
        <v>378</v>
      </c>
      <c r="P42" s="79">
        <f>P40*Building_data!$D13</f>
        <v>392</v>
      </c>
      <c r="Q42" s="79">
        <f>Q40*Building_data!$D13</f>
        <v>392</v>
      </c>
      <c r="R42" s="79">
        <f>R40*Building_data!$D13</f>
        <v>350</v>
      </c>
      <c r="S42" s="79">
        <f>S40*Building_data!$D13</f>
        <v>392</v>
      </c>
      <c r="T42" s="79">
        <f>T40*Building_data!$D13</f>
        <v>168</v>
      </c>
    </row>
    <row r="43" spans="2:20" x14ac:dyDescent="0.3">
      <c r="B43" s="685"/>
      <c r="C43" s="182" t="s">
        <v>134</v>
      </c>
      <c r="D43" s="74" t="str">
        <f t="shared" si="1"/>
        <v>Socle 2</v>
      </c>
      <c r="E43" s="126">
        <f t="shared" ref="E43:K43" si="7">($E$11*$F$11*N35*N36)/1000</f>
        <v>0</v>
      </c>
      <c r="F43" s="126">
        <f t="shared" si="7"/>
        <v>0</v>
      </c>
      <c r="G43" s="126">
        <f t="shared" si="7"/>
        <v>0</v>
      </c>
      <c r="H43" s="126">
        <f t="shared" si="7"/>
        <v>0</v>
      </c>
      <c r="I43" s="126">
        <f t="shared" si="7"/>
        <v>0</v>
      </c>
      <c r="J43" s="126">
        <f t="shared" si="7"/>
        <v>0</v>
      </c>
      <c r="K43" s="126">
        <f t="shared" si="7"/>
        <v>0</v>
      </c>
    </row>
    <row r="44" spans="2:20" ht="14.7" customHeight="1" x14ac:dyDescent="0.3">
      <c r="B44" s="686"/>
      <c r="C44" s="182" t="s">
        <v>135</v>
      </c>
      <c r="D44" s="74">
        <f t="shared" si="1"/>
        <v>0</v>
      </c>
      <c r="E44" s="126">
        <f t="shared" ref="E44:K44" si="8">($E$12*$F$12*N35*N36)/1000</f>
        <v>0</v>
      </c>
      <c r="F44" s="126">
        <f t="shared" si="8"/>
        <v>0</v>
      </c>
      <c r="G44" s="126">
        <f t="shared" si="8"/>
        <v>0</v>
      </c>
      <c r="H44" s="126">
        <f t="shared" si="8"/>
        <v>0</v>
      </c>
      <c r="I44" s="126">
        <f t="shared" si="8"/>
        <v>0</v>
      </c>
      <c r="J44" s="126">
        <f t="shared" si="8"/>
        <v>0</v>
      </c>
      <c r="K44" s="126">
        <f t="shared" si="8"/>
        <v>0</v>
      </c>
    </row>
    <row r="45" spans="2:20" x14ac:dyDescent="0.3">
      <c r="B45" s="349"/>
      <c r="C45" s="174" t="s">
        <v>350</v>
      </c>
      <c r="D45" s="175"/>
      <c r="E45" s="85">
        <f t="shared" ref="E45:K45" si="9">SUM(E38:E44)</f>
        <v>781.06127592932535</v>
      </c>
      <c r="F45" s="85">
        <f t="shared" si="9"/>
        <v>3058.8048346529531</v>
      </c>
      <c r="G45" s="85">
        <f t="shared" si="9"/>
        <v>4767.9920772046025</v>
      </c>
      <c r="H45" s="85">
        <f t="shared" si="9"/>
        <v>5152.1897859049732</v>
      </c>
      <c r="I45" s="85">
        <f t="shared" si="9"/>
        <v>3914.1021147359215</v>
      </c>
      <c r="J45" s="85">
        <f t="shared" si="9"/>
        <v>2581.0205046024917</v>
      </c>
      <c r="K45" s="85">
        <f t="shared" si="9"/>
        <v>257.53912341453423</v>
      </c>
    </row>
    <row r="46" spans="2:20" x14ac:dyDescent="0.3">
      <c r="B46" s="684" t="s">
        <v>136</v>
      </c>
      <c r="C46" s="682" t="s">
        <v>133</v>
      </c>
      <c r="D46" s="74" t="str">
        <f>D14</f>
        <v>R2</v>
      </c>
      <c r="E46" s="126">
        <f t="shared" ref="E46:K46" si="10">($E$14*$F$14*N35*N36)/1000</f>
        <v>0</v>
      </c>
      <c r="F46" s="126">
        <f t="shared" si="10"/>
        <v>0</v>
      </c>
      <c r="G46" s="126">
        <f t="shared" si="10"/>
        <v>0</v>
      </c>
      <c r="H46" s="126">
        <f t="shared" si="10"/>
        <v>0</v>
      </c>
      <c r="I46" s="126">
        <f t="shared" si="10"/>
        <v>0</v>
      </c>
      <c r="J46" s="126">
        <f t="shared" si="10"/>
        <v>0</v>
      </c>
      <c r="K46" s="126">
        <f t="shared" si="10"/>
        <v>0</v>
      </c>
    </row>
    <row r="47" spans="2:20" x14ac:dyDescent="0.3">
      <c r="B47" s="685"/>
      <c r="C47" s="687"/>
      <c r="D47" s="74">
        <f>D15</f>
        <v>0</v>
      </c>
      <c r="E47" s="126">
        <f t="shared" ref="E47:K47" si="11">($E$15*$F$15*N35*N36)/1000</f>
        <v>0</v>
      </c>
      <c r="F47" s="126">
        <f t="shared" si="11"/>
        <v>0</v>
      </c>
      <c r="G47" s="126">
        <f t="shared" si="11"/>
        <v>0</v>
      </c>
      <c r="H47" s="126">
        <f t="shared" si="11"/>
        <v>0</v>
      </c>
      <c r="I47" s="126">
        <f t="shared" si="11"/>
        <v>0</v>
      </c>
      <c r="J47" s="126">
        <f t="shared" si="11"/>
        <v>0</v>
      </c>
      <c r="K47" s="126">
        <f t="shared" si="11"/>
        <v>0</v>
      </c>
    </row>
    <row r="48" spans="2:20" ht="14.7" customHeight="1" x14ac:dyDescent="0.3">
      <c r="B48" s="685"/>
      <c r="C48" s="182" t="s">
        <v>138</v>
      </c>
      <c r="D48" s="74">
        <f>D16</f>
        <v>0</v>
      </c>
      <c r="E48" s="126">
        <f t="shared" ref="E48:K48" si="12">($E$16*$F$16*N35*N36)/1000</f>
        <v>0</v>
      </c>
      <c r="F48" s="126">
        <f t="shared" si="12"/>
        <v>0</v>
      </c>
      <c r="G48" s="126">
        <f t="shared" si="12"/>
        <v>0</v>
      </c>
      <c r="H48" s="126">
        <f t="shared" si="12"/>
        <v>0</v>
      </c>
      <c r="I48" s="126">
        <f t="shared" si="12"/>
        <v>0</v>
      </c>
      <c r="J48" s="126">
        <f t="shared" si="12"/>
        <v>0</v>
      </c>
      <c r="K48" s="126">
        <f t="shared" si="12"/>
        <v>0</v>
      </c>
    </row>
    <row r="49" spans="2:11" x14ac:dyDescent="0.3">
      <c r="B49" s="685"/>
      <c r="C49" s="682" t="s">
        <v>135</v>
      </c>
      <c r="D49" s="74">
        <f>D17</f>
        <v>0</v>
      </c>
      <c r="E49" s="126">
        <f>($E$18*$F$18*N41*N42)/1000</f>
        <v>133.80037090742721</v>
      </c>
      <c r="F49" s="126">
        <f t="shared" ref="F49:K49" si="13">($E$18*$F$18*O41*O42)/1000</f>
        <v>1113.8880878043317</v>
      </c>
      <c r="G49" s="126">
        <f t="shared" si="13"/>
        <v>1998.0855388842467</v>
      </c>
      <c r="H49" s="126">
        <f t="shared" si="13"/>
        <v>2201.016101427178</v>
      </c>
      <c r="I49" s="126">
        <f t="shared" si="13"/>
        <v>1602.8169431618887</v>
      </c>
      <c r="J49" s="126">
        <f t="shared" si="13"/>
        <v>842.94233671679171</v>
      </c>
      <c r="K49" s="126">
        <f t="shared" si="13"/>
        <v>-86.970241089827738</v>
      </c>
    </row>
    <row r="50" spans="2:11" x14ac:dyDescent="0.3">
      <c r="B50" s="686"/>
      <c r="C50" s="687"/>
      <c r="D50" s="74" t="str">
        <f>D18</f>
        <v>R1</v>
      </c>
      <c r="E50" s="126">
        <f t="shared" ref="E50:K50" si="14">($E$18*$F$18*N35*N36)/1000</f>
        <v>573.43016103183095</v>
      </c>
      <c r="F50" s="126">
        <f t="shared" si="14"/>
        <v>1655.7795899794121</v>
      </c>
      <c r="G50" s="126">
        <f t="shared" si="14"/>
        <v>2319.2064290620724</v>
      </c>
      <c r="H50" s="126">
        <f t="shared" si="14"/>
        <v>2464.1568308784517</v>
      </c>
      <c r="I50" s="126">
        <f t="shared" si="14"/>
        <v>1941.3000243265112</v>
      </c>
      <c r="J50" s="126">
        <f t="shared" si="14"/>
        <v>1494.1041417996043</v>
      </c>
      <c r="K50" s="126">
        <f t="shared" si="14"/>
        <v>320.16517324277231</v>
      </c>
    </row>
    <row r="51" spans="2:11" x14ac:dyDescent="0.3">
      <c r="B51" s="349"/>
      <c r="C51" s="174" t="s">
        <v>351</v>
      </c>
      <c r="D51" s="175"/>
      <c r="E51" s="85">
        <f t="shared" ref="E51:K51" si="15">SUM(E46:E50)</f>
        <v>707.23053193925819</v>
      </c>
      <c r="F51" s="85">
        <f t="shared" si="15"/>
        <v>2769.6676777837438</v>
      </c>
      <c r="G51" s="85">
        <f t="shared" si="15"/>
        <v>4317.2919679463193</v>
      </c>
      <c r="H51" s="85">
        <f t="shared" si="15"/>
        <v>4665.1729323056297</v>
      </c>
      <c r="I51" s="85">
        <f t="shared" si="15"/>
        <v>3544.1169674884</v>
      </c>
      <c r="J51" s="85">
        <f t="shared" si="15"/>
        <v>2337.0464785163958</v>
      </c>
      <c r="K51" s="85">
        <f t="shared" si="15"/>
        <v>233.19493215294457</v>
      </c>
    </row>
    <row r="52" spans="2:11" x14ac:dyDescent="0.3">
      <c r="B52" s="684" t="s">
        <v>139</v>
      </c>
      <c r="C52" s="182" t="s">
        <v>134</v>
      </c>
      <c r="D52" s="74">
        <f>D20</f>
        <v>0</v>
      </c>
      <c r="E52" s="126">
        <f t="shared" ref="E52:K52" si="16">($E$20*$F$20*N35*N36)/1000</f>
        <v>0</v>
      </c>
      <c r="F52" s="126">
        <f t="shared" si="16"/>
        <v>0</v>
      </c>
      <c r="G52" s="126">
        <f t="shared" si="16"/>
        <v>0</v>
      </c>
      <c r="H52" s="126">
        <f t="shared" si="16"/>
        <v>0</v>
      </c>
      <c r="I52" s="126">
        <f t="shared" si="16"/>
        <v>0</v>
      </c>
      <c r="J52" s="126">
        <f t="shared" si="16"/>
        <v>0</v>
      </c>
      <c r="K52" s="126">
        <f t="shared" si="16"/>
        <v>0</v>
      </c>
    </row>
    <row r="53" spans="2:11" x14ac:dyDescent="0.3">
      <c r="B53" s="685"/>
      <c r="C53" s="182" t="s">
        <v>141</v>
      </c>
      <c r="D53" s="74" t="str">
        <f>D21</f>
        <v>F1</v>
      </c>
      <c r="E53" s="126">
        <f t="shared" ref="E53:K53" si="17">($E$21*$F$21*N35*N36)/1000</f>
        <v>788.64271345110626</v>
      </c>
      <c r="F53" s="126">
        <f t="shared" si="17"/>
        <v>2277.2058350900697</v>
      </c>
      <c r="G53" s="126">
        <f t="shared" si="17"/>
        <v>3189.621641068919</v>
      </c>
      <c r="H53" s="126">
        <f t="shared" si="17"/>
        <v>3388.9729936357267</v>
      </c>
      <c r="I53" s="126">
        <f t="shared" si="17"/>
        <v>2669.8841861625997</v>
      </c>
      <c r="J53" s="126">
        <f t="shared" si="17"/>
        <v>2054.8524033809381</v>
      </c>
      <c r="K53" s="126">
        <f t="shared" si="17"/>
        <v>440.32551501020095</v>
      </c>
    </row>
    <row r="54" spans="2:11" ht="14.7" customHeight="1" x14ac:dyDescent="0.3">
      <c r="B54" s="686"/>
      <c r="C54" s="182" t="s">
        <v>642</v>
      </c>
      <c r="D54" s="74" t="str">
        <f>D22</f>
        <v>F2</v>
      </c>
      <c r="E54" s="126">
        <f t="shared" ref="E54:K54" si="18">($E$22*$F$22*N35*N36)/1000</f>
        <v>0</v>
      </c>
      <c r="F54" s="126">
        <f t="shared" si="18"/>
        <v>0</v>
      </c>
      <c r="G54" s="126">
        <f t="shared" si="18"/>
        <v>0</v>
      </c>
      <c r="H54" s="126">
        <f t="shared" si="18"/>
        <v>0</v>
      </c>
      <c r="I54" s="126">
        <f t="shared" si="18"/>
        <v>0</v>
      </c>
      <c r="J54" s="126">
        <f t="shared" si="18"/>
        <v>0</v>
      </c>
      <c r="K54" s="126">
        <f t="shared" si="18"/>
        <v>0</v>
      </c>
    </row>
    <row r="55" spans="2:11" x14ac:dyDescent="0.3">
      <c r="B55" s="349"/>
      <c r="C55" s="174" t="s">
        <v>354</v>
      </c>
      <c r="D55" s="175"/>
      <c r="E55" s="85">
        <f>SUM(E52:E54)</f>
        <v>788.64271345110626</v>
      </c>
      <c r="F55" s="85">
        <f t="shared" ref="F55:K55" si="19">SUM(F52:F54)</f>
        <v>2277.2058350900697</v>
      </c>
      <c r="G55" s="85">
        <f t="shared" si="19"/>
        <v>3189.621641068919</v>
      </c>
      <c r="H55" s="85">
        <f t="shared" si="19"/>
        <v>3388.9729936357267</v>
      </c>
      <c r="I55" s="85">
        <f t="shared" si="19"/>
        <v>2669.8841861625997</v>
      </c>
      <c r="J55" s="85">
        <f t="shared" si="19"/>
        <v>2054.8524033809381</v>
      </c>
      <c r="K55" s="85">
        <f t="shared" si="19"/>
        <v>440.32551501020095</v>
      </c>
    </row>
    <row r="56" spans="2:11" ht="42.75" customHeight="1" x14ac:dyDescent="0.3">
      <c r="B56" s="679" t="s">
        <v>146</v>
      </c>
      <c r="C56" s="80"/>
      <c r="D56" s="74" t="str">
        <f>D24</f>
        <v>Win4</v>
      </c>
      <c r="E56" s="126">
        <f t="shared" ref="E56:K56" si="20">($E$24*$F$24*N35*N36)/1000</f>
        <v>554.29919999999993</v>
      </c>
      <c r="F56" s="126">
        <f t="shared" si="20"/>
        <v>1600.5389400000001</v>
      </c>
      <c r="G56" s="126">
        <f t="shared" si="20"/>
        <v>2241.8323200000004</v>
      </c>
      <c r="H56" s="126">
        <f t="shared" si="20"/>
        <v>2381.9468400000005</v>
      </c>
      <c r="I56" s="126">
        <f t="shared" si="20"/>
        <v>1876.5337500000001</v>
      </c>
      <c r="J56" s="126">
        <f t="shared" si="20"/>
        <v>1444.2573599999998</v>
      </c>
      <c r="K56" s="126">
        <f t="shared" si="20"/>
        <v>309.48371999999995</v>
      </c>
    </row>
    <row r="57" spans="2:11" x14ac:dyDescent="0.3">
      <c r="B57" s="680"/>
      <c r="C57" s="80"/>
      <c r="D57" s="74">
        <f>D25</f>
        <v>0</v>
      </c>
      <c r="E57" s="126">
        <f t="shared" ref="E57:K57" si="21">($E$25*$F$25*N35*N36)/1000</f>
        <v>0</v>
      </c>
      <c r="F57" s="126">
        <f t="shared" si="21"/>
        <v>0</v>
      </c>
      <c r="G57" s="126">
        <f t="shared" si="21"/>
        <v>0</v>
      </c>
      <c r="H57" s="126">
        <f t="shared" si="21"/>
        <v>0</v>
      </c>
      <c r="I57" s="126">
        <f t="shared" si="21"/>
        <v>0</v>
      </c>
      <c r="J57" s="126">
        <f t="shared" si="21"/>
        <v>0</v>
      </c>
      <c r="K57" s="126">
        <f t="shared" si="21"/>
        <v>0</v>
      </c>
    </row>
    <row r="58" spans="2:11" x14ac:dyDescent="0.3">
      <c r="B58" s="680"/>
      <c r="C58" s="80"/>
      <c r="D58" s="74" t="str">
        <f>D26</f>
        <v>D4</v>
      </c>
      <c r="E58" s="126">
        <f>($E$26*$F$26*N35*N36)/1000</f>
        <v>159.22656000000001</v>
      </c>
      <c r="F58" s="126">
        <f t="shared" ref="F58:K58" si="22">($E$26*$F$26*O35*O36)/1000</f>
        <v>459.76669199999998</v>
      </c>
      <c r="G58" s="126">
        <f t="shared" si="22"/>
        <v>643.98297600000001</v>
      </c>
      <c r="H58" s="126">
        <f t="shared" si="22"/>
        <v>684.23191200000008</v>
      </c>
      <c r="I58" s="126">
        <f t="shared" si="22"/>
        <v>539.04824999999994</v>
      </c>
      <c r="J58" s="126">
        <f t="shared" si="22"/>
        <v>414.87364800000006</v>
      </c>
      <c r="K58" s="126">
        <f t="shared" si="22"/>
        <v>88.901495999999995</v>
      </c>
    </row>
    <row r="59" spans="2:11" x14ac:dyDescent="0.3">
      <c r="B59" s="681"/>
      <c r="C59" s="185" t="s">
        <v>355</v>
      </c>
      <c r="D59" s="186"/>
      <c r="E59" s="85">
        <f t="shared" ref="E59:K59" si="23">SUM(E56:E58)</f>
        <v>713.52575999999999</v>
      </c>
      <c r="F59" s="85">
        <f t="shared" si="23"/>
        <v>2060.3056320000001</v>
      </c>
      <c r="G59" s="85">
        <f t="shared" si="23"/>
        <v>2885.8152960000007</v>
      </c>
      <c r="H59" s="85">
        <f t="shared" si="23"/>
        <v>3066.1787520000007</v>
      </c>
      <c r="I59" s="85">
        <f t="shared" si="23"/>
        <v>2415.5819999999999</v>
      </c>
      <c r="J59" s="85">
        <f t="shared" si="23"/>
        <v>1859.1310079999998</v>
      </c>
      <c r="K59" s="85">
        <f t="shared" si="23"/>
        <v>398.38521599999996</v>
      </c>
    </row>
    <row r="60" spans="2:11" x14ac:dyDescent="0.3">
      <c r="B60" s="188" t="s">
        <v>362</v>
      </c>
      <c r="C60" s="189"/>
      <c r="D60" s="189"/>
      <c r="E60" s="85">
        <f t="shared" ref="E60:K60" si="24">E59+E55+E51+E45</f>
        <v>2990.4602813196898</v>
      </c>
      <c r="F60" s="85">
        <f t="shared" si="24"/>
        <v>10165.983979526765</v>
      </c>
      <c r="G60" s="85">
        <f t="shared" si="24"/>
        <v>15160.720982219842</v>
      </c>
      <c r="H60" s="85">
        <f t="shared" si="24"/>
        <v>16272.51446384633</v>
      </c>
      <c r="I60" s="85">
        <f t="shared" si="24"/>
        <v>12543.685268386922</v>
      </c>
      <c r="J60" s="85">
        <f t="shared" si="24"/>
        <v>8832.0503944998254</v>
      </c>
      <c r="K60" s="85">
        <f t="shared" si="24"/>
        <v>1329.4447865776797</v>
      </c>
    </row>
    <row r="67" spans="11:17" x14ac:dyDescent="0.3">
      <c r="O67" s="387"/>
    </row>
    <row r="71" spans="11:17" x14ac:dyDescent="0.3">
      <c r="L71" s="202" t="s">
        <v>428</v>
      </c>
    </row>
    <row r="72" spans="11:17" ht="24" x14ac:dyDescent="0.3">
      <c r="L72" s="187" t="s">
        <v>441</v>
      </c>
      <c r="M72" s="187" t="s">
        <v>678</v>
      </c>
      <c r="N72" s="187" t="s">
        <v>70</v>
      </c>
      <c r="O72" s="187" t="s">
        <v>888</v>
      </c>
      <c r="P72" s="187" t="s">
        <v>427</v>
      </c>
      <c r="Q72" s="187" t="s">
        <v>889</v>
      </c>
    </row>
    <row r="73" spans="11:17" ht="48" x14ac:dyDescent="0.3">
      <c r="L73" s="388" t="s">
        <v>679</v>
      </c>
      <c r="M73" s="218" t="s">
        <v>953</v>
      </c>
      <c r="N73" s="366" t="s">
        <v>824</v>
      </c>
      <c r="O73" s="72">
        <v>51</v>
      </c>
      <c r="P73" s="366">
        <f>Envelope!AH104+Envelope!AH105</f>
        <v>1492.8999999999999</v>
      </c>
      <c r="Q73" s="99">
        <f>O73*P73</f>
        <v>76137.899999999994</v>
      </c>
    </row>
    <row r="74" spans="11:17" ht="96" customHeight="1" x14ac:dyDescent="0.3">
      <c r="L74" s="389"/>
      <c r="M74" s="692" t="s">
        <v>680</v>
      </c>
      <c r="N74" s="385" t="s">
        <v>825</v>
      </c>
      <c r="O74" s="72"/>
      <c r="P74" s="366">
        <f>Envelope!AH107+Envelope!AH106</f>
        <v>104.01500000000001</v>
      </c>
      <c r="Q74" s="99">
        <f>O74*P74</f>
        <v>0</v>
      </c>
    </row>
    <row r="75" spans="11:17" x14ac:dyDescent="0.3">
      <c r="L75" s="382"/>
      <c r="M75" s="692"/>
      <c r="N75" s="383" t="str">
        <f>D11</f>
        <v>Socle 2</v>
      </c>
      <c r="O75" s="384">
        <v>174</v>
      </c>
      <c r="P75" s="366">
        <f>Envelope!AH108</f>
        <v>0</v>
      </c>
      <c r="Q75" s="99">
        <f>O75*P75</f>
        <v>0</v>
      </c>
    </row>
    <row r="76" spans="11:17" ht="14.7" customHeight="1" x14ac:dyDescent="0.3">
      <c r="K76" s="386"/>
      <c r="L76" s="688" t="s">
        <v>683</v>
      </c>
      <c r="M76" s="689"/>
      <c r="N76" s="690"/>
      <c r="O76" s="690"/>
      <c r="P76" s="691"/>
      <c r="Q76" s="100">
        <f>SUM(Q73:Q75)</f>
        <v>76137.899999999994</v>
      </c>
    </row>
    <row r="77" spans="11:17" ht="166.2" customHeight="1" x14ac:dyDescent="0.3">
      <c r="L77" s="695" t="s">
        <v>681</v>
      </c>
      <c r="M77" s="693" t="s">
        <v>837</v>
      </c>
      <c r="N77" s="366" t="str">
        <f>D14</f>
        <v>R2</v>
      </c>
      <c r="O77" s="99"/>
      <c r="P77" s="74">
        <f>Envelope!AH123</f>
        <v>0</v>
      </c>
      <c r="Q77" s="99">
        <f>O77*P77</f>
        <v>0</v>
      </c>
    </row>
    <row r="78" spans="11:17" ht="143.4" customHeight="1" x14ac:dyDescent="0.3">
      <c r="L78" s="696"/>
      <c r="M78" s="694"/>
      <c r="N78" s="366" t="str">
        <f>D18</f>
        <v>R1</v>
      </c>
      <c r="O78" s="72">
        <v>12</v>
      </c>
      <c r="P78" s="366">
        <f>Envelope!AH122</f>
        <v>1279.175</v>
      </c>
      <c r="Q78" s="99">
        <f>O78*P78</f>
        <v>15350.099999999999</v>
      </c>
    </row>
    <row r="79" spans="11:17" x14ac:dyDescent="0.3">
      <c r="L79" s="688" t="s">
        <v>684</v>
      </c>
      <c r="M79" s="689"/>
      <c r="N79" s="690"/>
      <c r="O79" s="690"/>
      <c r="P79" s="691"/>
      <c r="Q79" s="100">
        <f>Q78+Q77</f>
        <v>15350.099999999999</v>
      </c>
    </row>
    <row r="80" spans="11:17" ht="96" x14ac:dyDescent="0.3">
      <c r="L80" s="73" t="s">
        <v>838</v>
      </c>
      <c r="M80" s="73" t="s">
        <v>826</v>
      </c>
      <c r="N80" s="366" t="s">
        <v>827</v>
      </c>
      <c r="O80" s="72">
        <v>9</v>
      </c>
      <c r="P80" s="74">
        <f>Envelope!AH115+Envelope!AH116</f>
        <v>1279.175</v>
      </c>
      <c r="Q80" s="100">
        <f>O80*P80</f>
        <v>11512.574999999999</v>
      </c>
    </row>
    <row r="81" spans="12:17" ht="168" x14ac:dyDescent="0.3">
      <c r="L81" s="73" t="s">
        <v>682</v>
      </c>
      <c r="M81" s="73" t="s">
        <v>831</v>
      </c>
      <c r="N81" s="366" t="s">
        <v>716</v>
      </c>
      <c r="O81" s="72">
        <v>255.75</v>
      </c>
      <c r="P81" s="366">
        <v>65</v>
      </c>
      <c r="Q81" s="100">
        <f>O81*P81</f>
        <v>16623.75</v>
      </c>
    </row>
  </sheetData>
  <mergeCells count="23">
    <mergeCell ref="L76:P76"/>
    <mergeCell ref="M74:M75"/>
    <mergeCell ref="L79:P79"/>
    <mergeCell ref="B52:B54"/>
    <mergeCell ref="B14:B19"/>
    <mergeCell ref="M77:M78"/>
    <mergeCell ref="L77:L78"/>
    <mergeCell ref="B4:B5"/>
    <mergeCell ref="C4:C5"/>
    <mergeCell ref="D4:D5"/>
    <mergeCell ref="B56:B59"/>
    <mergeCell ref="B38:B44"/>
    <mergeCell ref="C38:C42"/>
    <mergeCell ref="B46:B50"/>
    <mergeCell ref="C46:C47"/>
    <mergeCell ref="C49:C50"/>
    <mergeCell ref="B20:B23"/>
    <mergeCell ref="B24:B27"/>
    <mergeCell ref="C27:F27"/>
    <mergeCell ref="B28:F28"/>
    <mergeCell ref="B36:B37"/>
    <mergeCell ref="B6:B13"/>
    <mergeCell ref="C6:C10"/>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2:V77"/>
  <sheetViews>
    <sheetView topLeftCell="A17" zoomScaleNormal="100" workbookViewId="0">
      <selection activeCell="I52" sqref="I52"/>
    </sheetView>
  </sheetViews>
  <sheetFormatPr defaultRowHeight="14.4" x14ac:dyDescent="0.3"/>
  <cols>
    <col min="2" max="2" width="8.5546875" customWidth="1"/>
    <col min="3" max="3" width="9.44140625" customWidth="1"/>
    <col min="4" max="4" width="12.44140625" customWidth="1"/>
    <col min="5" max="5" width="16.33203125" customWidth="1"/>
    <col min="6" max="6" width="11.5546875" customWidth="1"/>
    <col min="7" max="7" width="12.44140625" customWidth="1"/>
    <col min="8" max="8" width="11.5546875" customWidth="1"/>
    <col min="9" max="9" width="14.33203125" customWidth="1"/>
    <col min="10" max="10" width="12" customWidth="1"/>
    <col min="11" max="11" width="12.44140625" customWidth="1"/>
    <col min="12" max="12" width="13.5546875" customWidth="1"/>
    <col min="13" max="13" width="12.33203125" customWidth="1"/>
    <col min="14" max="14" width="11.5546875" customWidth="1"/>
    <col min="16" max="16" width="11.44140625" customWidth="1"/>
    <col min="17" max="17" width="13.5546875" customWidth="1"/>
    <col min="18" max="20" width="12.44140625" customWidth="1"/>
  </cols>
  <sheetData>
    <row r="2" spans="2:10" x14ac:dyDescent="0.3">
      <c r="B2" s="176" t="s">
        <v>367</v>
      </c>
    </row>
    <row r="3" spans="2:10" ht="22.5" customHeight="1" x14ac:dyDescent="0.3">
      <c r="B3" s="699"/>
      <c r="C3" s="697" t="s">
        <v>371</v>
      </c>
      <c r="D3" s="29" t="s">
        <v>155</v>
      </c>
      <c r="E3" s="654" t="s">
        <v>207</v>
      </c>
      <c r="F3" s="28" t="s">
        <v>151</v>
      </c>
      <c r="G3" s="28" t="s">
        <v>131</v>
      </c>
    </row>
    <row r="4" spans="2:10" x14ac:dyDescent="0.3">
      <c r="B4" s="699"/>
      <c r="C4" s="698"/>
      <c r="D4" s="28" t="s">
        <v>153</v>
      </c>
      <c r="E4" s="654"/>
      <c r="F4" s="28" t="s">
        <v>154</v>
      </c>
      <c r="G4" s="28" t="s">
        <v>132</v>
      </c>
    </row>
    <row r="5" spans="2:10" ht="25.35" customHeight="1" x14ac:dyDescent="0.3">
      <c r="B5" s="700" t="s">
        <v>202</v>
      </c>
      <c r="C5" s="84" t="str">
        <f>Envelope!B7</f>
        <v>3-DMTT</v>
      </c>
      <c r="D5" s="86">
        <f>Envelope!M95</f>
        <v>7546.2450000000008</v>
      </c>
      <c r="E5" s="35">
        <v>0.4</v>
      </c>
      <c r="F5" s="16">
        <f>D5*E5</f>
        <v>3018.4980000000005</v>
      </c>
      <c r="G5" s="16">
        <f>SUM(G20:M20)</f>
        <v>65614.086193398223</v>
      </c>
      <c r="I5" t="s">
        <v>756</v>
      </c>
      <c r="J5">
        <v>0.5</v>
      </c>
    </row>
    <row r="6" spans="2:10" ht="25.35" customHeight="1" x14ac:dyDescent="0.3">
      <c r="B6" s="700"/>
      <c r="C6" s="84"/>
      <c r="D6" s="86"/>
      <c r="E6" s="35"/>
      <c r="F6" s="16">
        <f t="shared" ref="F6:F8" si="0">D6*E6</f>
        <v>0</v>
      </c>
      <c r="G6" s="16">
        <f>SUM(G21:M21)</f>
        <v>0</v>
      </c>
      <c r="I6" t="s">
        <v>757</v>
      </c>
      <c r="J6">
        <v>0.4</v>
      </c>
    </row>
    <row r="7" spans="2:10" ht="25.35" customHeight="1" x14ac:dyDescent="0.3">
      <c r="B7" s="700"/>
      <c r="C7" s="84"/>
      <c r="D7" s="86"/>
      <c r="E7" s="35"/>
      <c r="F7" s="16">
        <f t="shared" ref="F7" si="1">D7*E7</f>
        <v>0</v>
      </c>
      <c r="G7" s="16">
        <f>SUM(G22:M22)</f>
        <v>0</v>
      </c>
      <c r="I7" t="s">
        <v>758</v>
      </c>
      <c r="J7">
        <v>0.35</v>
      </c>
    </row>
    <row r="8" spans="2:10" ht="25.35" customHeight="1" x14ac:dyDescent="0.3">
      <c r="B8" s="700"/>
      <c r="C8" s="84"/>
      <c r="D8" s="86"/>
      <c r="E8" s="35"/>
      <c r="F8" s="16">
        <f t="shared" si="0"/>
        <v>0</v>
      </c>
      <c r="G8" s="16">
        <f>SUM(G22:M22)</f>
        <v>0</v>
      </c>
    </row>
    <row r="9" spans="2:10" ht="24.6" customHeight="1" x14ac:dyDescent="0.3">
      <c r="B9" s="700"/>
      <c r="C9" s="174" t="s">
        <v>363</v>
      </c>
      <c r="D9" s="175"/>
      <c r="E9" s="175"/>
      <c r="F9" s="175"/>
      <c r="G9" s="85">
        <f>SUM(G5:G8)</f>
        <v>65614.086193398223</v>
      </c>
    </row>
    <row r="10" spans="2:10" ht="25.35" customHeight="1" x14ac:dyDescent="0.3">
      <c r="B10" s="700" t="s">
        <v>203</v>
      </c>
      <c r="C10" s="84" t="str">
        <f>C5</f>
        <v>3-DMTT</v>
      </c>
      <c r="D10" s="86">
        <f>D5</f>
        <v>7546.2450000000008</v>
      </c>
      <c r="E10" s="35">
        <v>0.35</v>
      </c>
      <c r="F10" s="16">
        <f>D10*E10</f>
        <v>2641.1857500000001</v>
      </c>
      <c r="G10" s="16">
        <f>SUM(G25:M25)</f>
        <v>57412.325419223445</v>
      </c>
    </row>
    <row r="11" spans="2:10" ht="25.35" customHeight="1" x14ac:dyDescent="0.3">
      <c r="B11" s="700"/>
      <c r="C11" s="84">
        <f>C6</f>
        <v>0</v>
      </c>
      <c r="D11" s="86"/>
      <c r="E11" s="35"/>
      <c r="F11" s="16">
        <f>D11*E11</f>
        <v>0</v>
      </c>
      <c r="G11" s="16">
        <f t="shared" ref="G11:G13" si="2">SUM(G26:M26)</f>
        <v>0</v>
      </c>
    </row>
    <row r="12" spans="2:10" ht="25.35" customHeight="1" x14ac:dyDescent="0.3">
      <c r="B12" s="700"/>
      <c r="C12" s="84"/>
      <c r="D12" s="86"/>
      <c r="E12" s="35"/>
      <c r="F12" s="16">
        <f t="shared" ref="F12:F13" si="3">D12*E12</f>
        <v>0</v>
      </c>
      <c r="G12" s="16">
        <f t="shared" si="2"/>
        <v>0</v>
      </c>
    </row>
    <row r="13" spans="2:10" ht="25.35" customHeight="1" x14ac:dyDescent="0.3">
      <c r="B13" s="700"/>
      <c r="C13" s="84"/>
      <c r="D13" s="86"/>
      <c r="E13" s="35"/>
      <c r="F13" s="16">
        <f t="shared" si="3"/>
        <v>0</v>
      </c>
      <c r="G13" s="16">
        <f t="shared" si="2"/>
        <v>0</v>
      </c>
    </row>
    <row r="14" spans="2:10" ht="24.6" customHeight="1" x14ac:dyDescent="0.3">
      <c r="B14" s="700"/>
      <c r="C14" s="174" t="s">
        <v>363</v>
      </c>
      <c r="D14" s="175"/>
      <c r="E14" s="175"/>
      <c r="F14" s="175"/>
      <c r="G14" s="85">
        <f>SUM(G10:G13)</f>
        <v>57412.325419223445</v>
      </c>
    </row>
    <row r="15" spans="2:10" ht="25.35" customHeight="1" x14ac:dyDescent="0.3">
      <c r="B15" s="174" t="s">
        <v>206</v>
      </c>
      <c r="C15" s="175"/>
      <c r="D15" s="175"/>
      <c r="E15" s="175"/>
      <c r="F15" s="175"/>
      <c r="G15" s="116">
        <f>G9-G14</f>
        <v>8201.7607741747779</v>
      </c>
    </row>
    <row r="17" spans="2:22" x14ac:dyDescent="0.3">
      <c r="B17" s="176" t="s">
        <v>366</v>
      </c>
      <c r="O17" s="176" t="s">
        <v>325</v>
      </c>
    </row>
    <row r="18" spans="2:22" x14ac:dyDescent="0.3">
      <c r="B18" s="699"/>
      <c r="C18" s="697" t="s">
        <v>371</v>
      </c>
      <c r="D18" s="28" t="s">
        <v>151</v>
      </c>
      <c r="E18" s="652" t="s">
        <v>152</v>
      </c>
      <c r="F18" s="654" t="s">
        <v>158</v>
      </c>
      <c r="G18" s="181" t="s">
        <v>337</v>
      </c>
      <c r="H18" s="181" t="s">
        <v>339</v>
      </c>
      <c r="I18" s="181" t="s">
        <v>340</v>
      </c>
      <c r="J18" s="181" t="s">
        <v>341</v>
      </c>
      <c r="K18" s="181" t="s">
        <v>342</v>
      </c>
      <c r="L18" s="181" t="s">
        <v>343</v>
      </c>
      <c r="M18" s="181" t="s">
        <v>344</v>
      </c>
    </row>
    <row r="19" spans="2:22" x14ac:dyDescent="0.3">
      <c r="B19" s="699"/>
      <c r="C19" s="698"/>
      <c r="D19" s="28" t="s">
        <v>154</v>
      </c>
      <c r="E19" s="652"/>
      <c r="F19" s="654"/>
      <c r="G19" s="181" t="s">
        <v>338</v>
      </c>
      <c r="H19" s="181" t="s">
        <v>338</v>
      </c>
      <c r="I19" s="181" t="s">
        <v>338</v>
      </c>
      <c r="J19" s="181" t="s">
        <v>338</v>
      </c>
      <c r="K19" s="181" t="s">
        <v>338</v>
      </c>
      <c r="L19" s="181" t="s">
        <v>338</v>
      </c>
      <c r="M19" s="181" t="s">
        <v>338</v>
      </c>
      <c r="O19" s="181" t="s">
        <v>21</v>
      </c>
      <c r="P19" s="181" t="s">
        <v>327</v>
      </c>
      <c r="Q19" s="181" t="s">
        <v>328</v>
      </c>
      <c r="R19" s="181" t="s">
        <v>329</v>
      </c>
      <c r="S19" s="181" t="s">
        <v>330</v>
      </c>
      <c r="T19" s="181" t="s">
        <v>331</v>
      </c>
      <c r="U19" s="181" t="s">
        <v>332</v>
      </c>
      <c r="V19" s="181" t="s">
        <v>333</v>
      </c>
    </row>
    <row r="20" spans="2:22" x14ac:dyDescent="0.3">
      <c r="B20" s="700" t="s">
        <v>202</v>
      </c>
      <c r="C20" s="84" t="str">
        <f>C5</f>
        <v>3-DMTT</v>
      </c>
      <c r="D20" s="14">
        <f>F5</f>
        <v>3018.4980000000005</v>
      </c>
      <c r="E20" s="90">
        <v>0.28799999999999998</v>
      </c>
      <c r="F20" s="90">
        <v>1.163</v>
      </c>
      <c r="G20" s="16">
        <f t="shared" ref="G20:M23" si="4">(P$22*P$23*$D20*$E20*$F20)/1000</f>
        <v>3494.1120564510725</v>
      </c>
      <c r="H20" s="16">
        <f t="shared" si="4"/>
        <v>10089.248563002473</v>
      </c>
      <c r="I20" s="16">
        <f t="shared" si="4"/>
        <v>14131.742094979894</v>
      </c>
      <c r="J20" s="16">
        <f t="shared" si="4"/>
        <v>15014.975975916135</v>
      </c>
      <c r="K20" s="16">
        <f t="shared" si="4"/>
        <v>11829.025191110402</v>
      </c>
      <c r="L20" s="16">
        <f t="shared" si="4"/>
        <v>9104.1030804197399</v>
      </c>
      <c r="M20" s="16">
        <f t="shared" si="4"/>
        <v>1950.8792315185153</v>
      </c>
      <c r="O20" s="183" t="s">
        <v>336</v>
      </c>
      <c r="P20" s="79" t="str">
        <f>'Losses env. after'!N33</f>
        <v xml:space="preserve">12,4 </v>
      </c>
      <c r="Q20" s="79" t="str">
        <f>'Losses env. after'!O33</f>
        <v xml:space="preserve">6,6 </v>
      </c>
      <c r="R20" s="79" t="str">
        <f>'Losses env. after'!P33</f>
        <v xml:space="preserve">1,2 </v>
      </c>
      <c r="S20" s="79" t="str">
        <f>'Losses env. after'!Q33</f>
        <v xml:space="preserve">-0,1 </v>
      </c>
      <c r="T20" s="79" t="str">
        <f>'Losses env. after'!R33</f>
        <v xml:space="preserve">2,5 </v>
      </c>
      <c r="U20" s="79" t="str">
        <f>'Losses env. after'!S33</f>
        <v xml:space="preserve">8,6 </v>
      </c>
      <c r="V20" s="79" t="str">
        <f>'Losses env. after'!T33</f>
        <v xml:space="preserve">15,3 </v>
      </c>
    </row>
    <row r="21" spans="2:22" x14ac:dyDescent="0.3">
      <c r="B21" s="700"/>
      <c r="C21" s="84">
        <f>C6</f>
        <v>0</v>
      </c>
      <c r="D21" s="14">
        <f t="shared" ref="D21:D23" si="5">F6</f>
        <v>0</v>
      </c>
      <c r="E21" s="90">
        <v>0.28799999999999998</v>
      </c>
      <c r="F21" s="90">
        <v>1.163</v>
      </c>
      <c r="G21" s="16">
        <f t="shared" si="4"/>
        <v>0</v>
      </c>
      <c r="H21" s="16">
        <f t="shared" si="4"/>
        <v>0</v>
      </c>
      <c r="I21" s="16">
        <f t="shared" si="4"/>
        <v>0</v>
      </c>
      <c r="J21" s="16">
        <f t="shared" si="4"/>
        <v>0</v>
      </c>
      <c r="K21" s="16">
        <f t="shared" si="4"/>
        <v>0</v>
      </c>
      <c r="L21" s="16">
        <f t="shared" si="4"/>
        <v>0</v>
      </c>
      <c r="M21" s="16">
        <f t="shared" si="4"/>
        <v>0</v>
      </c>
      <c r="O21" s="183" t="s">
        <v>326</v>
      </c>
      <c r="P21" s="79">
        <v>15</v>
      </c>
      <c r="Q21" s="79">
        <v>27</v>
      </c>
      <c r="R21" s="79">
        <v>28</v>
      </c>
      <c r="S21" s="79">
        <v>28</v>
      </c>
      <c r="T21" s="79">
        <v>25</v>
      </c>
      <c r="U21" s="79">
        <v>28</v>
      </c>
      <c r="V21" s="79">
        <v>12</v>
      </c>
    </row>
    <row r="22" spans="2:22" x14ac:dyDescent="0.3">
      <c r="B22" s="700"/>
      <c r="C22" s="84"/>
      <c r="D22" s="14">
        <f t="shared" si="5"/>
        <v>0</v>
      </c>
      <c r="E22" s="90">
        <v>0.28799999999999998</v>
      </c>
      <c r="F22" s="90">
        <v>1.163</v>
      </c>
      <c r="G22" s="16">
        <f t="shared" si="4"/>
        <v>0</v>
      </c>
      <c r="H22" s="16">
        <f t="shared" si="4"/>
        <v>0</v>
      </c>
      <c r="I22" s="16">
        <f t="shared" si="4"/>
        <v>0</v>
      </c>
      <c r="J22" s="16">
        <f t="shared" si="4"/>
        <v>0</v>
      </c>
      <c r="K22" s="16">
        <f t="shared" si="4"/>
        <v>0</v>
      </c>
      <c r="L22" s="16">
        <f t="shared" si="4"/>
        <v>0</v>
      </c>
      <c r="M22" s="16">
        <f t="shared" si="4"/>
        <v>0</v>
      </c>
      <c r="O22" s="183" t="s">
        <v>334</v>
      </c>
      <c r="P22" s="79">
        <f>'Losses env. after'!N35</f>
        <v>9.6</v>
      </c>
      <c r="Q22" s="79">
        <f>'Losses env. after'!O35</f>
        <v>15.4</v>
      </c>
      <c r="R22" s="79">
        <f>'Losses env. after'!P35</f>
        <v>20.8</v>
      </c>
      <c r="S22" s="79">
        <f>'Losses env. after'!Q35</f>
        <v>22.1</v>
      </c>
      <c r="T22" s="79">
        <f>'Losses env. after'!R35</f>
        <v>19.5</v>
      </c>
      <c r="U22" s="79">
        <f>'Losses env. after'!S35</f>
        <v>13.4</v>
      </c>
      <c r="V22" s="79">
        <f>'Losses env. after'!T35</f>
        <v>6.6999999999999993</v>
      </c>
    </row>
    <row r="23" spans="2:22" x14ac:dyDescent="0.3">
      <c r="B23" s="700"/>
      <c r="C23" s="84"/>
      <c r="D23" s="14">
        <f t="shared" si="5"/>
        <v>0</v>
      </c>
      <c r="E23" s="90">
        <v>0.28799999999999998</v>
      </c>
      <c r="F23" s="90">
        <v>1.163</v>
      </c>
      <c r="G23" s="16">
        <f t="shared" si="4"/>
        <v>0</v>
      </c>
      <c r="H23" s="16">
        <f t="shared" si="4"/>
        <v>0</v>
      </c>
      <c r="I23" s="16">
        <f t="shared" si="4"/>
        <v>0</v>
      </c>
      <c r="J23" s="16">
        <f t="shared" si="4"/>
        <v>0</v>
      </c>
      <c r="K23" s="16">
        <f t="shared" si="4"/>
        <v>0</v>
      </c>
      <c r="L23" s="16">
        <f t="shared" si="4"/>
        <v>0</v>
      </c>
      <c r="M23" s="16">
        <f t="shared" si="4"/>
        <v>0</v>
      </c>
      <c r="O23" s="183" t="s">
        <v>335</v>
      </c>
      <c r="P23" s="79">
        <f t="shared" ref="P23:V23" si="6">P21*24</f>
        <v>360</v>
      </c>
      <c r="Q23" s="79">
        <f t="shared" si="6"/>
        <v>648</v>
      </c>
      <c r="R23" s="79">
        <f t="shared" si="6"/>
        <v>672</v>
      </c>
      <c r="S23" s="79">
        <f t="shared" si="6"/>
        <v>672</v>
      </c>
      <c r="T23" s="79">
        <f t="shared" si="6"/>
        <v>600</v>
      </c>
      <c r="U23" s="79">
        <f t="shared" si="6"/>
        <v>672</v>
      </c>
      <c r="V23" s="79">
        <f t="shared" si="6"/>
        <v>288</v>
      </c>
    </row>
    <row r="24" spans="2:22" x14ac:dyDescent="0.3">
      <c r="B24" s="700"/>
      <c r="C24" s="174" t="s">
        <v>364</v>
      </c>
      <c r="D24" s="175"/>
      <c r="E24" s="175"/>
      <c r="F24" s="175"/>
      <c r="G24" s="85">
        <f t="shared" ref="G24:M24" si="7">SUM(G20:G23)</f>
        <v>3494.1120564510725</v>
      </c>
      <c r="H24" s="85">
        <f t="shared" si="7"/>
        <v>10089.248563002473</v>
      </c>
      <c r="I24" s="85">
        <f t="shared" si="7"/>
        <v>14131.742094979894</v>
      </c>
      <c r="J24" s="85">
        <f t="shared" si="7"/>
        <v>15014.975975916135</v>
      </c>
      <c r="K24" s="85">
        <f t="shared" si="7"/>
        <v>11829.025191110402</v>
      </c>
      <c r="L24" s="85">
        <f t="shared" si="7"/>
        <v>9104.1030804197399</v>
      </c>
      <c r="M24" s="85">
        <f t="shared" si="7"/>
        <v>1950.8792315185153</v>
      </c>
    </row>
    <row r="25" spans="2:22" x14ac:dyDescent="0.3">
      <c r="B25" s="700" t="s">
        <v>203</v>
      </c>
      <c r="C25" s="84" t="str">
        <f>C20</f>
        <v>3-DMTT</v>
      </c>
      <c r="D25" s="14">
        <f>F10</f>
        <v>2641.1857500000001</v>
      </c>
      <c r="E25" s="90">
        <v>0.28799999999999998</v>
      </c>
      <c r="F25" s="90">
        <v>1.163</v>
      </c>
      <c r="G25" s="16">
        <f t="shared" ref="G25" si="8">(P$22*P$23*$D25*$E25*$F25)/1000</f>
        <v>3057.3480493946881</v>
      </c>
      <c r="H25" s="16">
        <f t="shared" ref="H25" si="9">(Q$22*Q$23*$D25*$E25*$F25)/1000</f>
        <v>8828.0924926271618</v>
      </c>
      <c r="I25" s="16">
        <f t="shared" ref="I25" si="10">(R$22*R$23*$D25*$E25*$F25)/1000</f>
        <v>12365.274333107403</v>
      </c>
      <c r="J25" s="16">
        <f t="shared" ref="J25" si="11">(S$22*S$23*$D25*$E25*$F25)/1000</f>
        <v>13138.103978926616</v>
      </c>
      <c r="K25" s="16">
        <f t="shared" ref="K25" si="12">(T$22*T$23*$D25*$E25*$F25)/1000</f>
        <v>10350.397042221601</v>
      </c>
      <c r="L25" s="16">
        <f t="shared" ref="L25" si="13">(U$22*U$23*$D25*$E25*$F25)/1000</f>
        <v>7966.0901953672701</v>
      </c>
      <c r="M25" s="16">
        <f t="shared" ref="M25" si="14">(V$22*V$23*$D25*$E25*$F25)/1000</f>
        <v>1707.0193275787005</v>
      </c>
    </row>
    <row r="26" spans="2:22" x14ac:dyDescent="0.3">
      <c r="B26" s="700"/>
      <c r="C26" s="84">
        <f>C21</f>
        <v>0</v>
      </c>
      <c r="D26" s="14">
        <f t="shared" ref="D26:D28" si="15">F11</f>
        <v>0</v>
      </c>
      <c r="E26" s="90">
        <v>0.28799999999999998</v>
      </c>
      <c r="F26" s="90">
        <v>1.163</v>
      </c>
      <c r="G26" s="16">
        <f t="shared" ref="G26:G28" si="16">(P$22*P$23*$D26*$E26*$F26)/1000</f>
        <v>0</v>
      </c>
      <c r="H26" s="16">
        <f t="shared" ref="H26:H28" si="17">(Q$22*Q$23*$D26*$E26*$F26)/1000</f>
        <v>0</v>
      </c>
      <c r="I26" s="16">
        <f t="shared" ref="I26:I28" si="18">(R$22*R$23*$D26*$E26*$F26)/1000</f>
        <v>0</v>
      </c>
      <c r="J26" s="16">
        <f t="shared" ref="J26:J28" si="19">(S$22*S$23*$D26*$E26*$F26)/1000</f>
        <v>0</v>
      </c>
      <c r="K26" s="16">
        <f t="shared" ref="K26:K28" si="20">(T$22*T$23*$D26*$E26*$F26)/1000</f>
        <v>0</v>
      </c>
      <c r="L26" s="16">
        <f t="shared" ref="L26:L28" si="21">(U$22*U$23*$D26*$E26*$F26)/1000</f>
        <v>0</v>
      </c>
      <c r="M26" s="16">
        <f t="shared" ref="M26:M28" si="22">(V$22*V$23*$D26*$E26*$F26)/1000</f>
        <v>0</v>
      </c>
    </row>
    <row r="27" spans="2:22" x14ac:dyDescent="0.3">
      <c r="B27" s="700"/>
      <c r="C27" s="84"/>
      <c r="D27" s="14">
        <f t="shared" si="15"/>
        <v>0</v>
      </c>
      <c r="E27" s="90">
        <v>0.28799999999999998</v>
      </c>
      <c r="F27" s="90">
        <v>1.163</v>
      </c>
      <c r="G27" s="16">
        <f t="shared" si="16"/>
        <v>0</v>
      </c>
      <c r="H27" s="16">
        <f t="shared" si="17"/>
        <v>0</v>
      </c>
      <c r="I27" s="16">
        <f t="shared" si="18"/>
        <v>0</v>
      </c>
      <c r="J27" s="16">
        <f t="shared" si="19"/>
        <v>0</v>
      </c>
      <c r="K27" s="16">
        <f t="shared" si="20"/>
        <v>0</v>
      </c>
      <c r="L27" s="16">
        <f t="shared" si="21"/>
        <v>0</v>
      </c>
      <c r="M27" s="16">
        <f t="shared" si="22"/>
        <v>0</v>
      </c>
    </row>
    <row r="28" spans="2:22" x14ac:dyDescent="0.3">
      <c r="B28" s="700"/>
      <c r="C28" s="84"/>
      <c r="D28" s="14">
        <f t="shared" si="15"/>
        <v>0</v>
      </c>
      <c r="E28" s="90">
        <v>0.28799999999999998</v>
      </c>
      <c r="F28" s="90">
        <v>1.163</v>
      </c>
      <c r="G28" s="16">
        <f t="shared" si="16"/>
        <v>0</v>
      </c>
      <c r="H28" s="16">
        <f t="shared" si="17"/>
        <v>0</v>
      </c>
      <c r="I28" s="16">
        <f t="shared" si="18"/>
        <v>0</v>
      </c>
      <c r="J28" s="16">
        <f t="shared" si="19"/>
        <v>0</v>
      </c>
      <c r="K28" s="16">
        <f t="shared" si="20"/>
        <v>0</v>
      </c>
      <c r="L28" s="16">
        <f t="shared" si="21"/>
        <v>0</v>
      </c>
      <c r="M28" s="16">
        <f t="shared" si="22"/>
        <v>0</v>
      </c>
    </row>
    <row r="29" spans="2:22" x14ac:dyDescent="0.3">
      <c r="B29" s="700"/>
      <c r="C29" s="174" t="s">
        <v>364</v>
      </c>
      <c r="D29" s="175"/>
      <c r="E29" s="175"/>
      <c r="F29" s="175"/>
      <c r="G29" s="85">
        <f>SUM(G25:G28)</f>
        <v>3057.3480493946881</v>
      </c>
      <c r="H29" s="85">
        <f t="shared" ref="H29:M29" si="23">SUM(H25:H28)</f>
        <v>8828.0924926271618</v>
      </c>
      <c r="I29" s="85">
        <f t="shared" si="23"/>
        <v>12365.274333107403</v>
      </c>
      <c r="J29" s="85">
        <f t="shared" si="23"/>
        <v>13138.103978926616</v>
      </c>
      <c r="K29" s="85">
        <f t="shared" si="23"/>
        <v>10350.397042221601</v>
      </c>
      <c r="L29" s="85">
        <f t="shared" si="23"/>
        <v>7966.0901953672701</v>
      </c>
      <c r="M29" s="85">
        <f t="shared" si="23"/>
        <v>1707.0193275787005</v>
      </c>
    </row>
    <row r="30" spans="2:22" x14ac:dyDescent="0.3">
      <c r="B30" s="174" t="s">
        <v>365</v>
      </c>
      <c r="C30" s="175"/>
      <c r="D30" s="175"/>
      <c r="E30" s="175"/>
      <c r="F30" s="175"/>
      <c r="G30" s="85">
        <f>G24-G29</f>
        <v>436.76400705638434</v>
      </c>
      <c r="H30" s="85">
        <f t="shared" ref="H30:M30" si="24">H24-H29</f>
        <v>1261.1560703753112</v>
      </c>
      <c r="I30" s="85">
        <f t="shared" si="24"/>
        <v>1766.4677618724909</v>
      </c>
      <c r="J30" s="85">
        <f t="shared" si="24"/>
        <v>1876.8719969895192</v>
      </c>
      <c r="K30" s="85">
        <f t="shared" si="24"/>
        <v>1478.6281488888017</v>
      </c>
      <c r="L30" s="85">
        <f t="shared" si="24"/>
        <v>1138.0128850524698</v>
      </c>
      <c r="M30" s="85">
        <f t="shared" si="24"/>
        <v>243.85990393981479</v>
      </c>
    </row>
    <row r="34" spans="2:9" x14ac:dyDescent="0.3">
      <c r="B34" s="176" t="s">
        <v>368</v>
      </c>
    </row>
    <row r="35" spans="2:9" ht="27" customHeight="1" x14ac:dyDescent="0.3">
      <c r="B35" s="699"/>
      <c r="C35" s="654" t="s">
        <v>369</v>
      </c>
      <c r="D35" s="654" t="s">
        <v>159</v>
      </c>
      <c r="E35" s="654" t="s">
        <v>156</v>
      </c>
      <c r="F35" s="29" t="s">
        <v>157</v>
      </c>
      <c r="G35" s="654" t="s">
        <v>372</v>
      </c>
      <c r="H35" s="697" t="s">
        <v>373</v>
      </c>
      <c r="I35" s="697" t="s">
        <v>285</v>
      </c>
    </row>
    <row r="36" spans="2:9" x14ac:dyDescent="0.3">
      <c r="B36" s="699"/>
      <c r="C36" s="654"/>
      <c r="D36" s="654"/>
      <c r="E36" s="654"/>
      <c r="F36" s="28" t="s">
        <v>161</v>
      </c>
      <c r="G36" s="654"/>
      <c r="H36" s="698"/>
      <c r="I36" s="698"/>
    </row>
    <row r="37" spans="2:9" ht="34.950000000000003" customHeight="1" x14ac:dyDescent="0.3">
      <c r="B37" s="706" t="s">
        <v>202</v>
      </c>
      <c r="C37" s="89" t="str">
        <f>C5</f>
        <v>3-DMTT</v>
      </c>
      <c r="D37" s="89" t="s">
        <v>877</v>
      </c>
      <c r="E37" s="35">
        <f>Building_data!D18</f>
        <v>418</v>
      </c>
      <c r="F37" s="35">
        <v>20</v>
      </c>
      <c r="G37" s="35">
        <f>F37*E37</f>
        <v>8360</v>
      </c>
      <c r="H37" s="88">
        <v>0</v>
      </c>
      <c r="I37" s="16">
        <f>SUM(J58:P58)</f>
        <v>75718.365085440004</v>
      </c>
    </row>
    <row r="38" spans="2:9" ht="25.35" customHeight="1" x14ac:dyDescent="0.3">
      <c r="B38" s="707"/>
      <c r="C38" s="89"/>
      <c r="D38" s="89"/>
      <c r="E38" s="35"/>
      <c r="F38" s="35"/>
      <c r="G38" s="35"/>
      <c r="H38" s="88"/>
      <c r="I38" s="16">
        <f>SUM(J59:P59)</f>
        <v>0</v>
      </c>
    </row>
    <row r="39" spans="2:9" ht="25.35" customHeight="1" x14ac:dyDescent="0.3">
      <c r="B39" s="707"/>
      <c r="C39" s="89"/>
      <c r="D39" s="197"/>
      <c r="E39" s="35"/>
      <c r="F39" s="35"/>
      <c r="G39" s="35"/>
      <c r="H39" s="88">
        <v>0</v>
      </c>
      <c r="I39" s="16">
        <f>SUM(J60:P60)</f>
        <v>0</v>
      </c>
    </row>
    <row r="40" spans="2:9" ht="25.35" customHeight="1" x14ac:dyDescent="0.3">
      <c r="B40" s="707"/>
      <c r="C40" s="89"/>
      <c r="D40" s="197"/>
      <c r="E40" s="35"/>
      <c r="F40" s="35"/>
      <c r="G40" s="35"/>
      <c r="H40" s="88">
        <v>0</v>
      </c>
      <c r="I40" s="16">
        <f>SUM(J61:P61)</f>
        <v>0</v>
      </c>
    </row>
    <row r="41" spans="2:9" ht="25.35" customHeight="1" x14ac:dyDescent="0.3">
      <c r="B41" s="707"/>
      <c r="C41" s="89"/>
      <c r="D41" s="87"/>
      <c r="E41" s="35"/>
      <c r="F41" s="35"/>
      <c r="G41" s="35"/>
      <c r="H41" s="88"/>
      <c r="I41" s="16">
        <f>SUM(J62:P62)</f>
        <v>0</v>
      </c>
    </row>
    <row r="42" spans="2:9" ht="25.35" customHeight="1" x14ac:dyDescent="0.3">
      <c r="B42" s="707"/>
      <c r="C42" s="703" t="s">
        <v>378</v>
      </c>
      <c r="D42" s="704"/>
      <c r="E42" s="704"/>
      <c r="F42" s="704"/>
      <c r="G42" s="704"/>
      <c r="H42" s="705"/>
      <c r="I42" s="85">
        <f>SUM(I37:I41)</f>
        <v>75718.365085440004</v>
      </c>
    </row>
    <row r="43" spans="2:9" ht="25.35" customHeight="1" x14ac:dyDescent="0.3">
      <c r="B43" s="708"/>
      <c r="C43" s="703" t="s">
        <v>741</v>
      </c>
      <c r="D43" s="704"/>
      <c r="E43" s="704"/>
      <c r="F43" s="704"/>
      <c r="G43" s="704"/>
      <c r="H43" s="705"/>
      <c r="I43" s="85">
        <f>Equipment!K35</f>
        <v>0</v>
      </c>
    </row>
    <row r="44" spans="2:9" ht="25.35" customHeight="1" x14ac:dyDescent="0.3">
      <c r="B44" s="709" t="s">
        <v>203</v>
      </c>
      <c r="C44" s="89" t="str">
        <f>C37</f>
        <v>3-DMTT</v>
      </c>
      <c r="D44" s="89"/>
      <c r="E44" s="35"/>
      <c r="F44" s="35"/>
      <c r="G44" s="35"/>
      <c r="H44" s="88"/>
      <c r="I44" s="16">
        <f>SUM(J64:P64)</f>
        <v>0</v>
      </c>
    </row>
    <row r="45" spans="2:9" ht="25.35" customHeight="1" x14ac:dyDescent="0.3">
      <c r="B45" s="710"/>
      <c r="C45" s="89">
        <f t="shared" ref="C45:C47" si="25">C38</f>
        <v>0</v>
      </c>
      <c r="D45" s="89" t="s">
        <v>828</v>
      </c>
      <c r="E45" s="35">
        <f>Building_data!D18</f>
        <v>418</v>
      </c>
      <c r="F45" s="35">
        <v>20</v>
      </c>
      <c r="G45" s="35">
        <f>E45*F45</f>
        <v>8360</v>
      </c>
      <c r="H45" s="88">
        <v>0.85</v>
      </c>
      <c r="I45" s="16">
        <f>SUM(J65:P65)</f>
        <v>11357.754762816003</v>
      </c>
    </row>
    <row r="46" spans="2:9" ht="25.35" customHeight="1" x14ac:dyDescent="0.3">
      <c r="B46" s="710"/>
      <c r="C46" s="89">
        <f t="shared" si="25"/>
        <v>0</v>
      </c>
      <c r="D46" s="89">
        <f>Equipment!C85</f>
        <v>0</v>
      </c>
      <c r="E46" s="35"/>
      <c r="F46" s="35"/>
      <c r="G46" s="35">
        <f t="shared" ref="G46:H47" si="26">G39</f>
        <v>0</v>
      </c>
      <c r="H46" s="88">
        <f t="shared" si="26"/>
        <v>0</v>
      </c>
      <c r="I46" s="16">
        <f>SUM(J66:P66)</f>
        <v>0</v>
      </c>
    </row>
    <row r="47" spans="2:9" ht="25.35" customHeight="1" x14ac:dyDescent="0.3">
      <c r="B47" s="710"/>
      <c r="C47" s="89">
        <f t="shared" si="25"/>
        <v>0</v>
      </c>
      <c r="D47" s="89">
        <f>D40</f>
        <v>0</v>
      </c>
      <c r="E47" s="35"/>
      <c r="F47" s="35"/>
      <c r="G47" s="35">
        <f t="shared" si="26"/>
        <v>0</v>
      </c>
      <c r="H47" s="88">
        <f t="shared" si="26"/>
        <v>0</v>
      </c>
      <c r="I47" s="16">
        <f>SUM(J67:P67)</f>
        <v>0</v>
      </c>
    </row>
    <row r="48" spans="2:9" ht="25.35" customHeight="1" x14ac:dyDescent="0.3">
      <c r="B48" s="710"/>
      <c r="C48" s="89"/>
      <c r="D48" s="87"/>
      <c r="E48" s="35"/>
      <c r="F48" s="35"/>
      <c r="G48" s="35"/>
      <c r="H48" s="88"/>
      <c r="I48" s="16"/>
    </row>
    <row r="49" spans="2:16" ht="25.35" customHeight="1" x14ac:dyDescent="0.3">
      <c r="B49" s="710"/>
      <c r="C49" s="185" t="s">
        <v>377</v>
      </c>
      <c r="D49" s="186"/>
      <c r="E49" s="186"/>
      <c r="F49" s="186"/>
      <c r="G49" s="186"/>
      <c r="H49" s="186"/>
      <c r="I49" s="85">
        <f>SUM(I44:I48)</f>
        <v>11357.754762816003</v>
      </c>
    </row>
    <row r="50" spans="2:16" ht="25.35" customHeight="1" x14ac:dyDescent="0.3">
      <c r="B50" s="711"/>
      <c r="C50" s="712" t="s">
        <v>761</v>
      </c>
      <c r="D50" s="712"/>
      <c r="E50" s="712"/>
      <c r="F50" s="712"/>
      <c r="G50" s="712"/>
      <c r="H50" s="712"/>
      <c r="I50" s="401">
        <f>Equipment!K85+Equipment!K86</f>
        <v>3424.2560000000003</v>
      </c>
    </row>
    <row r="51" spans="2:16" ht="25.35" customHeight="1" x14ac:dyDescent="0.3">
      <c r="B51" s="703" t="s">
        <v>742</v>
      </c>
      <c r="C51" s="713"/>
      <c r="D51" s="713"/>
      <c r="E51" s="713"/>
      <c r="F51" s="713"/>
      <c r="G51" s="713"/>
      <c r="H51" s="714"/>
      <c r="I51" s="401">
        <f>I43-I50</f>
        <v>-3424.2560000000003</v>
      </c>
    </row>
    <row r="52" spans="2:16" ht="25.35" customHeight="1" x14ac:dyDescent="0.3">
      <c r="B52" s="703" t="s">
        <v>379</v>
      </c>
      <c r="C52" s="713"/>
      <c r="D52" s="713"/>
      <c r="E52" s="713"/>
      <c r="F52" s="713"/>
      <c r="G52" s="713"/>
      <c r="H52" s="714"/>
      <c r="I52" s="116">
        <f>I42-I49</f>
        <v>64360.610322624001</v>
      </c>
    </row>
    <row r="53" spans="2:16" x14ac:dyDescent="0.3">
      <c r="B53" s="191" t="s">
        <v>380</v>
      </c>
    </row>
    <row r="54" spans="2:16" ht="14.7" customHeight="1" x14ac:dyDescent="0.3">
      <c r="B54" t="s">
        <v>878</v>
      </c>
    </row>
    <row r="55" spans="2:16" x14ac:dyDescent="0.3">
      <c r="B55" s="176" t="s">
        <v>370</v>
      </c>
    </row>
    <row r="56" spans="2:16" ht="24" customHeight="1" x14ac:dyDescent="0.3">
      <c r="B56" s="699"/>
      <c r="C56" s="654" t="s">
        <v>369</v>
      </c>
      <c r="D56" s="654" t="s">
        <v>159</v>
      </c>
      <c r="E56" s="654" t="s">
        <v>372</v>
      </c>
      <c r="F56" s="654" t="s">
        <v>152</v>
      </c>
      <c r="G56" s="654" t="s">
        <v>158</v>
      </c>
      <c r="H56" s="701" t="s">
        <v>373</v>
      </c>
      <c r="I56" s="701" t="s">
        <v>717</v>
      </c>
      <c r="J56" s="181" t="s">
        <v>337</v>
      </c>
      <c r="K56" s="181" t="s">
        <v>339</v>
      </c>
      <c r="L56" s="181" t="s">
        <v>340</v>
      </c>
      <c r="M56" s="181" t="s">
        <v>341</v>
      </c>
      <c r="N56" s="181" t="s">
        <v>342</v>
      </c>
      <c r="O56" s="181" t="s">
        <v>343</v>
      </c>
      <c r="P56" s="181" t="s">
        <v>344</v>
      </c>
    </row>
    <row r="57" spans="2:16" x14ac:dyDescent="0.3">
      <c r="B57" s="699"/>
      <c r="C57" s="654"/>
      <c r="D57" s="654"/>
      <c r="E57" s="654"/>
      <c r="F57" s="654"/>
      <c r="G57" s="654"/>
      <c r="H57" s="702"/>
      <c r="I57" s="702"/>
      <c r="J57" s="181" t="s">
        <v>338</v>
      </c>
      <c r="K57" s="181" t="s">
        <v>338</v>
      </c>
      <c r="L57" s="181" t="s">
        <v>338</v>
      </c>
      <c r="M57" s="181" t="s">
        <v>338</v>
      </c>
      <c r="N57" s="181" t="s">
        <v>338</v>
      </c>
      <c r="O57" s="181" t="s">
        <v>338</v>
      </c>
      <c r="P57" s="181" t="s">
        <v>338</v>
      </c>
    </row>
    <row r="58" spans="2:16" x14ac:dyDescent="0.3">
      <c r="B58" s="700" t="s">
        <v>202</v>
      </c>
      <c r="C58" s="165" t="str">
        <f t="shared" ref="C58:D62" si="27">C37</f>
        <v>3-DMTT</v>
      </c>
      <c r="D58" s="165" t="str">
        <f t="shared" si="27"/>
        <v>Mavjud egzoz ventilyatori</v>
      </c>
      <c r="E58" s="90">
        <f>G37</f>
        <v>8360</v>
      </c>
      <c r="F58" s="90">
        <v>0.28799999999999998</v>
      </c>
      <c r="G58" s="90">
        <v>1.163</v>
      </c>
      <c r="H58" s="172">
        <f>H37</f>
        <v>0</v>
      </c>
      <c r="I58" s="540">
        <f>10/24</f>
        <v>0.41666666666666669</v>
      </c>
      <c r="J58" s="16">
        <f>((P$22*P$23*$E58*$F58*$G58)/1000*(1-$H58))*$I$58</f>
        <v>4032.1898495999994</v>
      </c>
      <c r="K58" s="16">
        <f t="shared" ref="K58:P58" si="28">((Q$22*Q$23*$E58*$F58*$G58)/1000*(1-$H58))*$I$58</f>
        <v>11642.948190719999</v>
      </c>
      <c r="L58" s="16">
        <f t="shared" si="28"/>
        <v>16307.96783616</v>
      </c>
      <c r="M58" s="16">
        <f t="shared" si="28"/>
        <v>17327.21582592</v>
      </c>
      <c r="N58" s="16">
        <f t="shared" si="28"/>
        <v>13650.64272</v>
      </c>
      <c r="O58" s="16">
        <f t="shared" si="28"/>
        <v>10506.094663680004</v>
      </c>
      <c r="P58" s="16">
        <f t="shared" si="28"/>
        <v>2251.30599936</v>
      </c>
    </row>
    <row r="59" spans="2:16" x14ac:dyDescent="0.3">
      <c r="B59" s="700"/>
      <c r="C59" s="165">
        <f t="shared" si="27"/>
        <v>0</v>
      </c>
      <c r="D59" s="165">
        <f t="shared" si="27"/>
        <v>0</v>
      </c>
      <c r="E59" s="90">
        <f>G38</f>
        <v>0</v>
      </c>
      <c r="F59" s="90">
        <v>0.28799999999999998</v>
      </c>
      <c r="G59" s="90">
        <v>1.163</v>
      </c>
      <c r="H59" s="172">
        <f>H38</f>
        <v>0</v>
      </c>
      <c r="I59" s="540">
        <v>0.5</v>
      </c>
      <c r="J59" s="16">
        <f>((P$22*P$23*$E59*$F59*$G59)/1000*(1-$H59))*$I$59</f>
        <v>0</v>
      </c>
      <c r="K59" s="16">
        <f t="shared" ref="K59:P59" si="29">((Q$22*Q$23*$E59*$F59*$G59)/1000*(1-$H59))*$I$59</f>
        <v>0</v>
      </c>
      <c r="L59" s="16">
        <f t="shared" si="29"/>
        <v>0</v>
      </c>
      <c r="M59" s="16">
        <f t="shared" si="29"/>
        <v>0</v>
      </c>
      <c r="N59" s="16">
        <f t="shared" si="29"/>
        <v>0</v>
      </c>
      <c r="O59" s="16">
        <f t="shared" si="29"/>
        <v>0</v>
      </c>
      <c r="P59" s="16">
        <f t="shared" si="29"/>
        <v>0</v>
      </c>
    </row>
    <row r="60" spans="2:16" x14ac:dyDescent="0.3">
      <c r="B60" s="700"/>
      <c r="C60" s="165">
        <f t="shared" si="27"/>
        <v>0</v>
      </c>
      <c r="D60" s="165">
        <f t="shared" si="27"/>
        <v>0</v>
      </c>
      <c r="E60" s="90">
        <f>G39</f>
        <v>0</v>
      </c>
      <c r="F60" s="90">
        <v>0.28799999999999998</v>
      </c>
      <c r="G60" s="90">
        <v>1.163</v>
      </c>
      <c r="H60" s="172">
        <f>H39</f>
        <v>0</v>
      </c>
      <c r="I60" s="540">
        <v>0.125</v>
      </c>
      <c r="J60" s="16">
        <f>((P$22*P$23*$E60*$F60*$G60)/1000*(1-$H60))*$I$60</f>
        <v>0</v>
      </c>
      <c r="K60" s="16">
        <f t="shared" ref="K60:P60" si="30">((Q$22*Q$23*$E60*$F60*$G60)/1000*(1-$H60))*$I$60</f>
        <v>0</v>
      </c>
      <c r="L60" s="16">
        <f t="shared" si="30"/>
        <v>0</v>
      </c>
      <c r="M60" s="16">
        <f t="shared" si="30"/>
        <v>0</v>
      </c>
      <c r="N60" s="16">
        <f t="shared" si="30"/>
        <v>0</v>
      </c>
      <c r="O60" s="16">
        <f t="shared" si="30"/>
        <v>0</v>
      </c>
      <c r="P60" s="16">
        <f t="shared" si="30"/>
        <v>0</v>
      </c>
    </row>
    <row r="61" spans="2:16" x14ac:dyDescent="0.3">
      <c r="B61" s="700"/>
      <c r="C61" s="165">
        <f t="shared" si="27"/>
        <v>0</v>
      </c>
      <c r="D61" s="165">
        <f t="shared" si="27"/>
        <v>0</v>
      </c>
      <c r="E61" s="90">
        <f>G40</f>
        <v>0</v>
      </c>
      <c r="F61" s="90">
        <v>0.28799999999999998</v>
      </c>
      <c r="G61" s="90">
        <v>1.163</v>
      </c>
      <c r="H61" s="172">
        <f>H40</f>
        <v>0</v>
      </c>
      <c r="I61" s="540">
        <v>0.125</v>
      </c>
      <c r="J61" s="16">
        <f t="shared" ref="J61:P61" si="31">((P$22*P$23*$E61*$F61*$G61)/1000*(1-$H61))*$I$61</f>
        <v>0</v>
      </c>
      <c r="K61" s="16">
        <f t="shared" si="31"/>
        <v>0</v>
      </c>
      <c r="L61" s="16">
        <f t="shared" si="31"/>
        <v>0</v>
      </c>
      <c r="M61" s="16">
        <f t="shared" si="31"/>
        <v>0</v>
      </c>
      <c r="N61" s="16">
        <f t="shared" si="31"/>
        <v>0</v>
      </c>
      <c r="O61" s="16">
        <f t="shared" si="31"/>
        <v>0</v>
      </c>
      <c r="P61" s="16">
        <f t="shared" si="31"/>
        <v>0</v>
      </c>
    </row>
    <row r="62" spans="2:16" x14ac:dyDescent="0.3">
      <c r="B62" s="700"/>
      <c r="C62" s="165">
        <f t="shared" si="27"/>
        <v>0</v>
      </c>
      <c r="D62" s="165">
        <f t="shared" si="27"/>
        <v>0</v>
      </c>
      <c r="E62" s="90">
        <f>G41</f>
        <v>0</v>
      </c>
      <c r="F62" s="90">
        <v>0.28799999999999998</v>
      </c>
      <c r="G62" s="90">
        <v>1.163</v>
      </c>
      <c r="H62" s="172">
        <f>H41</f>
        <v>0</v>
      </c>
      <c r="I62" s="540">
        <v>1</v>
      </c>
      <c r="J62" s="16">
        <f t="shared" ref="J62:P62" si="32">((P$22*P$23*$E62*$F62*$G62)/1000*(1-$H62))*$I$62</f>
        <v>0</v>
      </c>
      <c r="K62" s="16">
        <f t="shared" si="32"/>
        <v>0</v>
      </c>
      <c r="L62" s="16">
        <f t="shared" si="32"/>
        <v>0</v>
      </c>
      <c r="M62" s="16">
        <f t="shared" si="32"/>
        <v>0</v>
      </c>
      <c r="N62" s="16">
        <f t="shared" si="32"/>
        <v>0</v>
      </c>
      <c r="O62" s="16">
        <f t="shared" si="32"/>
        <v>0</v>
      </c>
      <c r="P62" s="16">
        <f t="shared" si="32"/>
        <v>0</v>
      </c>
    </row>
    <row r="63" spans="2:16" x14ac:dyDescent="0.3">
      <c r="B63" s="700"/>
      <c r="C63" s="703" t="s">
        <v>376</v>
      </c>
      <c r="D63" s="704"/>
      <c r="E63" s="704"/>
      <c r="F63" s="704"/>
      <c r="G63" s="704"/>
      <c r="H63" s="704"/>
      <c r="I63" s="705"/>
      <c r="J63" s="85">
        <f t="shared" ref="J63:P63" si="33">SUM(J58:J62)</f>
        <v>4032.1898495999994</v>
      </c>
      <c r="K63" s="85">
        <f t="shared" si="33"/>
        <v>11642.948190719999</v>
      </c>
      <c r="L63" s="85">
        <f t="shared" si="33"/>
        <v>16307.96783616</v>
      </c>
      <c r="M63" s="85">
        <f t="shared" si="33"/>
        <v>17327.21582592</v>
      </c>
      <c r="N63" s="85">
        <f t="shared" si="33"/>
        <v>13650.64272</v>
      </c>
      <c r="O63" s="85">
        <f t="shared" si="33"/>
        <v>10506.094663680004</v>
      </c>
      <c r="P63" s="85">
        <f t="shared" si="33"/>
        <v>2251.30599936</v>
      </c>
    </row>
    <row r="64" spans="2:16" x14ac:dyDescent="0.3">
      <c r="B64" s="700" t="s">
        <v>203</v>
      </c>
      <c r="C64" s="165" t="str">
        <f t="shared" ref="C64:D67" si="34">C44</f>
        <v>3-DMTT</v>
      </c>
      <c r="D64" s="165">
        <f t="shared" si="34"/>
        <v>0</v>
      </c>
      <c r="E64" s="90">
        <f>G44</f>
        <v>0</v>
      </c>
      <c r="F64" s="90">
        <v>0.28799999999999998</v>
      </c>
      <c r="G64" s="90">
        <v>1.163</v>
      </c>
      <c r="H64" s="172">
        <f>H44</f>
        <v>0</v>
      </c>
      <c r="I64" s="540">
        <f>I58</f>
        <v>0.41666666666666669</v>
      </c>
      <c r="J64" s="16">
        <f t="shared" ref="J64:P64" si="35">((P$22*P$23*$E64*$F64*$G64)/1000*(1-$H64))*$I$64</f>
        <v>0</v>
      </c>
      <c r="K64" s="16">
        <f t="shared" si="35"/>
        <v>0</v>
      </c>
      <c r="L64" s="16">
        <f t="shared" si="35"/>
        <v>0</v>
      </c>
      <c r="M64" s="16">
        <f t="shared" si="35"/>
        <v>0</v>
      </c>
      <c r="N64" s="16">
        <f t="shared" si="35"/>
        <v>0</v>
      </c>
      <c r="O64" s="16">
        <f t="shared" si="35"/>
        <v>0</v>
      </c>
      <c r="P64" s="16">
        <f t="shared" si="35"/>
        <v>0</v>
      </c>
    </row>
    <row r="65" spans="2:16" x14ac:dyDescent="0.3">
      <c r="B65" s="700"/>
      <c r="C65" s="165">
        <f t="shared" si="34"/>
        <v>0</v>
      </c>
      <c r="D65" s="165" t="str">
        <f t="shared" si="34"/>
        <v>AHU's with heat recovery</v>
      </c>
      <c r="E65" s="90">
        <f>G45</f>
        <v>8360</v>
      </c>
      <c r="F65" s="90">
        <v>0.28799999999999998</v>
      </c>
      <c r="G65" s="90">
        <v>1.163</v>
      </c>
      <c r="H65" s="172">
        <f>H45</f>
        <v>0.85</v>
      </c>
      <c r="I65" s="540">
        <f>10/24</f>
        <v>0.41666666666666669</v>
      </c>
      <c r="J65" s="16">
        <f t="shared" ref="J65:P65" si="36">((P$22*P$23*$E65*$F65*$G65)/1000*(1-$H65))*$I$65</f>
        <v>604.82847744000003</v>
      </c>
      <c r="K65" s="16">
        <f t="shared" si="36"/>
        <v>1746.4422286080001</v>
      </c>
      <c r="L65" s="16">
        <f t="shared" si="36"/>
        <v>2446.1951754240004</v>
      </c>
      <c r="M65" s="16">
        <f t="shared" si="36"/>
        <v>2599.0823738880003</v>
      </c>
      <c r="N65" s="16">
        <f t="shared" si="36"/>
        <v>2047.5964080000003</v>
      </c>
      <c r="O65" s="16">
        <f t="shared" si="36"/>
        <v>1575.9141995520006</v>
      </c>
      <c r="P65" s="16">
        <f t="shared" si="36"/>
        <v>337.69589990400004</v>
      </c>
    </row>
    <row r="66" spans="2:16" x14ac:dyDescent="0.3">
      <c r="B66" s="700"/>
      <c r="C66" s="165">
        <f t="shared" si="34"/>
        <v>0</v>
      </c>
      <c r="D66" s="165">
        <f t="shared" si="34"/>
        <v>0</v>
      </c>
      <c r="E66" s="90">
        <f>G46</f>
        <v>0</v>
      </c>
      <c r="F66" s="90">
        <v>0.28799999999999998</v>
      </c>
      <c r="G66" s="90">
        <v>1.163</v>
      </c>
      <c r="H66" s="172">
        <f>H46</f>
        <v>0</v>
      </c>
      <c r="I66" s="540">
        <f>I60</f>
        <v>0.125</v>
      </c>
      <c r="J66" s="16">
        <f t="shared" ref="J66:P66" si="37">((P$22*P$23*$E66*$F66*$G66)/1000*(1-$H66))*$I$66</f>
        <v>0</v>
      </c>
      <c r="K66" s="16">
        <f t="shared" si="37"/>
        <v>0</v>
      </c>
      <c r="L66" s="16">
        <f t="shared" si="37"/>
        <v>0</v>
      </c>
      <c r="M66" s="16">
        <f t="shared" si="37"/>
        <v>0</v>
      </c>
      <c r="N66" s="16">
        <f t="shared" si="37"/>
        <v>0</v>
      </c>
      <c r="O66" s="16">
        <f t="shared" si="37"/>
        <v>0</v>
      </c>
      <c r="P66" s="16">
        <f t="shared" si="37"/>
        <v>0</v>
      </c>
    </row>
    <row r="67" spans="2:16" x14ac:dyDescent="0.3">
      <c r="B67" s="700"/>
      <c r="C67" s="165">
        <f t="shared" si="34"/>
        <v>0</v>
      </c>
      <c r="D67" s="165">
        <f t="shared" si="34"/>
        <v>0</v>
      </c>
      <c r="E67" s="90">
        <f>G47</f>
        <v>0</v>
      </c>
      <c r="F67" s="90">
        <v>0.28799999999999998</v>
      </c>
      <c r="G67" s="90">
        <v>1.163</v>
      </c>
      <c r="H67" s="172">
        <f>H47</f>
        <v>0</v>
      </c>
      <c r="I67" s="540">
        <f>I61</f>
        <v>0.125</v>
      </c>
      <c r="J67" s="16">
        <f t="shared" ref="J67:P67" si="38">((P$22*P$23*$E67*$F67*$G67)/1000*(1-$H67))*$I$67</f>
        <v>0</v>
      </c>
      <c r="K67" s="16">
        <f t="shared" si="38"/>
        <v>0</v>
      </c>
      <c r="L67" s="16">
        <f t="shared" si="38"/>
        <v>0</v>
      </c>
      <c r="M67" s="16">
        <f t="shared" si="38"/>
        <v>0</v>
      </c>
      <c r="N67" s="16">
        <f t="shared" si="38"/>
        <v>0</v>
      </c>
      <c r="O67" s="16">
        <f t="shared" si="38"/>
        <v>0</v>
      </c>
      <c r="P67" s="16">
        <f t="shared" si="38"/>
        <v>0</v>
      </c>
    </row>
    <row r="68" spans="2:16" x14ac:dyDescent="0.3">
      <c r="B68" s="700"/>
      <c r="C68" s="165">
        <f t="shared" ref="C68:D68" si="39">C48</f>
        <v>0</v>
      </c>
      <c r="D68" s="165">
        <f t="shared" si="39"/>
        <v>0</v>
      </c>
      <c r="E68" s="90">
        <f t="shared" ref="E68" si="40">G48</f>
        <v>0</v>
      </c>
      <c r="F68" s="90">
        <v>0.28799999999999998</v>
      </c>
      <c r="G68" s="90">
        <v>1.163</v>
      </c>
      <c r="H68" s="172">
        <f>H48</f>
        <v>0</v>
      </c>
      <c r="I68" s="540">
        <v>0.1</v>
      </c>
      <c r="J68" s="16">
        <f t="shared" ref="J68:P68" si="41">((P$22*P$23*$E68*$F68*$G68)/1000*(1-$H68))*$I$68</f>
        <v>0</v>
      </c>
      <c r="K68" s="16">
        <f t="shared" si="41"/>
        <v>0</v>
      </c>
      <c r="L68" s="16">
        <f t="shared" si="41"/>
        <v>0</v>
      </c>
      <c r="M68" s="16">
        <f t="shared" si="41"/>
        <v>0</v>
      </c>
      <c r="N68" s="16">
        <f t="shared" si="41"/>
        <v>0</v>
      </c>
      <c r="O68" s="16">
        <f t="shared" si="41"/>
        <v>0</v>
      </c>
      <c r="P68" s="16">
        <f t="shared" si="41"/>
        <v>0</v>
      </c>
    </row>
    <row r="69" spans="2:16" x14ac:dyDescent="0.3">
      <c r="B69" s="700"/>
      <c r="C69" s="670" t="s">
        <v>375</v>
      </c>
      <c r="D69" s="671"/>
      <c r="E69" s="671"/>
      <c r="F69" s="671"/>
      <c r="G69" s="671"/>
      <c r="H69" s="671"/>
      <c r="I69" s="672"/>
      <c r="J69" s="85">
        <f t="shared" ref="J69:P69" si="42">SUM(J64:J68)</f>
        <v>604.82847744000003</v>
      </c>
      <c r="K69" s="85">
        <f t="shared" si="42"/>
        <v>1746.4422286080001</v>
      </c>
      <c r="L69" s="85">
        <f t="shared" si="42"/>
        <v>2446.1951754240004</v>
      </c>
      <c r="M69" s="85">
        <f t="shared" si="42"/>
        <v>2599.0823738880003</v>
      </c>
      <c r="N69" s="85">
        <f t="shared" si="42"/>
        <v>2047.5964080000003</v>
      </c>
      <c r="O69" s="85">
        <f t="shared" si="42"/>
        <v>1575.9141995520006</v>
      </c>
      <c r="P69" s="85">
        <f t="shared" si="42"/>
        <v>337.69589990400004</v>
      </c>
    </row>
    <row r="70" spans="2:16" x14ac:dyDescent="0.3">
      <c r="B70" s="674" t="s">
        <v>374</v>
      </c>
      <c r="C70" s="675"/>
      <c r="D70" s="675"/>
      <c r="E70" s="675"/>
      <c r="F70" s="675"/>
      <c r="G70" s="675"/>
      <c r="H70" s="675"/>
      <c r="I70" s="676"/>
      <c r="J70" s="85">
        <f>J63-J69</f>
        <v>3427.3613721599995</v>
      </c>
      <c r="K70" s="85">
        <f t="shared" ref="K70" si="43">K63-K69</f>
        <v>9896.5059621119981</v>
      </c>
      <c r="L70" s="85">
        <f t="shared" ref="L70" si="44">L63-L69</f>
        <v>13861.772660736</v>
      </c>
      <c r="M70" s="85">
        <f t="shared" ref="M70" si="45">M63-M69</f>
        <v>14728.133452032</v>
      </c>
      <c r="N70" s="85">
        <f t="shared" ref="N70" si="46">N63-N69</f>
        <v>11603.046311999999</v>
      </c>
      <c r="O70" s="85">
        <f t="shared" ref="O70" si="47">O63-O69</f>
        <v>8930.1804641280032</v>
      </c>
      <c r="P70" s="85">
        <f t="shared" ref="P70" si="48">P63-P69</f>
        <v>1913.6100994559999</v>
      </c>
    </row>
    <row r="74" spans="2:16" x14ac:dyDescent="0.3">
      <c r="D74" s="202" t="s">
        <v>428</v>
      </c>
    </row>
    <row r="75" spans="2:16" ht="36" x14ac:dyDescent="0.3">
      <c r="D75" s="187" t="s">
        <v>441</v>
      </c>
      <c r="E75" s="187" t="s">
        <v>1</v>
      </c>
      <c r="F75" s="187" t="s">
        <v>914</v>
      </c>
      <c r="G75" s="187" t="s">
        <v>405</v>
      </c>
      <c r="H75" s="187" t="s">
        <v>889</v>
      </c>
    </row>
    <row r="76" spans="2:16" ht="36" x14ac:dyDescent="0.3">
      <c r="D76" s="218" t="s">
        <v>490</v>
      </c>
      <c r="E76" s="73" t="s">
        <v>939</v>
      </c>
      <c r="F76" s="72">
        <v>850</v>
      </c>
      <c r="G76" s="99">
        <f>G37/200</f>
        <v>41.8</v>
      </c>
      <c r="H76" s="99">
        <v>20139</v>
      </c>
    </row>
    <row r="77" spans="2:16" ht="31.5" customHeight="1" x14ac:dyDescent="0.3">
      <c r="D77" s="715" t="s">
        <v>491</v>
      </c>
      <c r="E77" s="715"/>
      <c r="F77" s="715"/>
      <c r="G77" s="715"/>
      <c r="H77" s="715"/>
    </row>
  </sheetData>
  <mergeCells count="39">
    <mergeCell ref="C69:I69"/>
    <mergeCell ref="B70:I70"/>
    <mergeCell ref="D77:H77"/>
    <mergeCell ref="I35:I36"/>
    <mergeCell ref="B52:H52"/>
    <mergeCell ref="C42:H42"/>
    <mergeCell ref="B58:B63"/>
    <mergeCell ref="B64:B69"/>
    <mergeCell ref="B56:B57"/>
    <mergeCell ref="C56:C57"/>
    <mergeCell ref="D56:D57"/>
    <mergeCell ref="E56:E57"/>
    <mergeCell ref="F56:F57"/>
    <mergeCell ref="G56:G57"/>
    <mergeCell ref="G35:G36"/>
    <mergeCell ref="H56:H57"/>
    <mergeCell ref="B35:B36"/>
    <mergeCell ref="I56:I57"/>
    <mergeCell ref="C63:I63"/>
    <mergeCell ref="B20:B24"/>
    <mergeCell ref="B25:B29"/>
    <mergeCell ref="H35:H36"/>
    <mergeCell ref="E35:E36"/>
    <mergeCell ref="D35:D36"/>
    <mergeCell ref="C35:C36"/>
    <mergeCell ref="B37:B43"/>
    <mergeCell ref="B44:B50"/>
    <mergeCell ref="C50:H50"/>
    <mergeCell ref="C43:H43"/>
    <mergeCell ref="B51:H51"/>
    <mergeCell ref="C18:C19"/>
    <mergeCell ref="E18:E19"/>
    <mergeCell ref="F18:F19"/>
    <mergeCell ref="B18:B19"/>
    <mergeCell ref="B3:B4"/>
    <mergeCell ref="B5:B9"/>
    <mergeCell ref="B10:B14"/>
    <mergeCell ref="C3:C4"/>
    <mergeCell ref="E3:E4"/>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2:O21"/>
  <sheetViews>
    <sheetView zoomScale="85" zoomScaleNormal="85" workbookViewId="0">
      <selection activeCell="N17" sqref="N17"/>
    </sheetView>
  </sheetViews>
  <sheetFormatPr defaultColWidth="8.6640625" defaultRowHeight="14.4" x14ac:dyDescent="0.3"/>
  <cols>
    <col min="2" max="2" width="8.5546875" customWidth="1"/>
    <col min="3" max="3" width="9.44140625" customWidth="1"/>
    <col min="4" max="4" width="12.44140625" customWidth="1"/>
    <col min="5" max="5" width="16.33203125" customWidth="1"/>
    <col min="6" max="6" width="11.5546875" customWidth="1"/>
    <col min="7" max="7" width="12.44140625" customWidth="1"/>
    <col min="8" max="8" width="11.5546875" customWidth="1"/>
    <col min="9" max="9" width="14.33203125" customWidth="1"/>
    <col min="10" max="10" width="12" customWidth="1"/>
    <col min="11" max="11" width="12.44140625" customWidth="1"/>
    <col min="12" max="12" width="13.5546875" customWidth="1"/>
    <col min="13" max="13" width="12.33203125" customWidth="1"/>
    <col min="14" max="14" width="11.5546875" customWidth="1"/>
    <col min="16" max="16" width="11.44140625" customWidth="1"/>
    <col min="17" max="17" width="13.5546875" customWidth="1"/>
    <col min="18" max="20" width="12.44140625" customWidth="1"/>
  </cols>
  <sheetData>
    <row r="2" spans="2:15" x14ac:dyDescent="0.3">
      <c r="B2" s="176" t="s">
        <v>386</v>
      </c>
    </row>
    <row r="3" spans="2:15" ht="27" customHeight="1" x14ac:dyDescent="0.3">
      <c r="B3" s="699"/>
      <c r="C3" s="654" t="s">
        <v>369</v>
      </c>
      <c r="D3" s="654" t="s">
        <v>159</v>
      </c>
      <c r="E3" s="654" t="s">
        <v>156</v>
      </c>
      <c r="F3" s="697" t="s">
        <v>381</v>
      </c>
      <c r="G3" s="697" t="s">
        <v>382</v>
      </c>
      <c r="H3" s="717" t="s">
        <v>383</v>
      </c>
      <c r="I3" s="654" t="s">
        <v>158</v>
      </c>
      <c r="J3" s="697" t="s">
        <v>384</v>
      </c>
      <c r="K3" s="654" t="s">
        <v>272</v>
      </c>
      <c r="L3" s="29" t="s">
        <v>268</v>
      </c>
      <c r="M3" s="28" t="s">
        <v>131</v>
      </c>
    </row>
    <row r="4" spans="2:15" x14ac:dyDescent="0.3">
      <c r="B4" s="699"/>
      <c r="C4" s="654"/>
      <c r="D4" s="654"/>
      <c r="E4" s="654"/>
      <c r="F4" s="698"/>
      <c r="G4" s="698"/>
      <c r="H4" s="718"/>
      <c r="I4" s="654"/>
      <c r="J4" s="698"/>
      <c r="K4" s="654"/>
      <c r="L4" s="28" t="s">
        <v>162</v>
      </c>
      <c r="M4" s="28" t="s">
        <v>132</v>
      </c>
    </row>
    <row r="5" spans="2:15" ht="25.35" customHeight="1" x14ac:dyDescent="0.3">
      <c r="B5" s="700" t="s">
        <v>202</v>
      </c>
      <c r="C5" s="89" t="str">
        <f>'Ventilation losses'!C37</f>
        <v>3-DMTT</v>
      </c>
      <c r="D5" s="89" t="str">
        <f>'Ventilation losses'!D37</f>
        <v>Mavjud egzoz ventilyatori</v>
      </c>
      <c r="E5" s="35"/>
      <c r="F5" s="35"/>
      <c r="G5" s="35">
        <f>'Ventilation losses'!G37</f>
        <v>8360</v>
      </c>
      <c r="H5" s="90">
        <v>1.2</v>
      </c>
      <c r="I5" s="145">
        <v>0.27777800000000002</v>
      </c>
      <c r="J5" s="90">
        <f>Building_data!D$16-Building_data!D$15</f>
        <v>11.100000000000001</v>
      </c>
      <c r="K5" s="484">
        <f>Equipment!H35*Equipment!J35</f>
        <v>0</v>
      </c>
      <c r="L5" s="88">
        <v>0</v>
      </c>
      <c r="M5" s="16">
        <f>((G5*H5*I5*J5*K5)/1000)*(1-L5)</f>
        <v>0</v>
      </c>
    </row>
    <row r="6" spans="2:15" ht="25.35" customHeight="1" x14ac:dyDescent="0.3">
      <c r="B6" s="700"/>
      <c r="C6" s="89"/>
      <c r="D6" s="89"/>
      <c r="E6" s="35"/>
      <c r="F6" s="35"/>
      <c r="G6" s="35"/>
      <c r="H6" s="90">
        <v>1.2</v>
      </c>
      <c r="I6" s="145">
        <v>0.27777800000000002</v>
      </c>
      <c r="J6" s="90">
        <f>Building_data!D$16-Building_data!D$15</f>
        <v>11.100000000000001</v>
      </c>
      <c r="K6" s="232"/>
      <c r="L6" s="88">
        <v>0</v>
      </c>
      <c r="M6" s="16">
        <f t="shared" ref="M6:M9" si="0">((G6*H6*I6*J6*K6)/1000)*(1-L6)</f>
        <v>0</v>
      </c>
    </row>
    <row r="7" spans="2:15" ht="25.35" customHeight="1" x14ac:dyDescent="0.3">
      <c r="B7" s="700"/>
      <c r="C7" s="89"/>
      <c r="D7" s="89"/>
      <c r="E7" s="35"/>
      <c r="F7" s="35"/>
      <c r="G7" s="35"/>
      <c r="H7" s="90">
        <v>1.2</v>
      </c>
      <c r="I7" s="145">
        <v>0.27777800000000002</v>
      </c>
      <c r="J7" s="90">
        <f>Building_data!D$16-Building_data!D$15</f>
        <v>11.100000000000001</v>
      </c>
      <c r="K7" s="232"/>
      <c r="L7" s="88">
        <f>'Ventilation losses'!H39</f>
        <v>0</v>
      </c>
      <c r="M7" s="16">
        <f t="shared" si="0"/>
        <v>0</v>
      </c>
    </row>
    <row r="8" spans="2:15" ht="25.35" customHeight="1" x14ac:dyDescent="0.3">
      <c r="B8" s="700"/>
      <c r="C8" s="89"/>
      <c r="D8" s="89"/>
      <c r="E8" s="35"/>
      <c r="F8" s="35"/>
      <c r="G8" s="35"/>
      <c r="H8" s="90">
        <v>1.2</v>
      </c>
      <c r="I8" s="145">
        <v>0.27777800000000002</v>
      </c>
      <c r="J8" s="90">
        <f>Building_data!D$16-Building_data!D$15</f>
        <v>11.100000000000001</v>
      </c>
      <c r="K8" s="232"/>
      <c r="L8" s="88">
        <f>'Ventilation losses'!H40</f>
        <v>0</v>
      </c>
      <c r="M8" s="16">
        <f t="shared" ref="M8" si="1">((G8*H8*I8*J8*K8)/1000)*(1-L8)</f>
        <v>0</v>
      </c>
    </row>
    <row r="9" spans="2:15" ht="25.35" customHeight="1" x14ac:dyDescent="0.3">
      <c r="B9" s="700"/>
      <c r="C9" s="89">
        <f>'Ventilation losses'!C41</f>
        <v>0</v>
      </c>
      <c r="D9" s="87"/>
      <c r="E9" s="35">
        <f>'Ventilation losses'!E41</f>
        <v>0</v>
      </c>
      <c r="F9" s="35">
        <f>'Ventilation losses'!F41</f>
        <v>0</v>
      </c>
      <c r="G9" s="35">
        <f>'Ventilation losses'!G41</f>
        <v>0</v>
      </c>
      <c r="H9" s="90">
        <v>1.2</v>
      </c>
      <c r="I9" s="145">
        <v>0.27777800000000002</v>
      </c>
      <c r="J9" s="90">
        <f>Building_data!D$16-Building_data!D$15</f>
        <v>11.100000000000001</v>
      </c>
      <c r="K9" s="232"/>
      <c r="L9" s="88">
        <f>'Ventilation losses'!H41</f>
        <v>0</v>
      </c>
      <c r="M9" s="16">
        <f t="shared" si="0"/>
        <v>0</v>
      </c>
      <c r="O9" s="134"/>
    </row>
    <row r="10" spans="2:15" ht="25.35" customHeight="1" x14ac:dyDescent="0.3">
      <c r="B10" s="700"/>
      <c r="C10" s="703" t="s">
        <v>273</v>
      </c>
      <c r="D10" s="704"/>
      <c r="E10" s="704"/>
      <c r="F10" s="704"/>
      <c r="G10" s="704"/>
      <c r="H10" s="704"/>
      <c r="I10" s="704"/>
      <c r="J10" s="704"/>
      <c r="K10" s="704"/>
      <c r="L10" s="705"/>
      <c r="M10" s="85">
        <f>SUM(M5:M9)</f>
        <v>0</v>
      </c>
    </row>
    <row r="11" spans="2:15" ht="25.35" customHeight="1" x14ac:dyDescent="0.3">
      <c r="B11" s="700" t="s">
        <v>203</v>
      </c>
      <c r="C11" s="89" t="str">
        <f>C5</f>
        <v>3-DMTT</v>
      </c>
      <c r="D11" s="89" t="str">
        <f>D5</f>
        <v>Mavjud egzoz ventilyatori</v>
      </c>
      <c r="E11" s="35"/>
      <c r="F11" s="232">
        <f>'Ventilation losses'!F44</f>
        <v>0</v>
      </c>
      <c r="G11" s="232">
        <f>G5</f>
        <v>8360</v>
      </c>
      <c r="H11" s="90">
        <v>1.2</v>
      </c>
      <c r="I11" s="145">
        <v>0.27777800000000002</v>
      </c>
      <c r="J11" s="90">
        <f>Building_data!D$16-Building_data!D$15</f>
        <v>11.100000000000001</v>
      </c>
      <c r="K11" s="484">
        <f>K5</f>
        <v>0</v>
      </c>
      <c r="L11" s="237">
        <f>'Ventilation losses'!H44</f>
        <v>0</v>
      </c>
      <c r="M11" s="16">
        <f>((G11*H11*I11*J11*K11)/1000)*(1-L11)</f>
        <v>0</v>
      </c>
    </row>
    <row r="12" spans="2:15" ht="25.35" customHeight="1" x14ac:dyDescent="0.3">
      <c r="B12" s="700"/>
      <c r="C12" s="89"/>
      <c r="D12" s="89" t="str">
        <f>'Ventilation losses'!D45</f>
        <v>AHU's with heat recovery</v>
      </c>
      <c r="E12" s="35">
        <f>'Ventilation losses'!E45</f>
        <v>418</v>
      </c>
      <c r="F12" s="232">
        <f>'Ventilation losses'!F45</f>
        <v>20</v>
      </c>
      <c r="G12" s="232">
        <f>E12*F12</f>
        <v>8360</v>
      </c>
      <c r="H12" s="90">
        <v>1.2</v>
      </c>
      <c r="I12" s="145">
        <v>0.27777800000000002</v>
      </c>
      <c r="J12" s="90">
        <f>Building_data!D$16-Building_data!D$15</f>
        <v>11.100000000000001</v>
      </c>
      <c r="K12" s="484">
        <f>Equipment!H86*Equipment!J86</f>
        <v>720</v>
      </c>
      <c r="L12" s="237">
        <f>'Ventilation losses'!H45</f>
        <v>0.85</v>
      </c>
      <c r="M12" s="16">
        <f t="shared" ref="M12:M14" si="2">((G12*H12*I12*J12*K12)/1000)*(1-L12)</f>
        <v>3340.6586725248012</v>
      </c>
    </row>
    <row r="13" spans="2:15" ht="25.35" customHeight="1" x14ac:dyDescent="0.3">
      <c r="B13" s="700"/>
      <c r="C13" s="89"/>
      <c r="D13" s="89">
        <f>D7</f>
        <v>0</v>
      </c>
      <c r="E13" s="35">
        <f>'Ventilation losses'!E46</f>
        <v>0</v>
      </c>
      <c r="F13" s="232">
        <f>'Ventilation losses'!F46</f>
        <v>0</v>
      </c>
      <c r="G13" s="232"/>
      <c r="H13" s="90">
        <v>1.2</v>
      </c>
      <c r="I13" s="145">
        <v>0.27777800000000002</v>
      </c>
      <c r="J13" s="90">
        <f>Building_data!D$16-Building_data!D$15</f>
        <v>11.100000000000001</v>
      </c>
      <c r="K13" s="232">
        <f t="shared" ref="K13:K14" si="3">K7</f>
        <v>0</v>
      </c>
      <c r="L13" s="237">
        <f>'Ventilation losses'!H46</f>
        <v>0</v>
      </c>
      <c r="M13" s="16">
        <f t="shared" si="2"/>
        <v>0</v>
      </c>
    </row>
    <row r="14" spans="2:15" ht="25.35" customHeight="1" x14ac:dyDescent="0.3">
      <c r="B14" s="700"/>
      <c r="C14" s="89"/>
      <c r="D14" s="89">
        <f>D8</f>
        <v>0</v>
      </c>
      <c r="E14" s="35">
        <f>'Ventilation losses'!E47</f>
        <v>0</v>
      </c>
      <c r="F14" s="232">
        <f>'Ventilation losses'!F47</f>
        <v>0</v>
      </c>
      <c r="G14" s="232"/>
      <c r="H14" s="90">
        <v>1.2</v>
      </c>
      <c r="I14" s="145">
        <v>0.27777800000000002</v>
      </c>
      <c r="J14" s="90">
        <f>Building_data!D$16-Building_data!D$15</f>
        <v>11.100000000000001</v>
      </c>
      <c r="K14" s="232">
        <f t="shared" si="3"/>
        <v>0</v>
      </c>
      <c r="L14" s="237">
        <f>'Ventilation losses'!H47</f>
        <v>0</v>
      </c>
      <c r="M14" s="16">
        <f t="shared" si="2"/>
        <v>0</v>
      </c>
    </row>
    <row r="15" spans="2:15" ht="25.35" customHeight="1" x14ac:dyDescent="0.3">
      <c r="B15" s="700"/>
      <c r="C15" s="89"/>
      <c r="D15" s="89"/>
      <c r="E15" s="35"/>
      <c r="F15" s="232">
        <f>'Ventilation losses'!F48</f>
        <v>0</v>
      </c>
      <c r="G15" s="232">
        <f t="shared" ref="G15" si="4">E15*F15</f>
        <v>0</v>
      </c>
      <c r="H15" s="90">
        <v>1.2</v>
      </c>
      <c r="I15" s="145">
        <v>0.27777800000000002</v>
      </c>
      <c r="J15" s="90">
        <f>Building_data!D$16-Building_data!D$15</f>
        <v>11.100000000000001</v>
      </c>
      <c r="K15" s="232">
        <f>K9</f>
        <v>0</v>
      </c>
      <c r="L15" s="237">
        <f>'Ventilation losses'!H48</f>
        <v>0</v>
      </c>
      <c r="M15" s="16">
        <f>((G15*H15*I15*J15*K15)/1000)*(1-L15)</f>
        <v>0</v>
      </c>
    </row>
    <row r="16" spans="2:15" ht="25.35" customHeight="1" x14ac:dyDescent="0.3">
      <c r="B16" s="700"/>
      <c r="C16" s="703" t="s">
        <v>274</v>
      </c>
      <c r="D16" s="704"/>
      <c r="E16" s="704"/>
      <c r="F16" s="704"/>
      <c r="G16" s="704"/>
      <c r="H16" s="704"/>
      <c r="I16" s="704"/>
      <c r="J16" s="704"/>
      <c r="K16" s="704"/>
      <c r="L16" s="705"/>
      <c r="M16" s="85">
        <f>SUM(M11:M15)</f>
        <v>3340.6586725248012</v>
      </c>
    </row>
    <row r="17" spans="2:13" ht="25.35" customHeight="1" x14ac:dyDescent="0.3">
      <c r="B17" s="712" t="s">
        <v>275</v>
      </c>
      <c r="C17" s="712"/>
      <c r="D17" s="712"/>
      <c r="E17" s="712"/>
      <c r="F17" s="712"/>
      <c r="G17" s="712"/>
      <c r="H17" s="712"/>
      <c r="I17" s="712"/>
      <c r="J17" s="712"/>
      <c r="K17" s="712"/>
      <c r="L17" s="712"/>
      <c r="M17" s="116">
        <f>M10-M16</f>
        <v>-3340.6586725248012</v>
      </c>
    </row>
    <row r="19" spans="2:13" ht="14.7" customHeight="1" x14ac:dyDescent="0.3">
      <c r="C19" s="716" t="s">
        <v>276</v>
      </c>
      <c r="D19" s="716"/>
      <c r="E19" s="716"/>
      <c r="F19" s="716"/>
      <c r="G19" s="716"/>
      <c r="H19" s="716"/>
      <c r="I19" s="716"/>
      <c r="J19" s="716"/>
      <c r="K19" s="716"/>
      <c r="L19" s="716"/>
      <c r="M19" s="716"/>
    </row>
    <row r="20" spans="2:13" x14ac:dyDescent="0.3">
      <c r="C20" s="716"/>
      <c r="D20" s="716"/>
      <c r="E20" s="716"/>
      <c r="F20" s="716"/>
      <c r="G20" s="716"/>
      <c r="H20" s="716"/>
      <c r="I20" s="716"/>
      <c r="J20" s="716"/>
      <c r="K20" s="716"/>
      <c r="L20" s="716"/>
      <c r="M20" s="716"/>
    </row>
    <row r="21" spans="2:13" x14ac:dyDescent="0.3">
      <c r="C21" s="716"/>
      <c r="D21" s="716"/>
      <c r="E21" s="716"/>
      <c r="F21" s="716"/>
      <c r="G21" s="716"/>
      <c r="H21" s="716"/>
      <c r="I21" s="716"/>
      <c r="J21" s="716"/>
      <c r="K21" s="716"/>
      <c r="L21" s="716"/>
      <c r="M21" s="716"/>
    </row>
  </sheetData>
  <mergeCells count="16">
    <mergeCell ref="K3:K4"/>
    <mergeCell ref="C19:M21"/>
    <mergeCell ref="B5:B10"/>
    <mergeCell ref="C10:L10"/>
    <mergeCell ref="B11:B16"/>
    <mergeCell ref="C16:L16"/>
    <mergeCell ref="B17:L17"/>
    <mergeCell ref="B3:B4"/>
    <mergeCell ref="C3:C4"/>
    <mergeCell ref="D3:D4"/>
    <mergeCell ref="E3:E4"/>
    <mergeCell ref="I3:I4"/>
    <mergeCell ref="F3:F4"/>
    <mergeCell ref="G3:G4"/>
    <mergeCell ref="H3:H4"/>
    <mergeCell ref="J3:J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1"/>
  <sheetViews>
    <sheetView topLeftCell="A12" zoomScaleNormal="100" workbookViewId="0">
      <selection activeCell="P30" sqref="P30"/>
    </sheetView>
  </sheetViews>
  <sheetFormatPr defaultRowHeight="14.4" x14ac:dyDescent="0.3"/>
  <cols>
    <col min="1" max="1" width="21.5546875" customWidth="1"/>
    <col min="10" max="10" width="10.5546875" customWidth="1"/>
    <col min="14" max="14" width="18.33203125" customWidth="1"/>
  </cols>
  <sheetData>
    <row r="1" spans="1:24" x14ac:dyDescent="0.3">
      <c r="A1" s="721" t="s">
        <v>202</v>
      </c>
      <c r="B1" s="722"/>
      <c r="C1" s="722"/>
      <c r="D1" s="722"/>
      <c r="E1" s="722"/>
      <c r="F1" s="722"/>
      <c r="G1" s="722"/>
      <c r="H1" s="722"/>
      <c r="I1" s="722"/>
      <c r="J1" s="722"/>
      <c r="K1" s="723"/>
    </row>
    <row r="2" spans="1:24" x14ac:dyDescent="0.3">
      <c r="A2" s="304"/>
      <c r="K2" s="305"/>
    </row>
    <row r="3" spans="1:24" ht="16.2" x14ac:dyDescent="0.3">
      <c r="A3" s="719" t="s">
        <v>68</v>
      </c>
      <c r="B3" s="720"/>
      <c r="C3" s="720"/>
      <c r="D3" s="720"/>
      <c r="E3" s="720"/>
      <c r="F3" s="720"/>
      <c r="G3" s="720"/>
      <c r="H3" s="720"/>
      <c r="I3" s="720"/>
      <c r="J3" s="720"/>
      <c r="K3" s="305"/>
      <c r="N3" s="720" t="s">
        <v>608</v>
      </c>
      <c r="O3" s="720"/>
      <c r="P3" s="720"/>
      <c r="Q3" s="720"/>
      <c r="R3" s="720"/>
      <c r="S3" s="720"/>
      <c r="T3" s="720"/>
    </row>
    <row r="4" spans="1:24" ht="16.8" x14ac:dyDescent="0.35">
      <c r="A4" s="315"/>
      <c r="B4" s="306" t="s">
        <v>613</v>
      </c>
      <c r="C4" s="306" t="s">
        <v>602</v>
      </c>
      <c r="D4" s="306" t="s">
        <v>603</v>
      </c>
      <c r="E4" s="306" t="s">
        <v>598</v>
      </c>
      <c r="F4" s="306" t="s">
        <v>599</v>
      </c>
      <c r="G4" s="306" t="s">
        <v>600</v>
      </c>
      <c r="H4" s="306" t="s">
        <v>601</v>
      </c>
      <c r="I4" s="306" t="s">
        <v>606</v>
      </c>
      <c r="J4" s="306" t="s">
        <v>607</v>
      </c>
      <c r="K4" s="305"/>
      <c r="N4" s="306" t="s">
        <v>21</v>
      </c>
      <c r="O4" s="306" t="s">
        <v>19</v>
      </c>
      <c r="P4" s="306" t="s">
        <v>17</v>
      </c>
      <c r="Q4" s="306" t="s">
        <v>593</v>
      </c>
      <c r="R4" s="306" t="s">
        <v>594</v>
      </c>
      <c r="S4" s="306" t="s">
        <v>595</v>
      </c>
      <c r="T4" s="306" t="s">
        <v>213</v>
      </c>
    </row>
    <row r="5" spans="1:24" x14ac:dyDescent="0.3">
      <c r="A5" s="315" t="s">
        <v>19</v>
      </c>
      <c r="B5" s="307">
        <f>Envelope!AF7</f>
        <v>79.02</v>
      </c>
      <c r="C5" s="307">
        <v>0.75</v>
      </c>
      <c r="D5" s="307">
        <v>0.6</v>
      </c>
      <c r="E5" s="307">
        <v>0.85</v>
      </c>
      <c r="F5" s="307">
        <v>0.9</v>
      </c>
      <c r="G5" s="307">
        <v>0.94</v>
      </c>
      <c r="H5" s="311">
        <f>E5*F5*G5</f>
        <v>0.71909999999999996</v>
      </c>
      <c r="I5" s="310">
        <f>(C5*D5)*(1-0.3)*B5</f>
        <v>24.891299999999994</v>
      </c>
      <c r="J5" s="324">
        <f>H5*I5</f>
        <v>17.899333829999996</v>
      </c>
      <c r="K5" s="305"/>
      <c r="N5" s="306" t="s">
        <v>409</v>
      </c>
      <c r="O5" s="306">
        <v>65</v>
      </c>
      <c r="P5" s="306">
        <v>17.7</v>
      </c>
      <c r="Q5" s="306">
        <v>28.5</v>
      </c>
      <c r="R5" s="306">
        <v>51.2</v>
      </c>
      <c r="S5" s="306">
        <v>18.7</v>
      </c>
      <c r="T5" s="306">
        <v>33.5</v>
      </c>
    </row>
    <row r="6" spans="1:24" x14ac:dyDescent="0.3">
      <c r="A6" s="315" t="s">
        <v>17</v>
      </c>
      <c r="B6" s="307">
        <f>Envelope!AF8</f>
        <v>86.4</v>
      </c>
      <c r="C6" s="307">
        <v>0.75</v>
      </c>
      <c r="D6" s="307">
        <v>0.6</v>
      </c>
      <c r="E6" s="307">
        <v>0.98</v>
      </c>
      <c r="F6" s="307">
        <v>0.91</v>
      </c>
      <c r="G6" s="307">
        <v>1</v>
      </c>
      <c r="H6" s="311">
        <f t="shared" ref="H6:H10" si="0">E6*F6*G6</f>
        <v>0.89180000000000004</v>
      </c>
      <c r="I6" s="310">
        <f t="shared" ref="I6:I9" si="1">(C6*D6)*(1-0.3)*B6</f>
        <v>27.215999999999998</v>
      </c>
      <c r="J6" s="324">
        <f t="shared" ref="J6:J10" si="2">H6*I6</f>
        <v>24.271228799999999</v>
      </c>
      <c r="K6" s="305"/>
      <c r="N6" s="306" t="s">
        <v>410</v>
      </c>
      <c r="O6" s="306">
        <v>76.3</v>
      </c>
      <c r="P6" s="306">
        <v>21.9</v>
      </c>
      <c r="Q6" s="306">
        <v>38.9</v>
      </c>
      <c r="R6" s="306">
        <v>62.3</v>
      </c>
      <c r="S6" s="306">
        <v>24.4</v>
      </c>
      <c r="T6" s="306">
        <v>49.8</v>
      </c>
    </row>
    <row r="7" spans="1:24" x14ac:dyDescent="0.3">
      <c r="A7" s="315" t="s">
        <v>593</v>
      </c>
      <c r="B7" s="307">
        <f>Envelope!AF9+Envelope!AF10</f>
        <v>25.560000000000002</v>
      </c>
      <c r="C7" s="307">
        <v>0.75</v>
      </c>
      <c r="D7" s="307">
        <v>0.6</v>
      </c>
      <c r="E7" s="307">
        <v>0.82</v>
      </c>
      <c r="F7" s="307">
        <v>0.89</v>
      </c>
      <c r="G7" s="307">
        <v>0.92</v>
      </c>
      <c r="H7" s="311">
        <f t="shared" si="0"/>
        <v>0.67141600000000001</v>
      </c>
      <c r="I7" s="310">
        <f t="shared" si="1"/>
        <v>8.0513999999999992</v>
      </c>
      <c r="J7" s="324">
        <f t="shared" si="2"/>
        <v>5.4058387823999992</v>
      </c>
      <c r="K7" s="305"/>
      <c r="N7" s="306" t="s">
        <v>411</v>
      </c>
      <c r="O7" s="306">
        <v>96</v>
      </c>
      <c r="P7" s="306">
        <v>29.3</v>
      </c>
      <c r="Q7" s="306">
        <v>61.3</v>
      </c>
      <c r="R7" s="306">
        <v>85</v>
      </c>
      <c r="S7" s="306">
        <v>37.5</v>
      </c>
      <c r="T7" s="306">
        <v>91.5</v>
      </c>
    </row>
    <row r="8" spans="1:24" x14ac:dyDescent="0.3">
      <c r="A8" s="315" t="s">
        <v>594</v>
      </c>
      <c r="B8" s="307">
        <f>Envelope!AF11+Envelope!AF12</f>
        <v>0</v>
      </c>
      <c r="C8" s="307">
        <v>0.75</v>
      </c>
      <c r="D8" s="307">
        <v>0.6</v>
      </c>
      <c r="E8" s="307">
        <v>0.82</v>
      </c>
      <c r="F8" s="307">
        <v>0.89</v>
      </c>
      <c r="G8" s="307">
        <v>0.92</v>
      </c>
      <c r="H8" s="311">
        <f t="shared" si="0"/>
        <v>0.67141600000000001</v>
      </c>
      <c r="I8" s="310">
        <f t="shared" si="1"/>
        <v>0</v>
      </c>
      <c r="J8" s="324">
        <f t="shared" si="2"/>
        <v>0</v>
      </c>
      <c r="K8" s="305"/>
      <c r="N8" s="306" t="s">
        <v>412</v>
      </c>
      <c r="O8" s="306">
        <v>20.100000000000001</v>
      </c>
      <c r="P8" s="306">
        <v>7.9</v>
      </c>
      <c r="Q8" s="306">
        <v>16.7</v>
      </c>
      <c r="R8" s="306">
        <v>20.100000000000001</v>
      </c>
      <c r="S8" s="306">
        <v>11.6</v>
      </c>
      <c r="T8" s="306">
        <v>28.3</v>
      </c>
    </row>
    <row r="9" spans="1:24" x14ac:dyDescent="0.3">
      <c r="A9" s="315" t="s">
        <v>595</v>
      </c>
      <c r="B9" s="307">
        <f>Envelope!AF13+Envelope!AF14</f>
        <v>0</v>
      </c>
      <c r="C9" s="307">
        <v>0.75</v>
      </c>
      <c r="D9" s="307">
        <v>0.6</v>
      </c>
      <c r="E9" s="307">
        <v>0.82</v>
      </c>
      <c r="F9" s="307">
        <v>0.89</v>
      </c>
      <c r="G9" s="307">
        <v>0.92</v>
      </c>
      <c r="H9" s="311">
        <f t="shared" si="0"/>
        <v>0.67141600000000001</v>
      </c>
      <c r="I9" s="310">
        <f t="shared" si="1"/>
        <v>0</v>
      </c>
      <c r="J9" s="324">
        <f t="shared" si="2"/>
        <v>0</v>
      </c>
      <c r="K9" s="305"/>
      <c r="N9" s="306" t="s">
        <v>417</v>
      </c>
      <c r="O9" s="306">
        <v>24.3</v>
      </c>
      <c r="P9" s="306">
        <v>5.8</v>
      </c>
      <c r="Q9" s="306">
        <v>12.7</v>
      </c>
      <c r="R9" s="306">
        <v>20.3</v>
      </c>
      <c r="S9" s="306">
        <v>7</v>
      </c>
      <c r="T9" s="306">
        <v>19.899999999999999</v>
      </c>
    </row>
    <row r="10" spans="1:24" x14ac:dyDescent="0.3">
      <c r="A10" s="315" t="s">
        <v>213</v>
      </c>
      <c r="B10" s="307"/>
      <c r="C10" s="307">
        <v>0.75</v>
      </c>
      <c r="D10" s="307">
        <v>0.6</v>
      </c>
      <c r="E10" s="307">
        <v>1</v>
      </c>
      <c r="F10" s="307">
        <v>1</v>
      </c>
      <c r="G10" s="307">
        <v>1</v>
      </c>
      <c r="H10" s="311">
        <f t="shared" si="0"/>
        <v>1</v>
      </c>
      <c r="I10" s="310">
        <f>(C10*D10)*(1-0.3)*B10</f>
        <v>0</v>
      </c>
      <c r="J10" s="324">
        <f t="shared" si="2"/>
        <v>0</v>
      </c>
      <c r="K10" s="305"/>
      <c r="N10" s="306" t="s">
        <v>418</v>
      </c>
      <c r="O10" s="306">
        <v>60.8</v>
      </c>
      <c r="P10" s="306">
        <v>13.1</v>
      </c>
      <c r="Q10" s="306">
        <v>24</v>
      </c>
      <c r="R10" s="306">
        <v>48</v>
      </c>
      <c r="S10" s="306">
        <v>14.3</v>
      </c>
      <c r="T10" s="306">
        <v>37.5</v>
      </c>
    </row>
    <row r="11" spans="1:24" x14ac:dyDescent="0.3">
      <c r="A11" s="304"/>
      <c r="K11" s="305"/>
      <c r="N11" s="306" t="s">
        <v>419</v>
      </c>
      <c r="O11" s="306">
        <v>58.4</v>
      </c>
      <c r="P11" s="306">
        <v>11.5</v>
      </c>
      <c r="Q11" s="306">
        <v>20</v>
      </c>
      <c r="R11" s="306">
        <v>44.5</v>
      </c>
      <c r="S11" s="306">
        <v>11.7</v>
      </c>
      <c r="T11" s="306">
        <v>26.7</v>
      </c>
    </row>
    <row r="12" spans="1:24" ht="72" x14ac:dyDescent="0.3">
      <c r="A12" s="316" t="s">
        <v>21</v>
      </c>
      <c r="B12" s="309" t="s">
        <v>590</v>
      </c>
      <c r="C12" s="309" t="s">
        <v>591</v>
      </c>
      <c r="D12" s="309" t="s">
        <v>596</v>
      </c>
      <c r="E12" s="309" t="s">
        <v>597</v>
      </c>
      <c r="F12" s="309" t="s">
        <v>604</v>
      </c>
      <c r="G12" s="309" t="s">
        <v>605</v>
      </c>
      <c r="H12" s="309" t="s">
        <v>609</v>
      </c>
      <c r="I12" s="309" t="s">
        <v>610</v>
      </c>
      <c r="J12" s="314" t="s">
        <v>611</v>
      </c>
      <c r="K12" s="317" t="s">
        <v>612</v>
      </c>
      <c r="N12" s="306" t="s">
        <v>0</v>
      </c>
      <c r="O12" s="306">
        <f>SUM(O5:O11)</f>
        <v>400.90000000000003</v>
      </c>
      <c r="P12" s="306">
        <f t="shared" ref="P12:T12" si="3">SUM(P5:P11)</f>
        <v>107.19999999999999</v>
      </c>
      <c r="Q12" s="306">
        <f t="shared" si="3"/>
        <v>202.09999999999997</v>
      </c>
      <c r="R12" s="306">
        <f t="shared" si="3"/>
        <v>331.4</v>
      </c>
      <c r="S12" s="306">
        <f t="shared" si="3"/>
        <v>125.19999999999999</v>
      </c>
      <c r="T12" s="306">
        <f t="shared" si="3"/>
        <v>287.2</v>
      </c>
      <c r="W12" s="405" t="s">
        <v>755</v>
      </c>
      <c r="X12" s="405"/>
    </row>
    <row r="13" spans="1:24" x14ac:dyDescent="0.3">
      <c r="A13" s="315" t="s">
        <v>409</v>
      </c>
      <c r="B13" s="306">
        <v>28</v>
      </c>
      <c r="C13" s="306" t="str">
        <f>'Losses env. after'!Q33</f>
        <v xml:space="preserve">-0,1 </v>
      </c>
      <c r="D13" s="324">
        <f t="shared" ref="D13:D19" si="4">$O$15*B13*24/1000</f>
        <v>4.032</v>
      </c>
      <c r="E13" s="313">
        <f>D13*Building_data!$D$4</f>
        <v>10142.15328</v>
      </c>
      <c r="F13" s="313">
        <f t="shared" ref="F13:F19" si="5">$J$5*O5+$J$6*P5+$J$7*Q5+$J$8*R5+$J$9*S5+$J$10*T5</f>
        <v>1747.1238540083998</v>
      </c>
      <c r="G13" s="313">
        <f>E13+F13</f>
        <v>11889.2771340084</v>
      </c>
      <c r="H13" s="313">
        <f>'Losses env. before'!$H$68+'Ventilation losses'!$J$24+'Ventilation losses'!$M$63</f>
        <v>96685.255929522915</v>
      </c>
      <c r="I13" s="322">
        <f>G13/H13</f>
        <v>0.12296887482694246</v>
      </c>
      <c r="J13" s="327">
        <f>(1-I13^4.2)/(1-I13^5.2)</f>
        <v>0.99986812487832577</v>
      </c>
      <c r="K13" s="328">
        <f>H13-J13*G13</f>
        <v>84797.546695383178</v>
      </c>
      <c r="W13" s="406">
        <f>Consumption!M7</f>
        <v>63146.5</v>
      </c>
      <c r="X13" s="405">
        <f>K13/W13</f>
        <v>1.3428700988238964</v>
      </c>
    </row>
    <row r="14" spans="1:24" x14ac:dyDescent="0.3">
      <c r="A14" s="315" t="s">
        <v>410</v>
      </c>
      <c r="B14" s="306">
        <v>24</v>
      </c>
      <c r="C14" s="306" t="str">
        <f>'Losses env. after'!R33</f>
        <v xml:space="preserve">2,5 </v>
      </c>
      <c r="D14" s="324">
        <f t="shared" si="4"/>
        <v>3.456</v>
      </c>
      <c r="E14" s="313">
        <f>D14*Building_data!$D$4</f>
        <v>8693.2742400000006</v>
      </c>
      <c r="F14" s="313">
        <f t="shared" si="5"/>
        <v>2107.5462105843594</v>
      </c>
      <c r="G14" s="313">
        <f t="shared" ref="G14:G19" si="6">E14+F14</f>
        <v>10800.820450584361</v>
      </c>
      <c r="H14" s="313">
        <f>'Losses env. before'!$I$68+'Ventilation losses'!$K$24+'Ventilation losses'!$N$63</f>
        <v>74624.86402165964</v>
      </c>
      <c r="I14" s="322">
        <f t="shared" ref="I14:I20" si="7">G14/H14</f>
        <v>0.14473487613256428</v>
      </c>
      <c r="J14" s="327">
        <f t="shared" ref="J14:J19" si="8">(1-I14^4.2)/(1-I14^5.2)</f>
        <v>0.99974500778778264</v>
      </c>
      <c r="K14" s="328">
        <f t="shared" ref="K14:K19" si="9">H14-J14*G14</f>
        <v>63826.797696175738</v>
      </c>
      <c r="N14" s="720" t="s">
        <v>592</v>
      </c>
      <c r="O14" s="720"/>
      <c r="P14" s="720"/>
      <c r="W14" s="406">
        <f>Consumption!M8</f>
        <v>52177.166666666664</v>
      </c>
      <c r="X14" s="405">
        <f t="shared" ref="X14:X20" si="10">K14/W14</f>
        <v>1.2232706713251149</v>
      </c>
    </row>
    <row r="15" spans="1:24" x14ac:dyDescent="0.3">
      <c r="A15" s="315" t="s">
        <v>411</v>
      </c>
      <c r="B15" s="306">
        <v>28</v>
      </c>
      <c r="C15" s="306" t="str">
        <f>'Losses env. after'!S33</f>
        <v xml:space="preserve">8,6 </v>
      </c>
      <c r="D15" s="324">
        <f t="shared" si="4"/>
        <v>4.032</v>
      </c>
      <c r="E15" s="313">
        <f>D15*Building_data!$D$4</f>
        <v>10142.15328</v>
      </c>
      <c r="F15" s="313">
        <f t="shared" si="5"/>
        <v>2760.8609688811198</v>
      </c>
      <c r="G15" s="313">
        <f t="shared" si="6"/>
        <v>12903.01424888112</v>
      </c>
      <c r="H15" s="313">
        <f>'Losses env. before'!$J$68+'Ventilation losses'!$L$24+'Ventilation losses'!$O$63</f>
        <v>52832.543791139149</v>
      </c>
      <c r="I15" s="322">
        <f t="shared" si="7"/>
        <v>0.24422473958267288</v>
      </c>
      <c r="J15" s="327">
        <f t="shared" si="8"/>
        <v>0.99797047711339937</v>
      </c>
      <c r="K15" s="328">
        <f t="shared" si="9"/>
        <v>39955.716504982265</v>
      </c>
      <c r="N15" s="306" t="s">
        <v>589</v>
      </c>
      <c r="O15" s="306">
        <v>6</v>
      </c>
      <c r="P15" s="306" t="s">
        <v>399</v>
      </c>
      <c r="W15" s="406">
        <f>Consumption!M9</f>
        <v>25070.5</v>
      </c>
      <c r="X15" s="405">
        <f t="shared" si="10"/>
        <v>1.5937343293904096</v>
      </c>
    </row>
    <row r="16" spans="1:24" x14ac:dyDescent="0.3">
      <c r="A16" s="315" t="s">
        <v>412</v>
      </c>
      <c r="B16" s="306">
        <v>15</v>
      </c>
      <c r="C16" s="306" t="str">
        <f>'Losses env. after'!T33</f>
        <v xml:space="preserve">15,3 </v>
      </c>
      <c r="D16" s="324">
        <f t="shared" si="4"/>
        <v>2.16</v>
      </c>
      <c r="E16" s="313">
        <f>D16*Building_data!$D$4</f>
        <v>5433.2964000000002</v>
      </c>
      <c r="F16" s="313">
        <f t="shared" si="5"/>
        <v>641.79682516907985</v>
      </c>
      <c r="G16" s="313">
        <f t="shared" si="6"/>
        <v>6075.0932251690801</v>
      </c>
      <c r="H16" s="313">
        <f>'Losses env. before'!$K$68+'Ventilation losses'!$M$24+'Ventilation losses'!$P$63</f>
        <v>8168.9635298393687</v>
      </c>
      <c r="I16" s="322">
        <f t="shared" si="7"/>
        <v>0.74367980747840823</v>
      </c>
      <c r="J16" s="327">
        <f t="shared" si="8"/>
        <v>0.9059415777648876</v>
      </c>
      <c r="K16" s="328">
        <f t="shared" si="9"/>
        <v>2665.2839883609131</v>
      </c>
      <c r="W16" s="406">
        <f>Consumption!M10</f>
        <v>3920.3333333333335</v>
      </c>
      <c r="X16" s="405">
        <f t="shared" si="10"/>
        <v>0.67986157342766251</v>
      </c>
    </row>
    <row r="17" spans="1:24" x14ac:dyDescent="0.3">
      <c r="A17" s="315" t="s">
        <v>417</v>
      </c>
      <c r="B17" s="306">
        <v>14</v>
      </c>
      <c r="C17" s="306" t="str">
        <f>'Losses env. after'!N33</f>
        <v xml:space="preserve">12,4 </v>
      </c>
      <c r="D17" s="324">
        <f t="shared" si="4"/>
        <v>2.016</v>
      </c>
      <c r="E17" s="313">
        <f>D17*Building_data!$D$4</f>
        <v>5071.0766400000002</v>
      </c>
      <c r="F17" s="313">
        <f t="shared" si="5"/>
        <v>644.38109164547984</v>
      </c>
      <c r="G17" s="313">
        <f t="shared" si="6"/>
        <v>5715.4577316454797</v>
      </c>
      <c r="H17" s="313">
        <f>'Losses env. before'!$E$68+'Ventilation losses'!$G$24+'Ventilation losses'!$J$63</f>
        <v>18042.045865582029</v>
      </c>
      <c r="I17" s="322">
        <f t="shared" si="7"/>
        <v>0.31678545627403554</v>
      </c>
      <c r="J17" s="327">
        <f t="shared" si="8"/>
        <v>0.99451882805395964</v>
      </c>
      <c r="K17" s="328">
        <f t="shared" si="9"/>
        <v>12357.915540514025</v>
      </c>
      <c r="N17" s="720" t="s">
        <v>614</v>
      </c>
      <c r="O17" s="720"/>
      <c r="W17" s="406">
        <f>Consumption!M16</f>
        <v>7172.5</v>
      </c>
      <c r="X17" s="405">
        <f t="shared" si="10"/>
        <v>1.7229579003853641</v>
      </c>
    </row>
    <row r="18" spans="1:24" ht="15.6" x14ac:dyDescent="0.35">
      <c r="A18" s="315" t="s">
        <v>418</v>
      </c>
      <c r="B18" s="306">
        <v>26</v>
      </c>
      <c r="C18" s="306" t="str">
        <f>'Losses env. after'!O33</f>
        <v xml:space="preserve">6,6 </v>
      </c>
      <c r="D18" s="324">
        <f t="shared" si="4"/>
        <v>3.7440000000000002</v>
      </c>
      <c r="E18" s="313">
        <f>D18*Building_data!$D$4</f>
        <v>9417.7137600000005</v>
      </c>
      <c r="F18" s="313">
        <f t="shared" si="5"/>
        <v>1535.9727249215996</v>
      </c>
      <c r="G18" s="313">
        <f t="shared" si="6"/>
        <v>10953.6864849216</v>
      </c>
      <c r="H18" s="313">
        <f>'Losses env. before'!$F$68+'Ventilation losses'!$H$24+'Ventilation losses'!$K$63</f>
        <v>60666.711789865803</v>
      </c>
      <c r="I18" s="322">
        <f t="shared" si="7"/>
        <v>0.1805551374345524</v>
      </c>
      <c r="J18" s="327">
        <f t="shared" si="8"/>
        <v>0.99938149916702412</v>
      </c>
      <c r="K18" s="328">
        <f t="shared" si="9"/>
        <v>49719.80016915928</v>
      </c>
      <c r="N18" s="306" t="s">
        <v>620</v>
      </c>
      <c r="O18" s="306" t="s">
        <v>602</v>
      </c>
      <c r="W18" s="406">
        <f>Consumption!M17</f>
        <v>24503.666666666668</v>
      </c>
      <c r="X18" s="405">
        <f t="shared" si="10"/>
        <v>2.0290759275139481</v>
      </c>
    </row>
    <row r="19" spans="1:24" ht="15" thickBot="1" x14ac:dyDescent="0.35">
      <c r="A19" s="315" t="s">
        <v>419</v>
      </c>
      <c r="B19" s="306">
        <v>28</v>
      </c>
      <c r="C19" s="306" t="str">
        <f>'Losses env. after'!P33</f>
        <v xml:space="preserve">1,2 </v>
      </c>
      <c r="D19" s="324">
        <f t="shared" si="4"/>
        <v>4.032</v>
      </c>
      <c r="E19" s="313">
        <f>D19*Building_data!$D$4</f>
        <v>10142.15328</v>
      </c>
      <c r="F19" s="313">
        <f t="shared" si="5"/>
        <v>1432.5570025199995</v>
      </c>
      <c r="G19" s="313">
        <f t="shared" si="6"/>
        <v>11574.71028252</v>
      </c>
      <c r="H19" s="313">
        <f>'Losses env. before'!$G$68+'Ventilation losses'!$I$24+'Ventilation losses'!$L$63</f>
        <v>90132.551816890846</v>
      </c>
      <c r="I19" s="322">
        <f t="shared" si="7"/>
        <v>0.12841875714375256</v>
      </c>
      <c r="J19" s="327">
        <f t="shared" si="8"/>
        <v>0.99984276201167599</v>
      </c>
      <c r="K19" s="329">
        <f t="shared" si="9"/>
        <v>78559.661518531095</v>
      </c>
      <c r="N19" s="306" t="s">
        <v>615</v>
      </c>
      <c r="O19" s="306">
        <v>0.85</v>
      </c>
      <c r="W19" s="406">
        <f>Consumption!M18</f>
        <v>46486.666666666664</v>
      </c>
      <c r="X19" s="405">
        <f t="shared" si="10"/>
        <v>1.6899396569309715</v>
      </c>
    </row>
    <row r="20" spans="1:24" ht="15" thickBot="1" x14ac:dyDescent="0.35">
      <c r="A20" s="315" t="s">
        <v>0</v>
      </c>
      <c r="B20" s="306">
        <f>SUM(B13:B19)</f>
        <v>163</v>
      </c>
      <c r="C20" s="308">
        <f>SUMPRODUCT(B13:B19,C13:C19)/B20</f>
        <v>0</v>
      </c>
      <c r="D20" s="324">
        <f>SUM(D13:D19)</f>
        <v>23.472000000000001</v>
      </c>
      <c r="E20" s="313">
        <f>SUM(E13:E19)</f>
        <v>59041.820879999999</v>
      </c>
      <c r="F20" s="313">
        <f>SUM(F13:F19)</f>
        <v>10870.238677730038</v>
      </c>
      <c r="G20" s="313">
        <f>SUM(G13:G19)</f>
        <v>69912.059557730041</v>
      </c>
      <c r="H20" s="312">
        <f>SUM(H13:H19)</f>
        <v>401152.93674449972</v>
      </c>
      <c r="I20" s="322">
        <f t="shared" si="7"/>
        <v>0.17427782063641745</v>
      </c>
      <c r="K20" s="330">
        <f>SUM(K13:K19)</f>
        <v>331882.72211310652</v>
      </c>
      <c r="N20" s="306" t="s">
        <v>616</v>
      </c>
      <c r="O20" s="306">
        <v>0.75</v>
      </c>
      <c r="W20" s="406">
        <f>SUM(W13:W19)</f>
        <v>222477.33333333331</v>
      </c>
      <c r="X20" s="405">
        <f t="shared" si="10"/>
        <v>1.4917597093626311</v>
      </c>
    </row>
    <row r="21" spans="1:24" ht="15" thickBot="1" x14ac:dyDescent="0.35">
      <c r="A21" s="304"/>
      <c r="C21" s="331"/>
      <c r="D21" s="332"/>
      <c r="E21" s="149"/>
      <c r="F21" s="149"/>
      <c r="G21" s="149"/>
      <c r="I21" s="331"/>
      <c r="K21" s="333"/>
      <c r="N21" s="306" t="s">
        <v>618</v>
      </c>
      <c r="O21" s="306">
        <v>0.67</v>
      </c>
    </row>
    <row r="22" spans="1:24" x14ac:dyDescent="0.3">
      <c r="A22" s="721" t="s">
        <v>203</v>
      </c>
      <c r="B22" s="722"/>
      <c r="C22" s="722"/>
      <c r="D22" s="722"/>
      <c r="E22" s="722"/>
      <c r="F22" s="722"/>
      <c r="G22" s="722"/>
      <c r="H22" s="722"/>
      <c r="I22" s="722"/>
      <c r="J22" s="722"/>
      <c r="K22" s="723"/>
      <c r="N22" s="306" t="s">
        <v>617</v>
      </c>
      <c r="O22" s="306">
        <v>0.7</v>
      </c>
    </row>
    <row r="23" spans="1:24" x14ac:dyDescent="0.3">
      <c r="A23" s="304"/>
      <c r="K23" s="305"/>
      <c r="N23" s="306" t="s">
        <v>619</v>
      </c>
      <c r="O23" s="306">
        <v>0.5</v>
      </c>
    </row>
    <row r="24" spans="1:24" x14ac:dyDescent="0.3">
      <c r="A24" s="719" t="s">
        <v>68</v>
      </c>
      <c r="B24" s="720"/>
      <c r="C24" s="720"/>
      <c r="D24" s="720"/>
      <c r="E24" s="720"/>
      <c r="F24" s="720"/>
      <c r="G24" s="720"/>
      <c r="H24" s="720"/>
      <c r="I24" s="720"/>
      <c r="J24" s="720"/>
      <c r="K24" s="305"/>
    </row>
    <row r="25" spans="1:24" ht="16.8" x14ac:dyDescent="0.35">
      <c r="A25" s="315"/>
      <c r="B25" s="306" t="s">
        <v>613</v>
      </c>
      <c r="C25" s="306" t="s">
        <v>602</v>
      </c>
      <c r="D25" s="306" t="s">
        <v>603</v>
      </c>
      <c r="E25" s="306" t="s">
        <v>598</v>
      </c>
      <c r="F25" s="306" t="s">
        <v>599</v>
      </c>
      <c r="G25" s="306" t="s">
        <v>600</v>
      </c>
      <c r="H25" s="306" t="s">
        <v>601</v>
      </c>
      <c r="I25" s="306" t="s">
        <v>606</v>
      </c>
      <c r="J25" s="306" t="s">
        <v>607</v>
      </c>
      <c r="K25" s="305"/>
    </row>
    <row r="26" spans="1:24" x14ac:dyDescent="0.3">
      <c r="A26" s="315" t="s">
        <v>19</v>
      </c>
      <c r="B26" s="307">
        <f>B5</f>
        <v>79.02</v>
      </c>
      <c r="C26" s="307">
        <v>0.7</v>
      </c>
      <c r="D26" s="307">
        <v>0.9</v>
      </c>
      <c r="E26" s="307">
        <v>0.85</v>
      </c>
      <c r="F26" s="307">
        <v>0.9</v>
      </c>
      <c r="G26" s="307">
        <v>0.94</v>
      </c>
      <c r="H26" s="311">
        <f>E26*F26*G26</f>
        <v>0.71909999999999996</v>
      </c>
      <c r="I26" s="310">
        <f>(C26*D26)*(1-0.3)*B26</f>
        <v>34.847819999999992</v>
      </c>
      <c r="J26" s="324">
        <f>H26*I26</f>
        <v>25.059067361999993</v>
      </c>
      <c r="K26" s="305"/>
    </row>
    <row r="27" spans="1:24" x14ac:dyDescent="0.3">
      <c r="A27" s="315" t="s">
        <v>17</v>
      </c>
      <c r="B27" s="307">
        <f t="shared" ref="B27:B31" si="11">B6</f>
        <v>86.4</v>
      </c>
      <c r="C27" s="307">
        <v>0.7</v>
      </c>
      <c r="D27" s="307">
        <v>0.9</v>
      </c>
      <c r="E27" s="307">
        <v>0.98</v>
      </c>
      <c r="F27" s="307">
        <v>0.91</v>
      </c>
      <c r="G27" s="307">
        <v>1</v>
      </c>
      <c r="H27" s="311">
        <f t="shared" ref="H27:H31" si="12">E27*F27*G27</f>
        <v>0.89180000000000004</v>
      </c>
      <c r="I27" s="310">
        <f t="shared" ref="I27:I30" si="13">(C27*D27)*(1-0.3)*B27</f>
        <v>38.102399999999996</v>
      </c>
      <c r="J27" s="324">
        <f t="shared" ref="J27:J31" si="14">H27*I27</f>
        <v>33.979720319999998</v>
      </c>
      <c r="K27" s="305"/>
    </row>
    <row r="28" spans="1:24" x14ac:dyDescent="0.3">
      <c r="A28" s="315" t="s">
        <v>593</v>
      </c>
      <c r="B28" s="307">
        <f t="shared" si="11"/>
        <v>25.560000000000002</v>
      </c>
      <c r="C28" s="307">
        <v>0.7</v>
      </c>
      <c r="D28" s="307">
        <v>0.9</v>
      </c>
      <c r="E28" s="307">
        <v>0.82</v>
      </c>
      <c r="F28" s="307">
        <v>0.89</v>
      </c>
      <c r="G28" s="307">
        <v>0.92</v>
      </c>
      <c r="H28" s="311">
        <f t="shared" si="12"/>
        <v>0.67141600000000001</v>
      </c>
      <c r="I28" s="310">
        <f t="shared" si="13"/>
        <v>11.27196</v>
      </c>
      <c r="J28" s="324">
        <f t="shared" si="14"/>
        <v>7.5681742953600004</v>
      </c>
      <c r="K28" s="305"/>
    </row>
    <row r="29" spans="1:24" x14ac:dyDescent="0.3">
      <c r="A29" s="315" t="s">
        <v>594</v>
      </c>
      <c r="B29" s="307">
        <f t="shared" si="11"/>
        <v>0</v>
      </c>
      <c r="C29" s="307">
        <v>0.7</v>
      </c>
      <c r="D29" s="307">
        <v>0.9</v>
      </c>
      <c r="E29" s="307">
        <v>0.82</v>
      </c>
      <c r="F29" s="307">
        <v>0.89</v>
      </c>
      <c r="G29" s="307">
        <v>0.92</v>
      </c>
      <c r="H29" s="311">
        <f t="shared" si="12"/>
        <v>0.67141600000000001</v>
      </c>
      <c r="I29" s="310">
        <f t="shared" si="13"/>
        <v>0</v>
      </c>
      <c r="J29" s="324">
        <f t="shared" si="14"/>
        <v>0</v>
      </c>
      <c r="K29" s="305"/>
    </row>
    <row r="30" spans="1:24" x14ac:dyDescent="0.3">
      <c r="A30" s="315" t="s">
        <v>595</v>
      </c>
      <c r="B30" s="307">
        <f t="shared" si="11"/>
        <v>0</v>
      </c>
      <c r="C30" s="307">
        <v>0.7</v>
      </c>
      <c r="D30" s="307">
        <v>0.9</v>
      </c>
      <c r="E30" s="307">
        <v>0.82</v>
      </c>
      <c r="F30" s="307">
        <v>0.89</v>
      </c>
      <c r="G30" s="307">
        <v>0.92</v>
      </c>
      <c r="H30" s="311">
        <f t="shared" si="12"/>
        <v>0.67141600000000001</v>
      </c>
      <c r="I30" s="310">
        <f t="shared" si="13"/>
        <v>0</v>
      </c>
      <c r="J30" s="324">
        <f t="shared" si="14"/>
        <v>0</v>
      </c>
      <c r="K30" s="305"/>
    </row>
    <row r="31" spans="1:24" x14ac:dyDescent="0.3">
      <c r="A31" s="315" t="s">
        <v>213</v>
      </c>
      <c r="B31" s="307">
        <f t="shared" si="11"/>
        <v>0</v>
      </c>
      <c r="C31" s="307">
        <v>0.7</v>
      </c>
      <c r="D31" s="307">
        <v>0.9</v>
      </c>
      <c r="E31" s="307">
        <v>1</v>
      </c>
      <c r="F31" s="307">
        <v>1</v>
      </c>
      <c r="G31" s="307">
        <v>1</v>
      </c>
      <c r="H31" s="311">
        <f t="shared" si="12"/>
        <v>1</v>
      </c>
      <c r="I31" s="310">
        <f>(C31*D31)*(1-0.3)*B31</f>
        <v>0</v>
      </c>
      <c r="J31" s="324">
        <f t="shared" si="14"/>
        <v>0</v>
      </c>
      <c r="K31" s="305"/>
    </row>
    <row r="32" spans="1:24" x14ac:dyDescent="0.3">
      <c r="A32" s="304"/>
      <c r="K32" s="305"/>
    </row>
    <row r="33" spans="1:11" ht="72" x14ac:dyDescent="0.3">
      <c r="A33" s="316" t="s">
        <v>21</v>
      </c>
      <c r="B33" s="309" t="s">
        <v>590</v>
      </c>
      <c r="C33" s="309" t="s">
        <v>591</v>
      </c>
      <c r="D33" s="309" t="s">
        <v>596</v>
      </c>
      <c r="E33" s="309" t="s">
        <v>597</v>
      </c>
      <c r="F33" s="309" t="s">
        <v>604</v>
      </c>
      <c r="G33" s="309" t="s">
        <v>605</v>
      </c>
      <c r="H33" s="309" t="s">
        <v>609</v>
      </c>
      <c r="I33" s="309" t="s">
        <v>610</v>
      </c>
      <c r="J33" s="314" t="s">
        <v>611</v>
      </c>
      <c r="K33" s="317" t="s">
        <v>612</v>
      </c>
    </row>
    <row r="34" spans="1:11" x14ac:dyDescent="0.3">
      <c r="A34" s="315" t="s">
        <v>409</v>
      </c>
      <c r="B34" s="306">
        <v>28</v>
      </c>
      <c r="C34" s="306">
        <v>-3.5</v>
      </c>
      <c r="D34" s="324">
        <f t="shared" ref="D34:D40" si="15">$O$15*B34*24/1000</f>
        <v>4.032</v>
      </c>
      <c r="E34" s="313">
        <f>D34*Building_data!$D$4</f>
        <v>10142.15328</v>
      </c>
      <c r="F34" s="313">
        <f t="shared" ref="F34:F40" si="16">$J$26*O5+$J$27*P5+$J$28*Q5+$J$29*R5+$J$30*S5+$J$31*T5</f>
        <v>2445.9733956117593</v>
      </c>
      <c r="G34" s="313">
        <f>E34+F34</f>
        <v>12588.12667561176</v>
      </c>
      <c r="H34" s="407">
        <f>'Losses env. after'!$H$60+'Ventilation losses'!$J$29+'Ventilation losses'!$M$69</f>
        <v>32009.700816660945</v>
      </c>
      <c r="I34" s="322">
        <f>G34/H34</f>
        <v>0.3932597417174134</v>
      </c>
      <c r="J34" s="327">
        <f>(1-I34^5)/(1-I34^6)</f>
        <v>0.9942719121940029</v>
      </c>
      <c r="K34" s="328">
        <f>H34-J34*G34</f>
        <v>19493.680035960104</v>
      </c>
    </row>
    <row r="35" spans="1:11" x14ac:dyDescent="0.3">
      <c r="A35" s="315" t="s">
        <v>410</v>
      </c>
      <c r="B35" s="306">
        <v>24</v>
      </c>
      <c r="C35" s="306">
        <v>-2.5</v>
      </c>
      <c r="D35" s="324">
        <f t="shared" si="15"/>
        <v>3.456</v>
      </c>
      <c r="E35" s="313">
        <f>D35*Building_data!$D$4</f>
        <v>8693.2742400000006</v>
      </c>
      <c r="F35" s="313">
        <f t="shared" si="16"/>
        <v>2950.5646948181034</v>
      </c>
      <c r="G35" s="313">
        <f t="shared" ref="G35:G40" si="17">E35+F35</f>
        <v>11643.838934818104</v>
      </c>
      <c r="H35" s="407">
        <f>'Losses env. after'!$I$60+'Ventilation losses'!$K$29+'Ventilation losses'!$N$69</f>
        <v>24941.678718608524</v>
      </c>
      <c r="I35" s="322">
        <f t="shared" ref="I35:I41" si="18">G35/H35</f>
        <v>0.46684263181254326</v>
      </c>
      <c r="J35" s="327">
        <f t="shared" ref="J35:J40" si="19">(1-I35^5)/(1-I35^6)</f>
        <v>0.98805387113924892</v>
      </c>
      <c r="K35" s="328">
        <f t="shared" ref="K35:K40" si="20">H35-J35*G35</f>
        <v>13436.938584139587</v>
      </c>
    </row>
    <row r="36" spans="1:11" x14ac:dyDescent="0.3">
      <c r="A36" s="315" t="s">
        <v>411</v>
      </c>
      <c r="B36" s="306">
        <v>28</v>
      </c>
      <c r="C36" s="306">
        <v>2.6</v>
      </c>
      <c r="D36" s="324">
        <f t="shared" si="15"/>
        <v>4.032</v>
      </c>
      <c r="E36" s="313">
        <f>D36*Building_data!$D$4</f>
        <v>10142.15328</v>
      </c>
      <c r="F36" s="313">
        <f t="shared" si="16"/>
        <v>3865.2053564335674</v>
      </c>
      <c r="G36" s="313">
        <f t="shared" si="17"/>
        <v>14007.358636433568</v>
      </c>
      <c r="H36" s="407">
        <f>'Losses env. after'!$J$60+'Ventilation losses'!$L$29+'Ventilation losses'!$O$69</f>
        <v>18374.054789419097</v>
      </c>
      <c r="I36" s="322">
        <f t="shared" si="18"/>
        <v>0.76234444693720305</v>
      </c>
      <c r="J36" s="327">
        <f t="shared" si="19"/>
        <v>0.92386101818454891</v>
      </c>
      <c r="K36" s="328">
        <f t="shared" si="20"/>
        <v>5433.2021774874465</v>
      </c>
    </row>
    <row r="37" spans="1:11" x14ac:dyDescent="0.3">
      <c r="A37" s="315" t="s">
        <v>412</v>
      </c>
      <c r="B37" s="306">
        <v>15</v>
      </c>
      <c r="C37" s="306">
        <v>7.2</v>
      </c>
      <c r="D37" s="324">
        <f t="shared" si="15"/>
        <v>2.16</v>
      </c>
      <c r="E37" s="313">
        <f>D37*Building_data!$D$4</f>
        <v>5433.2964000000002</v>
      </c>
      <c r="F37" s="313">
        <f t="shared" si="16"/>
        <v>898.51555523671186</v>
      </c>
      <c r="G37" s="313">
        <f t="shared" si="17"/>
        <v>6331.8119552367116</v>
      </c>
      <c r="H37" s="407">
        <f>'Losses env. after'!$K$60+'Ventilation losses'!$M$29+'Ventilation losses'!$P$69</f>
        <v>3374.1600140603805</v>
      </c>
      <c r="I37" s="322">
        <f t="shared" si="18"/>
        <v>1.8765594781668835</v>
      </c>
      <c r="J37" s="327">
        <f t="shared" si="19"/>
        <v>0.52194284740674035</v>
      </c>
      <c r="K37" s="328">
        <f t="shared" si="20"/>
        <v>69.316052900091108</v>
      </c>
    </row>
    <row r="38" spans="1:11" x14ac:dyDescent="0.3">
      <c r="A38" s="315" t="s">
        <v>417</v>
      </c>
      <c r="B38" s="306">
        <v>14</v>
      </c>
      <c r="C38" s="306">
        <v>7.3</v>
      </c>
      <c r="D38" s="324">
        <f t="shared" si="15"/>
        <v>2.016</v>
      </c>
      <c r="E38" s="313">
        <f>D38*Building_data!$D$4</f>
        <v>5071.0766400000002</v>
      </c>
      <c r="F38" s="313">
        <f t="shared" si="16"/>
        <v>902.13352830367194</v>
      </c>
      <c r="G38" s="313">
        <f t="shared" si="17"/>
        <v>5973.2101683036726</v>
      </c>
      <c r="H38" s="407">
        <f>'Losses env. after'!$E$60+'Ventilation losses'!$G$29+'Ventilation losses'!$J$69</f>
        <v>6652.6368081543778</v>
      </c>
      <c r="I38" s="322">
        <f t="shared" si="18"/>
        <v>0.89787107586905879</v>
      </c>
      <c r="J38" s="327">
        <f t="shared" si="19"/>
        <v>0.87481291166302944</v>
      </c>
      <c r="K38" s="328">
        <f t="shared" si="20"/>
        <v>1427.1954288454281</v>
      </c>
    </row>
    <row r="39" spans="1:11" x14ac:dyDescent="0.3">
      <c r="A39" s="315" t="s">
        <v>418</v>
      </c>
      <c r="B39" s="306">
        <v>26</v>
      </c>
      <c r="C39" s="306">
        <v>3.9</v>
      </c>
      <c r="D39" s="324">
        <f t="shared" si="15"/>
        <v>3.7440000000000002</v>
      </c>
      <c r="E39" s="313">
        <f>D39*Building_data!$D$4</f>
        <v>9417.7137600000005</v>
      </c>
      <c r="F39" s="313">
        <f t="shared" si="16"/>
        <v>2150.3618148902392</v>
      </c>
      <c r="G39" s="313">
        <f t="shared" si="17"/>
        <v>11568.075574890239</v>
      </c>
      <c r="H39" s="407">
        <f>'Losses env. after'!$F$60+'Ventilation losses'!$H$29+'Ventilation losses'!$K$69</f>
        <v>20740.518700761928</v>
      </c>
      <c r="I39" s="322">
        <f t="shared" si="18"/>
        <v>0.55775247195072664</v>
      </c>
      <c r="J39" s="327">
        <f t="shared" si="19"/>
        <v>0.97538790771189843</v>
      </c>
      <c r="K39" s="328">
        <f t="shared" si="20"/>
        <v>9457.1576695166204</v>
      </c>
    </row>
    <row r="40" spans="1:11" ht="15" thickBot="1" x14ac:dyDescent="0.35">
      <c r="A40" s="315" t="s">
        <v>419</v>
      </c>
      <c r="B40" s="306">
        <v>28</v>
      </c>
      <c r="C40" s="306">
        <v>-0.9</v>
      </c>
      <c r="D40" s="324">
        <f t="shared" si="15"/>
        <v>4.032</v>
      </c>
      <c r="E40" s="313">
        <f>D40*Building_data!$D$4</f>
        <v>10142.15328</v>
      </c>
      <c r="F40" s="313">
        <f t="shared" si="16"/>
        <v>2005.5798035279995</v>
      </c>
      <c r="G40" s="313">
        <f t="shared" si="17"/>
        <v>12147.733083528001</v>
      </c>
      <c r="H40" s="407">
        <f>'Losses env. after'!$G$60+'Ventilation losses'!$I$29+'Ventilation losses'!$L$69</f>
        <v>29972.190490751243</v>
      </c>
      <c r="I40" s="322">
        <f t="shared" si="18"/>
        <v>0.40530014271984971</v>
      </c>
      <c r="J40" s="327">
        <f t="shared" si="19"/>
        <v>0.99346702555457478</v>
      </c>
      <c r="K40" s="329">
        <f t="shared" si="20"/>
        <v>17903.818237027779</v>
      </c>
    </row>
    <row r="41" spans="1:11" ht="15" thickBot="1" x14ac:dyDescent="0.35">
      <c r="A41" s="318" t="s">
        <v>0</v>
      </c>
      <c r="B41" s="319">
        <f>SUM(B34:B40)</f>
        <v>163</v>
      </c>
      <c r="C41" s="320">
        <f>SUMPRODUCT(B34:B40,C34:C40)/B41</f>
        <v>1.2343558282208589</v>
      </c>
      <c r="D41" s="325">
        <f>SUM(D34:D40)</f>
        <v>23.472000000000001</v>
      </c>
      <c r="E41" s="326">
        <f>SUM(E34:E40)</f>
        <v>59041.820879999999</v>
      </c>
      <c r="F41" s="326">
        <f>SUM(F34:F40)</f>
        <v>15218.334148822054</v>
      </c>
      <c r="G41" s="326">
        <f>SUM(G34:G40)</f>
        <v>74260.155028822046</v>
      </c>
      <c r="H41" s="408">
        <f>SUM(H34:H40)</f>
        <v>136064.94033841649</v>
      </c>
      <c r="I41" s="323">
        <f t="shared" si="18"/>
        <v>0.54576994517562349</v>
      </c>
      <c r="J41" s="321"/>
      <c r="K41" s="330">
        <f>SUM(K34:K40)</f>
        <v>67221.308185877046</v>
      </c>
    </row>
  </sheetData>
  <mergeCells count="7">
    <mergeCell ref="A24:J24"/>
    <mergeCell ref="A22:K22"/>
    <mergeCell ref="A1:K1"/>
    <mergeCell ref="N17:O17"/>
    <mergeCell ref="N3:T3"/>
    <mergeCell ref="N14:P14"/>
    <mergeCell ref="A3:J3"/>
  </mergeCells>
  <phoneticPr fontId="82" type="noConversion"/>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2:AH42"/>
  <sheetViews>
    <sheetView topLeftCell="R16" zoomScale="127" zoomScaleNormal="70" workbookViewId="0">
      <selection activeCell="Z21" sqref="Z21:AA21"/>
    </sheetView>
  </sheetViews>
  <sheetFormatPr defaultRowHeight="14.4" x14ac:dyDescent="0.3"/>
  <cols>
    <col min="8" max="8" width="8.6640625" customWidth="1"/>
    <col min="15" max="15" width="34.6640625" customWidth="1"/>
    <col min="16" max="16" width="21.6640625" customWidth="1"/>
    <col min="17" max="17" width="18.33203125" customWidth="1"/>
  </cols>
  <sheetData>
    <row r="2" spans="2:32" x14ac:dyDescent="0.3">
      <c r="B2" s="176" t="s">
        <v>643</v>
      </c>
    </row>
    <row r="3" spans="2:32" ht="20.100000000000001" customHeight="1" x14ac:dyDescent="0.3">
      <c r="B3" s="724"/>
      <c r="C3" s="654" t="s">
        <v>193</v>
      </c>
      <c r="D3" s="697" t="s">
        <v>194</v>
      </c>
      <c r="E3" s="654" t="s">
        <v>201</v>
      </c>
      <c r="F3" s="654" t="s">
        <v>195</v>
      </c>
      <c r="G3" s="654" t="s">
        <v>196</v>
      </c>
      <c r="H3" s="654" t="s">
        <v>197</v>
      </c>
      <c r="I3" s="654" t="s">
        <v>198</v>
      </c>
      <c r="J3" s="654" t="s">
        <v>199</v>
      </c>
      <c r="K3" s="654" t="s">
        <v>200</v>
      </c>
      <c r="L3" s="652" t="s">
        <v>174</v>
      </c>
    </row>
    <row r="4" spans="2:32" ht="15" thickBot="1" x14ac:dyDescent="0.35">
      <c r="B4" s="724"/>
      <c r="C4" s="654"/>
      <c r="D4" s="739"/>
      <c r="E4" s="654"/>
      <c r="F4" s="654"/>
      <c r="G4" s="654"/>
      <c r="H4" s="654"/>
      <c r="I4" s="654"/>
      <c r="J4" s="654"/>
      <c r="K4" s="654"/>
      <c r="L4" s="652"/>
      <c r="P4" s="115" t="s">
        <v>183</v>
      </c>
    </row>
    <row r="5" spans="2:32" ht="29.7" customHeight="1" x14ac:dyDescent="0.3">
      <c r="B5" s="724"/>
      <c r="C5" s="654"/>
      <c r="D5" s="698"/>
      <c r="E5" s="654"/>
      <c r="F5" s="654"/>
      <c r="G5" s="654"/>
      <c r="H5" s="654"/>
      <c r="I5" s="654"/>
      <c r="J5" s="654"/>
      <c r="K5" s="654"/>
      <c r="L5" s="652"/>
      <c r="P5" s="727" t="s">
        <v>182</v>
      </c>
      <c r="Q5" s="730" t="s">
        <v>184</v>
      </c>
      <c r="R5" s="731"/>
      <c r="S5" s="731"/>
      <c r="T5" s="731"/>
      <c r="U5" s="732"/>
    </row>
    <row r="6" spans="2:32" ht="20.100000000000001" customHeight="1" x14ac:dyDescent="0.3">
      <c r="B6" s="700" t="s">
        <v>202</v>
      </c>
      <c r="C6" s="36"/>
      <c r="D6" s="35"/>
      <c r="E6" s="35"/>
      <c r="F6" s="88"/>
      <c r="G6" s="16"/>
      <c r="H6" s="16"/>
      <c r="I6" s="16"/>
      <c r="J6" s="16"/>
      <c r="K6" s="16"/>
      <c r="L6" s="14">
        <f>(((G6*J6)+(H6*I6))*K6)/1000</f>
        <v>0</v>
      </c>
      <c r="P6" s="728"/>
      <c r="Q6" s="733"/>
      <c r="R6" s="734"/>
      <c r="S6" s="734"/>
      <c r="T6" s="734"/>
      <c r="U6" s="735"/>
      <c r="Y6" s="181" t="s">
        <v>21</v>
      </c>
      <c r="Z6" s="181" t="s">
        <v>327</v>
      </c>
      <c r="AA6" s="181" t="s">
        <v>328</v>
      </c>
      <c r="AB6" s="181" t="s">
        <v>329</v>
      </c>
      <c r="AC6" s="181" t="s">
        <v>330</v>
      </c>
      <c r="AD6" s="181" t="s">
        <v>331</v>
      </c>
      <c r="AE6" s="181" t="s">
        <v>332</v>
      </c>
      <c r="AF6" s="181" t="s">
        <v>333</v>
      </c>
    </row>
    <row r="7" spans="2:32" ht="20.100000000000001" customHeight="1" thickBot="1" x14ac:dyDescent="0.35">
      <c r="B7" s="700"/>
      <c r="C7" s="197"/>
      <c r="D7" s="35"/>
      <c r="E7" s="35"/>
      <c r="F7" s="88"/>
      <c r="G7" s="16"/>
      <c r="H7" s="16"/>
      <c r="I7" s="16"/>
      <c r="J7" s="16"/>
      <c r="K7" s="16"/>
      <c r="L7" s="14">
        <f t="shared" ref="L7:L11" si="0">(((G7*J7)+(H7*I7))*K7)/1000</f>
        <v>0</v>
      </c>
      <c r="P7" s="728"/>
      <c r="Q7" s="736"/>
      <c r="R7" s="737"/>
      <c r="S7" s="737"/>
      <c r="T7" s="737"/>
      <c r="U7" s="738"/>
      <c r="Y7" s="183" t="s">
        <v>336</v>
      </c>
      <c r="Z7" s="79" t="s">
        <v>1009</v>
      </c>
      <c r="AA7" s="79" t="s">
        <v>1010</v>
      </c>
      <c r="AB7" s="79" t="s">
        <v>1011</v>
      </c>
      <c r="AC7" s="79" t="s">
        <v>1001</v>
      </c>
      <c r="AD7" s="79" t="s">
        <v>1002</v>
      </c>
      <c r="AE7" s="79" t="s">
        <v>1003</v>
      </c>
      <c r="AF7" s="79" t="s">
        <v>1004</v>
      </c>
    </row>
    <row r="8" spans="2:32" ht="20.100000000000001" customHeight="1" thickBot="1" x14ac:dyDescent="0.35">
      <c r="B8" s="700"/>
      <c r="C8" s="197"/>
      <c r="D8" s="35"/>
      <c r="E8" s="35"/>
      <c r="F8" s="88"/>
      <c r="G8" s="16"/>
      <c r="H8" s="16"/>
      <c r="I8" s="16"/>
      <c r="J8" s="16"/>
      <c r="K8" s="16"/>
      <c r="L8" s="14">
        <f t="shared" si="0"/>
        <v>0</v>
      </c>
      <c r="P8" s="729"/>
      <c r="Q8" s="102" t="s">
        <v>190</v>
      </c>
      <c r="R8" s="103">
        <v>60</v>
      </c>
      <c r="S8" s="104">
        <v>70</v>
      </c>
      <c r="T8" s="103">
        <v>80</v>
      </c>
      <c r="U8" s="105" t="s">
        <v>191</v>
      </c>
      <c r="Y8" s="183" t="s">
        <v>326</v>
      </c>
      <c r="Z8" s="79">
        <v>15</v>
      </c>
      <c r="AA8" s="79">
        <v>27</v>
      </c>
      <c r="AB8" s="79">
        <v>28</v>
      </c>
      <c r="AC8" s="79">
        <v>28</v>
      </c>
      <c r="AD8" s="79">
        <v>25</v>
      </c>
      <c r="AE8" s="79">
        <v>28</v>
      </c>
      <c r="AF8" s="79">
        <v>12</v>
      </c>
    </row>
    <row r="9" spans="2:32" ht="20.100000000000001" customHeight="1" x14ac:dyDescent="0.3">
      <c r="B9" s="700"/>
      <c r="C9" s="725" t="str">
        <f>'Heat gains Mec Vent'!C5</f>
        <v>3-DMTT</v>
      </c>
      <c r="D9" s="35"/>
      <c r="E9" s="35"/>
      <c r="F9" s="409"/>
      <c r="G9" s="16"/>
      <c r="H9" s="16"/>
      <c r="I9" s="16"/>
      <c r="J9" s="16"/>
      <c r="K9" s="16"/>
      <c r="L9" s="14">
        <f t="shared" si="0"/>
        <v>0</v>
      </c>
      <c r="P9" s="106" t="s">
        <v>185</v>
      </c>
      <c r="Q9" s="107">
        <v>7</v>
      </c>
      <c r="R9" s="106">
        <v>11</v>
      </c>
      <c r="S9" s="107">
        <v>13</v>
      </c>
      <c r="T9" s="106">
        <v>14</v>
      </c>
      <c r="U9" s="108">
        <v>16</v>
      </c>
      <c r="Y9" s="183" t="s">
        <v>334</v>
      </c>
      <c r="Z9" s="79">
        <f>Building_data!$D$9-'Losses env. before'!Z7</f>
        <v>22</v>
      </c>
      <c r="AA9" s="79">
        <f>Building_data!$D$9-'Losses env. before'!AA7</f>
        <v>22</v>
      </c>
      <c r="AB9" s="79">
        <f>Building_data!$D$9-'Losses env. before'!AB7</f>
        <v>22</v>
      </c>
      <c r="AC9" s="79">
        <f>Building_data!$D$9-'Losses env. before'!AC7</f>
        <v>22</v>
      </c>
      <c r="AD9" s="79">
        <f>Building_data!$D$9-'Losses env. before'!AD7</f>
        <v>22</v>
      </c>
      <c r="AE9" s="79">
        <f>Building_data!$D$9-'Losses env. before'!AE7</f>
        <v>22</v>
      </c>
      <c r="AF9" s="79">
        <f>Building_data!$D$9-'Losses env. before'!AF7</f>
        <v>22</v>
      </c>
    </row>
    <row r="10" spans="2:32" ht="20.100000000000001" customHeight="1" x14ac:dyDescent="0.3">
      <c r="B10" s="700"/>
      <c r="C10" s="726"/>
      <c r="D10" s="35" t="s">
        <v>185</v>
      </c>
      <c r="E10" s="35">
        <v>480</v>
      </c>
      <c r="F10" s="88">
        <v>0</v>
      </c>
      <c r="G10" s="16">
        <f t="shared" ref="G10" si="1">E10*F10</f>
        <v>0</v>
      </c>
      <c r="H10" s="16">
        <f t="shared" ref="H10" si="2">E10-G10</f>
        <v>480</v>
      </c>
      <c r="I10" s="16">
        <f t="shared" ref="I10" si="3">IFERROR(VLOOKUP(D10,$P$17:$Q$19,2,FALSE),"")</f>
        <v>47</v>
      </c>
      <c r="J10" s="16">
        <f t="shared" ref="J10" si="4">IFERROR(VLOOKUP(D10,$P$9:$R$11,3,FALSE),"")</f>
        <v>11</v>
      </c>
      <c r="K10" s="16">
        <f>Building_data!D12</f>
        <v>1630</v>
      </c>
      <c r="L10" s="14">
        <f t="shared" si="0"/>
        <v>36772.800000000003</v>
      </c>
      <c r="P10" s="109" t="s">
        <v>186</v>
      </c>
      <c r="Q10" s="110">
        <v>10</v>
      </c>
      <c r="R10" s="109">
        <v>14</v>
      </c>
      <c r="S10" s="110">
        <v>16</v>
      </c>
      <c r="T10" s="109">
        <v>18</v>
      </c>
      <c r="U10" s="111">
        <v>21</v>
      </c>
      <c r="Y10" s="183" t="s">
        <v>335</v>
      </c>
      <c r="Z10" s="79">
        <f>Z8*Building_data!$D$14</f>
        <v>150</v>
      </c>
      <c r="AA10" s="79">
        <f>AA8*Building_data!$D$14</f>
        <v>270</v>
      </c>
      <c r="AB10" s="79">
        <f>AB8*Building_data!$D$14</f>
        <v>280</v>
      </c>
      <c r="AC10" s="79">
        <f>AC8*Building_data!$D$14</f>
        <v>280</v>
      </c>
      <c r="AD10" s="79">
        <f>AD8*Building_data!$D$14</f>
        <v>250</v>
      </c>
      <c r="AE10" s="79">
        <f>AE8*Building_data!$D$14</f>
        <v>280</v>
      </c>
      <c r="AF10" s="79">
        <f>AF8*Building_data!$D$14</f>
        <v>120</v>
      </c>
    </row>
    <row r="11" spans="2:32" ht="20.100000000000001" customHeight="1" thickBot="1" x14ac:dyDescent="0.35">
      <c r="B11" s="700"/>
      <c r="C11" s="197"/>
      <c r="D11" s="35"/>
      <c r="E11" s="35"/>
      <c r="F11" s="88"/>
      <c r="G11" s="16"/>
      <c r="H11" s="16"/>
      <c r="I11" s="16"/>
      <c r="J11" s="16"/>
      <c r="K11" s="16"/>
      <c r="L11" s="14">
        <f t="shared" si="0"/>
        <v>0</v>
      </c>
      <c r="P11" s="112" t="s">
        <v>187</v>
      </c>
      <c r="Q11" s="113">
        <v>14</v>
      </c>
      <c r="R11" s="112">
        <v>19</v>
      </c>
      <c r="S11" s="113">
        <v>22</v>
      </c>
      <c r="T11" s="112">
        <v>25</v>
      </c>
      <c r="U11" s="114">
        <v>29</v>
      </c>
    </row>
    <row r="12" spans="2:32" ht="20.100000000000001" customHeight="1" x14ac:dyDescent="0.3">
      <c r="B12" s="700"/>
      <c r="C12" s="174" t="s">
        <v>192</v>
      </c>
      <c r="D12" s="175"/>
      <c r="E12" s="175"/>
      <c r="F12" s="175"/>
      <c r="G12" s="175"/>
      <c r="H12" s="175"/>
      <c r="I12" s="175"/>
      <c r="J12" s="175"/>
      <c r="K12" s="184"/>
      <c r="L12" s="116">
        <f>SUM(L6:L11)</f>
        <v>36772.800000000003</v>
      </c>
      <c r="Y12" s="181" t="s">
        <v>21</v>
      </c>
      <c r="Z12" s="181" t="s">
        <v>327</v>
      </c>
      <c r="AA12" s="181" t="s">
        <v>328</v>
      </c>
      <c r="AB12" s="181" t="s">
        <v>329</v>
      </c>
      <c r="AC12" s="181" t="s">
        <v>330</v>
      </c>
      <c r="AD12" s="181" t="s">
        <v>331</v>
      </c>
      <c r="AE12" s="181" t="s">
        <v>332</v>
      </c>
      <c r="AF12" s="181" t="s">
        <v>333</v>
      </c>
    </row>
    <row r="13" spans="2:32" ht="20.100000000000001" customHeight="1" x14ac:dyDescent="0.3">
      <c r="B13" s="700" t="s">
        <v>203</v>
      </c>
      <c r="C13" s="36"/>
      <c r="D13" s="35"/>
      <c r="E13" s="35"/>
      <c r="F13" s="88"/>
      <c r="G13" s="16"/>
      <c r="H13" s="16"/>
      <c r="I13" s="16"/>
      <c r="J13" s="16"/>
      <c r="K13" s="16"/>
      <c r="L13" s="14">
        <f>(((G13*J13)+(H13*I13))*K13)/1000</f>
        <v>0</v>
      </c>
      <c r="N13">
        <v>372</v>
      </c>
      <c r="Y13" s="183" t="s">
        <v>336</v>
      </c>
      <c r="Z13" s="79" t="s">
        <v>1009</v>
      </c>
      <c r="AA13" s="79" t="s">
        <v>1010</v>
      </c>
      <c r="AB13" s="79" t="s">
        <v>1011</v>
      </c>
      <c r="AC13" s="79" t="s">
        <v>1001</v>
      </c>
      <c r="AD13" s="79" t="s">
        <v>1002</v>
      </c>
      <c r="AE13" s="79" t="s">
        <v>1003</v>
      </c>
      <c r="AF13" s="79" t="s">
        <v>1004</v>
      </c>
    </row>
    <row r="14" spans="2:32" ht="20.100000000000001" customHeight="1" thickBot="1" x14ac:dyDescent="0.35">
      <c r="B14" s="700"/>
      <c r="C14" s="197"/>
      <c r="D14" s="35"/>
      <c r="E14" s="35"/>
      <c r="F14" s="88"/>
      <c r="G14" s="16"/>
      <c r="H14" s="16"/>
      <c r="I14" s="16"/>
      <c r="J14" s="16"/>
      <c r="K14" s="16"/>
      <c r="L14" s="14">
        <f t="shared" ref="L14:L18" si="5">(((G14*J14)+(H14*I14))*K14)/1000</f>
        <v>0</v>
      </c>
      <c r="N14">
        <v>64</v>
      </c>
      <c r="P14" s="115" t="s">
        <v>188</v>
      </c>
      <c r="Y14" s="183" t="s">
        <v>326</v>
      </c>
      <c r="Z14" s="79">
        <v>15</v>
      </c>
      <c r="AA14" s="79">
        <v>27</v>
      </c>
      <c r="AB14" s="79">
        <v>28</v>
      </c>
      <c r="AC14" s="79">
        <v>28</v>
      </c>
      <c r="AD14" s="79">
        <v>25</v>
      </c>
      <c r="AE14" s="79">
        <v>28</v>
      </c>
      <c r="AF14" s="79">
        <v>12</v>
      </c>
    </row>
    <row r="15" spans="2:32" ht="20.100000000000001" customHeight="1" x14ac:dyDescent="0.3">
      <c r="B15" s="700"/>
      <c r="C15" s="197"/>
      <c r="D15" s="35"/>
      <c r="E15" s="35"/>
      <c r="F15" s="88"/>
      <c r="G15" s="16"/>
      <c r="H15" s="16"/>
      <c r="I15" s="16"/>
      <c r="J15" s="16"/>
      <c r="K15" s="16"/>
      <c r="L15" s="14">
        <f t="shared" si="5"/>
        <v>0</v>
      </c>
      <c r="N15">
        <v>152</v>
      </c>
      <c r="P15" s="742" t="s">
        <v>182</v>
      </c>
      <c r="Q15" s="742" t="s">
        <v>189</v>
      </c>
      <c r="S15" s="117"/>
      <c r="T15" s="118"/>
      <c r="Y15" s="183" t="s">
        <v>334</v>
      </c>
      <c r="Z15" s="79" t="e">
        <f>Building_data!#REF!-'Losses env. before'!Z13</f>
        <v>#REF!</v>
      </c>
      <c r="AA15" s="79" t="e">
        <f>Building_data!#REF!-'Losses env. before'!AA13</f>
        <v>#REF!</v>
      </c>
      <c r="AB15" s="79" t="e">
        <f>Building_data!#REF!-'Losses env. before'!AB13</f>
        <v>#REF!</v>
      </c>
      <c r="AC15" s="79" t="e">
        <f>Building_data!#REF!-'Losses env. before'!AC13</f>
        <v>#REF!</v>
      </c>
      <c r="AD15" s="79" t="e">
        <f>Building_data!#REF!-'Losses env. before'!AD13</f>
        <v>#REF!</v>
      </c>
      <c r="AE15" s="79" t="e">
        <f>Building_data!#REF!-'Losses env. before'!AE13</f>
        <v>#REF!</v>
      </c>
      <c r="AF15" s="79" t="e">
        <f>Building_data!#REF!-'Losses env. before'!AF13</f>
        <v>#REF!</v>
      </c>
    </row>
    <row r="16" spans="2:32" ht="20.100000000000001" customHeight="1" thickBot="1" x14ac:dyDescent="0.35">
      <c r="B16" s="700"/>
      <c r="C16" s="725" t="str">
        <f>C9</f>
        <v>3-DMTT</v>
      </c>
      <c r="D16" s="35"/>
      <c r="E16" s="35"/>
      <c r="F16" s="88"/>
      <c r="G16" s="16"/>
      <c r="H16" s="16"/>
      <c r="I16" s="16"/>
      <c r="J16" s="16"/>
      <c r="K16" s="16"/>
      <c r="L16" s="14">
        <f t="shared" si="5"/>
        <v>0</v>
      </c>
      <c r="P16" s="743"/>
      <c r="Q16" s="743"/>
      <c r="S16" s="117"/>
      <c r="Y16" s="183" t="s">
        <v>335</v>
      </c>
      <c r="Z16" s="79">
        <f>Z14*Building_data!$D$13</f>
        <v>210</v>
      </c>
      <c r="AA16" s="79">
        <f>AA14*Building_data!$D$13</f>
        <v>378</v>
      </c>
      <c r="AB16" s="79">
        <f>AB14*Building_data!$D$13</f>
        <v>392</v>
      </c>
      <c r="AC16" s="79">
        <f>AC14*Building_data!$D$13</f>
        <v>392</v>
      </c>
      <c r="AD16" s="79">
        <f>AD14*Building_data!$D$13</f>
        <v>350</v>
      </c>
      <c r="AE16" s="79">
        <f>AE14*Building_data!$D$13</f>
        <v>392</v>
      </c>
      <c r="AF16" s="79">
        <f>AF14*Building_data!$D$13</f>
        <v>168</v>
      </c>
    </row>
    <row r="17" spans="2:34" ht="20.100000000000001" customHeight="1" x14ac:dyDescent="0.3">
      <c r="B17" s="700"/>
      <c r="C17" s="726"/>
      <c r="D17" s="35" t="s">
        <v>185</v>
      </c>
      <c r="E17" s="35">
        <f>E10</f>
        <v>480</v>
      </c>
      <c r="F17" s="88">
        <v>1</v>
      </c>
      <c r="G17" s="16">
        <f t="shared" ref="G17" si="6">E17*F17</f>
        <v>480</v>
      </c>
      <c r="H17" s="16">
        <f t="shared" ref="H17" si="7">E17-G17</f>
        <v>0</v>
      </c>
      <c r="I17" s="16">
        <f t="shared" ref="I17" si="8">IFERROR(VLOOKUP(D17,$P$17:$Q$19,2,FALSE),"")</f>
        <v>47</v>
      </c>
      <c r="J17" s="16">
        <f t="shared" ref="J17" si="9">IFERROR(VLOOKUP(D17,$P$9:$R$11,3,FALSE),"")</f>
        <v>11</v>
      </c>
      <c r="K17" s="16">
        <f>Building_data!D12</f>
        <v>1630</v>
      </c>
      <c r="L17" s="14">
        <f>(((G17*J17)+(H17*I17))*K17)/1000</f>
        <v>8606.4</v>
      </c>
      <c r="P17" s="124" t="s">
        <v>185</v>
      </c>
      <c r="Q17" s="125">
        <v>47</v>
      </c>
      <c r="S17" s="119"/>
    </row>
    <row r="18" spans="2:34" ht="20.100000000000001" customHeight="1" x14ac:dyDescent="0.3">
      <c r="B18" s="700"/>
      <c r="C18" s="197"/>
      <c r="D18" s="35"/>
      <c r="E18" s="35"/>
      <c r="F18" s="88"/>
      <c r="G18" s="16"/>
      <c r="H18" s="16"/>
      <c r="I18" s="16"/>
      <c r="J18" s="16"/>
      <c r="K18" s="16"/>
      <c r="L18" s="14">
        <f t="shared" si="5"/>
        <v>0</v>
      </c>
      <c r="P18" s="120" t="s">
        <v>186</v>
      </c>
      <c r="Q18" s="122">
        <v>74</v>
      </c>
      <c r="S18" s="119"/>
    </row>
    <row r="19" spans="2:34" ht="20.100000000000001" customHeight="1" thickBot="1" x14ac:dyDescent="0.35">
      <c r="B19" s="700"/>
      <c r="C19" s="174" t="s">
        <v>204</v>
      </c>
      <c r="D19" s="175"/>
      <c r="E19" s="175"/>
      <c r="F19" s="175"/>
      <c r="G19" s="175"/>
      <c r="H19" s="175"/>
      <c r="I19" s="175"/>
      <c r="J19" s="175"/>
      <c r="K19" s="184"/>
      <c r="L19" s="116">
        <f>SUM(L13:L18)</f>
        <v>8606.4</v>
      </c>
      <c r="P19" s="121" t="s">
        <v>187</v>
      </c>
      <c r="Q19" s="123">
        <v>140</v>
      </c>
      <c r="S19" s="119"/>
      <c r="Y19" s="599" t="s">
        <v>97</v>
      </c>
      <c r="Z19" s="744" t="s">
        <v>70</v>
      </c>
      <c r="AA19" s="745"/>
      <c r="AB19" s="181" t="s">
        <v>337</v>
      </c>
      <c r="AC19" s="181" t="s">
        <v>339</v>
      </c>
      <c r="AD19" s="181" t="s">
        <v>340</v>
      </c>
      <c r="AE19" s="181" t="s">
        <v>341</v>
      </c>
      <c r="AF19" s="181" t="s">
        <v>342</v>
      </c>
      <c r="AG19" s="181" t="s">
        <v>343</v>
      </c>
      <c r="AH19" s="181" t="s">
        <v>344</v>
      </c>
    </row>
    <row r="20" spans="2:34" ht="20.100000000000001" customHeight="1" x14ac:dyDescent="0.3">
      <c r="B20" s="174" t="s">
        <v>205</v>
      </c>
      <c r="C20" s="175"/>
      <c r="D20" s="175"/>
      <c r="E20" s="175"/>
      <c r="F20" s="175"/>
      <c r="G20" s="175"/>
      <c r="H20" s="175"/>
      <c r="I20" s="175"/>
      <c r="J20" s="175"/>
      <c r="K20" s="184"/>
      <c r="L20" s="116">
        <f>L12-L19</f>
        <v>28166.400000000001</v>
      </c>
      <c r="Y20" s="599"/>
      <c r="Z20" s="746"/>
      <c r="AA20" s="747"/>
      <c r="AB20" s="181" t="s">
        <v>338</v>
      </c>
      <c r="AC20" s="181" t="s">
        <v>338</v>
      </c>
      <c r="AD20" s="181" t="s">
        <v>338</v>
      </c>
      <c r="AE20" s="181" t="s">
        <v>338</v>
      </c>
      <c r="AF20" s="181" t="s">
        <v>338</v>
      </c>
      <c r="AG20" s="181" t="s">
        <v>338</v>
      </c>
      <c r="AH20" s="181" t="s">
        <v>338</v>
      </c>
    </row>
    <row r="21" spans="2:34" x14ac:dyDescent="0.3">
      <c r="Z21" s="748" t="s">
        <v>1173</v>
      </c>
      <c r="AA21" s="748"/>
    </row>
    <row r="23" spans="2:34" ht="15" thickBot="1" x14ac:dyDescent="0.35">
      <c r="Q23" t="s">
        <v>431</v>
      </c>
    </row>
    <row r="24" spans="2:34" ht="36" x14ac:dyDescent="0.3">
      <c r="Q24" s="200" t="s">
        <v>430</v>
      </c>
      <c r="R24" s="200" t="s">
        <v>915</v>
      </c>
      <c r="S24" s="200" t="s">
        <v>890</v>
      </c>
      <c r="T24" s="200" t="s">
        <v>916</v>
      </c>
      <c r="U24" s="200" t="s">
        <v>891</v>
      </c>
      <c r="V24" s="200" t="s">
        <v>917</v>
      </c>
    </row>
    <row r="25" spans="2:34" x14ac:dyDescent="0.3">
      <c r="B25" s="724"/>
      <c r="C25" s="654" t="s">
        <v>193</v>
      </c>
      <c r="D25" s="654" t="s">
        <v>1167</v>
      </c>
      <c r="E25" s="654" t="s">
        <v>1168</v>
      </c>
      <c r="F25" s="654" t="s">
        <v>1169</v>
      </c>
      <c r="G25" s="654" t="s">
        <v>1172</v>
      </c>
      <c r="H25" s="654" t="s">
        <v>1170</v>
      </c>
      <c r="I25" s="654" t="s">
        <v>174</v>
      </c>
      <c r="Q25" s="106" t="s">
        <v>185</v>
      </c>
      <c r="R25" s="107">
        <v>3</v>
      </c>
      <c r="S25" s="107">
        <f>R25/2</f>
        <v>1.5</v>
      </c>
      <c r="T25" s="107">
        <v>2</v>
      </c>
      <c r="U25" s="203">
        <f>(T25+S25+R25)/3</f>
        <v>2.1666666666666665</v>
      </c>
      <c r="V25" s="204">
        <f>U25+T25+S25+R25</f>
        <v>8.6666666666666661</v>
      </c>
    </row>
    <row r="26" spans="2:34" x14ac:dyDescent="0.3">
      <c r="B26" s="724"/>
      <c r="C26" s="654"/>
      <c r="D26" s="654"/>
      <c r="E26" s="654"/>
      <c r="F26" s="654"/>
      <c r="G26" s="654"/>
      <c r="H26" s="654"/>
      <c r="I26" s="654"/>
      <c r="Q26" s="109" t="s">
        <v>186</v>
      </c>
      <c r="R26" s="107">
        <v>7</v>
      </c>
      <c r="S26" s="107">
        <f t="shared" ref="S26:S27" si="10">R26/2</f>
        <v>3.5</v>
      </c>
      <c r="T26" s="107">
        <v>4</v>
      </c>
      <c r="U26" s="203">
        <f t="shared" ref="U26:U27" si="11">(T26+S26+R26)/3</f>
        <v>4.833333333333333</v>
      </c>
      <c r="V26" s="204">
        <f t="shared" ref="V26:V27" si="12">U26+T26+S26+R26</f>
        <v>19.333333333333332</v>
      </c>
    </row>
    <row r="27" spans="2:34" ht="15" customHeight="1" thickBot="1" x14ac:dyDescent="0.35">
      <c r="B27" s="724"/>
      <c r="C27" s="654"/>
      <c r="D27" s="654"/>
      <c r="E27" s="654"/>
      <c r="F27" s="654"/>
      <c r="G27" s="654"/>
      <c r="H27" s="654"/>
      <c r="I27" s="654"/>
      <c r="Q27" s="112" t="s">
        <v>187</v>
      </c>
      <c r="R27" s="107">
        <v>24</v>
      </c>
      <c r="S27" s="107">
        <f t="shared" si="10"/>
        <v>12</v>
      </c>
      <c r="T27" s="107">
        <v>10</v>
      </c>
      <c r="U27" s="203">
        <f t="shared" si="11"/>
        <v>15.333333333333334</v>
      </c>
      <c r="V27" s="204">
        <f t="shared" si="12"/>
        <v>61.333333333333336</v>
      </c>
    </row>
    <row r="28" spans="2:34" x14ac:dyDescent="0.3">
      <c r="B28" s="700" t="s">
        <v>202</v>
      </c>
      <c r="C28" t="str">
        <f>C16</f>
        <v>3-DMTT</v>
      </c>
      <c r="D28" t="s">
        <v>1171</v>
      </c>
      <c r="E28">
        <v>10</v>
      </c>
      <c r="F28">
        <v>1.2</v>
      </c>
      <c r="G28">
        <f>E28*F28</f>
        <v>12</v>
      </c>
      <c r="H28">
        <v>9</v>
      </c>
    </row>
    <row r="29" spans="2:34" x14ac:dyDescent="0.3">
      <c r="B29" s="700"/>
    </row>
    <row r="30" spans="2:34" x14ac:dyDescent="0.3">
      <c r="B30" s="700"/>
    </row>
    <row r="31" spans="2:34" x14ac:dyDescent="0.3">
      <c r="B31" s="700"/>
    </row>
    <row r="32" spans="2:34" x14ac:dyDescent="0.3">
      <c r="B32" s="700"/>
      <c r="O32" s="202" t="s">
        <v>428</v>
      </c>
    </row>
    <row r="33" spans="2:19" ht="24" x14ac:dyDescent="0.3">
      <c r="B33" s="700"/>
      <c r="O33" s="29"/>
      <c r="P33" s="29" t="s">
        <v>888</v>
      </c>
      <c r="Q33" s="29" t="s">
        <v>427</v>
      </c>
      <c r="R33" s="29"/>
    </row>
    <row r="34" spans="2:19" ht="48" x14ac:dyDescent="0.3">
      <c r="B34" s="700"/>
      <c r="C34" t="s">
        <v>1166</v>
      </c>
      <c r="O34" s="205" t="s">
        <v>440</v>
      </c>
      <c r="P34" s="546"/>
      <c r="Q34" s="485"/>
      <c r="R34" s="13"/>
    </row>
    <row r="35" spans="2:19" ht="48" x14ac:dyDescent="0.3">
      <c r="B35" s="700" t="s">
        <v>203</v>
      </c>
      <c r="O35" s="205" t="s">
        <v>770</v>
      </c>
      <c r="P35" s="13"/>
      <c r="Q35" s="13"/>
      <c r="R35" s="13"/>
    </row>
    <row r="36" spans="2:19" ht="24" x14ac:dyDescent="0.3">
      <c r="B36" s="700"/>
      <c r="O36" s="205" t="s">
        <v>771</v>
      </c>
      <c r="P36" s="13"/>
      <c r="Q36" s="13"/>
      <c r="R36" s="13"/>
    </row>
    <row r="37" spans="2:19" x14ac:dyDescent="0.3">
      <c r="B37" s="700"/>
      <c r="O37" s="234" t="s">
        <v>492</v>
      </c>
      <c r="P37" s="234"/>
      <c r="Q37" s="234"/>
      <c r="R37" s="206">
        <v>18000</v>
      </c>
    </row>
    <row r="38" spans="2:19" x14ac:dyDescent="0.3">
      <c r="B38" s="700"/>
      <c r="O38" s="740" t="s">
        <v>921</v>
      </c>
      <c r="P38" s="741"/>
      <c r="Q38" s="741"/>
      <c r="R38" s="741"/>
      <c r="S38" s="741"/>
    </row>
    <row r="39" spans="2:19" x14ac:dyDescent="0.3">
      <c r="B39" s="700"/>
      <c r="O39" s="741"/>
      <c r="P39" s="741"/>
      <c r="Q39" s="741"/>
      <c r="R39" s="741"/>
      <c r="S39" s="741"/>
    </row>
    <row r="40" spans="2:19" x14ac:dyDescent="0.3">
      <c r="B40" s="700"/>
      <c r="O40" s="741"/>
      <c r="P40" s="741"/>
      <c r="Q40" s="741"/>
      <c r="R40" s="741"/>
      <c r="S40" s="741"/>
    </row>
    <row r="41" spans="2:19" ht="35.1" customHeight="1" x14ac:dyDescent="0.3">
      <c r="B41" s="700"/>
      <c r="O41" s="741"/>
      <c r="P41" s="741"/>
      <c r="Q41" s="741"/>
      <c r="R41" s="741"/>
      <c r="S41" s="741"/>
    </row>
    <row r="42" spans="2:19" x14ac:dyDescent="0.3">
      <c r="B42" s="174" t="s">
        <v>205</v>
      </c>
    </row>
  </sheetData>
  <mergeCells count="34">
    <mergeCell ref="Y19:Y20"/>
    <mergeCell ref="Z19:AA19"/>
    <mergeCell ref="Z20:AA20"/>
    <mergeCell ref="Z21:AA21"/>
    <mergeCell ref="B28:B34"/>
    <mergeCell ref="B35:B41"/>
    <mergeCell ref="C25:C27"/>
    <mergeCell ref="O38:S41"/>
    <mergeCell ref="P15:P16"/>
    <mergeCell ref="Q15:Q16"/>
    <mergeCell ref="D25:D27"/>
    <mergeCell ref="E25:E27"/>
    <mergeCell ref="F25:F27"/>
    <mergeCell ref="H25:H27"/>
    <mergeCell ref="B25:B27"/>
    <mergeCell ref="G25:G27"/>
    <mergeCell ref="I25:I27"/>
    <mergeCell ref="P5:P8"/>
    <mergeCell ref="Q5:U7"/>
    <mergeCell ref="L3:L5"/>
    <mergeCell ref="C3:C5"/>
    <mergeCell ref="E3:E5"/>
    <mergeCell ref="F3:F5"/>
    <mergeCell ref="G3:G5"/>
    <mergeCell ref="H3:H5"/>
    <mergeCell ref="I3:I5"/>
    <mergeCell ref="K3:K5"/>
    <mergeCell ref="D3:D5"/>
    <mergeCell ref="B6:B12"/>
    <mergeCell ref="B13:B19"/>
    <mergeCell ref="B3:B5"/>
    <mergeCell ref="J3:J5"/>
    <mergeCell ref="C9:C10"/>
    <mergeCell ref="C16:C17"/>
  </mergeCells>
  <dataValidations count="1">
    <dataValidation type="list" allowBlank="1" showInputMessage="1" showErrorMessage="1" sqref="D6:D11 D13:D18" xr:uid="{00000000-0002-0000-0B00-000000000000}">
      <formula1>$P$17:$P$19</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B2:R36"/>
  <sheetViews>
    <sheetView topLeftCell="A23" zoomScale="115" zoomScaleNormal="115" workbookViewId="0">
      <selection activeCell="K23" sqref="K23"/>
    </sheetView>
  </sheetViews>
  <sheetFormatPr defaultRowHeight="14.4" x14ac:dyDescent="0.3"/>
  <cols>
    <col min="2" max="3" width="13.6640625" customWidth="1"/>
    <col min="4" max="4" width="9.44140625" customWidth="1"/>
    <col min="7" max="7" width="8.6640625" customWidth="1"/>
    <col min="18" max="18" width="0" hidden="1" customWidth="1"/>
  </cols>
  <sheetData>
    <row r="2" spans="2:18" x14ac:dyDescent="0.3">
      <c r="B2" t="s">
        <v>834</v>
      </c>
    </row>
    <row r="3" spans="2:18" ht="33.6" customHeight="1" x14ac:dyDescent="0.3">
      <c r="B3" s="654" t="s">
        <v>279</v>
      </c>
      <c r="C3" s="654" t="s">
        <v>280</v>
      </c>
      <c r="D3" s="654" t="s">
        <v>286</v>
      </c>
      <c r="E3" s="654" t="s">
        <v>282</v>
      </c>
      <c r="F3" s="654" t="s">
        <v>49</v>
      </c>
      <c r="G3" s="654"/>
      <c r="H3" s="654" t="s">
        <v>284</v>
      </c>
      <c r="I3" s="654"/>
      <c r="J3" s="654" t="s">
        <v>158</v>
      </c>
      <c r="K3" s="654" t="s">
        <v>285</v>
      </c>
      <c r="R3" t="s">
        <v>242</v>
      </c>
    </row>
    <row r="4" spans="2:18" ht="36" customHeight="1" x14ac:dyDescent="0.3">
      <c r="B4" s="654"/>
      <c r="C4" s="654"/>
      <c r="D4" s="654"/>
      <c r="E4" s="654"/>
      <c r="F4" s="29" t="s">
        <v>283</v>
      </c>
      <c r="G4" s="29" t="s">
        <v>297</v>
      </c>
      <c r="H4" s="29" t="s">
        <v>283</v>
      </c>
      <c r="I4" s="29" t="s">
        <v>297</v>
      </c>
      <c r="J4" s="654"/>
      <c r="K4" s="654"/>
      <c r="R4" t="s">
        <v>281</v>
      </c>
    </row>
    <row r="5" spans="2:18" x14ac:dyDescent="0.3">
      <c r="B5" s="156" t="s">
        <v>885</v>
      </c>
      <c r="C5" s="142" t="s">
        <v>242</v>
      </c>
      <c r="D5" s="136">
        <v>15</v>
      </c>
      <c r="E5" s="142">
        <v>13</v>
      </c>
      <c r="F5" s="136">
        <f>60-5</f>
        <v>55</v>
      </c>
      <c r="G5" s="136">
        <f>Building_data!$D$7</f>
        <v>163</v>
      </c>
      <c r="H5" s="136">
        <f>60-15</f>
        <v>45</v>
      </c>
      <c r="I5" s="136">
        <f>365-G5</f>
        <v>202</v>
      </c>
      <c r="J5" s="136">
        <v>1.163</v>
      </c>
      <c r="K5" s="147">
        <f t="shared" ref="K5:K15" si="0">D5*E5*((F5*G5)+(H5*I5))*J5/1000</f>
        <v>4094.6031750000002</v>
      </c>
    </row>
    <row r="6" spans="2:18" x14ac:dyDescent="0.3">
      <c r="B6" s="156"/>
      <c r="C6" s="142"/>
      <c r="D6" s="136">
        <v>15</v>
      </c>
      <c r="E6" s="142"/>
      <c r="F6" s="136">
        <f t="shared" ref="F6:F15" si="1">60-5</f>
        <v>55</v>
      </c>
      <c r="G6" s="136">
        <f>Building_data!$D$7</f>
        <v>163</v>
      </c>
      <c r="H6" s="136">
        <f t="shared" ref="H6:H15" si="2">60-15</f>
        <v>45</v>
      </c>
      <c r="I6" s="136">
        <f t="shared" ref="I6:I15" si="3">365-G6</f>
        <v>202</v>
      </c>
      <c r="J6" s="136">
        <v>1.163</v>
      </c>
      <c r="K6" s="147">
        <f t="shared" si="0"/>
        <v>0</v>
      </c>
    </row>
    <row r="7" spans="2:18" x14ac:dyDescent="0.3">
      <c r="B7" s="157"/>
      <c r="C7" s="142"/>
      <c r="D7" s="136">
        <v>15</v>
      </c>
      <c r="E7" s="142"/>
      <c r="F7" s="136">
        <f t="shared" si="1"/>
        <v>55</v>
      </c>
      <c r="G7" s="136">
        <f>Building_data!$D$7</f>
        <v>163</v>
      </c>
      <c r="H7" s="136">
        <f t="shared" si="2"/>
        <v>45</v>
      </c>
      <c r="I7" s="136">
        <f t="shared" si="3"/>
        <v>202</v>
      </c>
      <c r="J7" s="136">
        <v>1.163</v>
      </c>
      <c r="K7" s="147">
        <f t="shared" si="0"/>
        <v>0</v>
      </c>
    </row>
    <row r="8" spans="2:18" x14ac:dyDescent="0.3">
      <c r="B8" s="157"/>
      <c r="C8" s="142"/>
      <c r="D8" s="136">
        <v>15</v>
      </c>
      <c r="E8" s="142"/>
      <c r="F8" s="136">
        <f t="shared" si="1"/>
        <v>55</v>
      </c>
      <c r="G8" s="136">
        <f>Building_data!$D$7</f>
        <v>163</v>
      </c>
      <c r="H8" s="136">
        <f t="shared" si="2"/>
        <v>45</v>
      </c>
      <c r="I8" s="136">
        <f t="shared" si="3"/>
        <v>202</v>
      </c>
      <c r="J8" s="136">
        <v>1.163</v>
      </c>
      <c r="K8" s="147">
        <f t="shared" si="0"/>
        <v>0</v>
      </c>
    </row>
    <row r="9" spans="2:18" x14ac:dyDescent="0.3">
      <c r="B9" s="157"/>
      <c r="C9" s="142"/>
      <c r="D9" s="136">
        <v>15</v>
      </c>
      <c r="E9" s="142"/>
      <c r="F9" s="136">
        <f t="shared" si="1"/>
        <v>55</v>
      </c>
      <c r="G9" s="136">
        <f>Building_data!$D$7</f>
        <v>163</v>
      </c>
      <c r="H9" s="136">
        <f t="shared" si="2"/>
        <v>45</v>
      </c>
      <c r="I9" s="136">
        <f t="shared" si="3"/>
        <v>202</v>
      </c>
      <c r="J9" s="136">
        <v>1.163</v>
      </c>
      <c r="K9" s="147">
        <f t="shared" si="0"/>
        <v>0</v>
      </c>
    </row>
    <row r="10" spans="2:18" x14ac:dyDescent="0.3">
      <c r="B10" s="157"/>
      <c r="C10" s="142"/>
      <c r="D10" s="136">
        <v>15</v>
      </c>
      <c r="E10" s="142"/>
      <c r="F10" s="136">
        <f t="shared" si="1"/>
        <v>55</v>
      </c>
      <c r="G10" s="136">
        <f>Building_data!$D$7</f>
        <v>163</v>
      </c>
      <c r="H10" s="136">
        <f t="shared" si="2"/>
        <v>45</v>
      </c>
      <c r="I10" s="136">
        <f t="shared" si="3"/>
        <v>202</v>
      </c>
      <c r="J10" s="136">
        <v>1.163</v>
      </c>
      <c r="K10" s="147">
        <f t="shared" si="0"/>
        <v>0</v>
      </c>
    </row>
    <row r="11" spans="2:18" x14ac:dyDescent="0.3">
      <c r="B11" s="157"/>
      <c r="C11" s="142"/>
      <c r="D11" s="136">
        <v>15</v>
      </c>
      <c r="E11" s="142"/>
      <c r="F11" s="136">
        <f t="shared" si="1"/>
        <v>55</v>
      </c>
      <c r="G11" s="136">
        <f>Building_data!$D$7</f>
        <v>163</v>
      </c>
      <c r="H11" s="136">
        <f t="shared" si="2"/>
        <v>45</v>
      </c>
      <c r="I11" s="136">
        <f t="shared" si="3"/>
        <v>202</v>
      </c>
      <c r="J11" s="136">
        <v>1.163</v>
      </c>
      <c r="K11" s="147">
        <f t="shared" si="0"/>
        <v>0</v>
      </c>
    </row>
    <row r="12" spans="2:18" x14ac:dyDescent="0.3">
      <c r="B12" s="157"/>
      <c r="C12" s="142"/>
      <c r="D12" s="136">
        <v>15</v>
      </c>
      <c r="E12" s="142"/>
      <c r="F12" s="136">
        <f t="shared" si="1"/>
        <v>55</v>
      </c>
      <c r="G12" s="136">
        <f>Building_data!$D$7</f>
        <v>163</v>
      </c>
      <c r="H12" s="136">
        <f t="shared" si="2"/>
        <v>45</v>
      </c>
      <c r="I12" s="136">
        <f t="shared" si="3"/>
        <v>202</v>
      </c>
      <c r="J12" s="136">
        <v>1.163</v>
      </c>
      <c r="K12" s="147">
        <f t="shared" si="0"/>
        <v>0</v>
      </c>
    </row>
    <row r="13" spans="2:18" x14ac:dyDescent="0.3">
      <c r="B13" s="157"/>
      <c r="C13" s="142"/>
      <c r="D13" s="136">
        <v>15</v>
      </c>
      <c r="E13" s="142"/>
      <c r="F13" s="136">
        <f t="shared" si="1"/>
        <v>55</v>
      </c>
      <c r="G13" s="136">
        <f>Building_data!$D$7</f>
        <v>163</v>
      </c>
      <c r="H13" s="136">
        <f t="shared" si="2"/>
        <v>45</v>
      </c>
      <c r="I13" s="136">
        <f t="shared" si="3"/>
        <v>202</v>
      </c>
      <c r="J13" s="136">
        <v>1.163</v>
      </c>
      <c r="K13" s="147">
        <f t="shared" si="0"/>
        <v>0</v>
      </c>
    </row>
    <row r="14" spans="2:18" x14ac:dyDescent="0.3">
      <c r="B14" s="157"/>
      <c r="C14" s="142"/>
      <c r="D14" s="136">
        <v>15</v>
      </c>
      <c r="E14" s="142"/>
      <c r="F14" s="136">
        <f t="shared" si="1"/>
        <v>55</v>
      </c>
      <c r="G14" s="136">
        <f>Building_data!$D$7</f>
        <v>163</v>
      </c>
      <c r="H14" s="136">
        <f t="shared" si="2"/>
        <v>45</v>
      </c>
      <c r="I14" s="136">
        <f t="shared" si="3"/>
        <v>202</v>
      </c>
      <c r="J14" s="136">
        <v>1.163</v>
      </c>
      <c r="K14" s="147">
        <f t="shared" si="0"/>
        <v>0</v>
      </c>
    </row>
    <row r="15" spans="2:18" x14ac:dyDescent="0.3">
      <c r="B15" s="157"/>
      <c r="C15" s="142"/>
      <c r="D15" s="136">
        <v>15</v>
      </c>
      <c r="E15" s="142"/>
      <c r="F15" s="136">
        <f t="shared" si="1"/>
        <v>55</v>
      </c>
      <c r="G15" s="136">
        <f>Building_data!$D$7</f>
        <v>163</v>
      </c>
      <c r="H15" s="136">
        <f t="shared" si="2"/>
        <v>45</v>
      </c>
      <c r="I15" s="136">
        <f t="shared" si="3"/>
        <v>202</v>
      </c>
      <c r="J15" s="136">
        <v>1.163</v>
      </c>
      <c r="K15" s="147">
        <f t="shared" si="0"/>
        <v>0</v>
      </c>
    </row>
    <row r="16" spans="2:18" x14ac:dyDescent="0.3">
      <c r="B16" s="749" t="s">
        <v>298</v>
      </c>
      <c r="C16" s="749"/>
      <c r="D16" s="749"/>
      <c r="E16" s="749"/>
      <c r="F16" s="749"/>
      <c r="G16" s="749"/>
      <c r="H16" s="749"/>
      <c r="I16" s="749"/>
      <c r="J16" s="749"/>
      <c r="K16" s="148">
        <f>SUM(IF(C5="Electrical energy",K5,"0"),IF(C6="Electrical energy",K6,"0"),IF(C7="Electrical energy",K7,"0"),IF(C8="Electrical energy",K8,"0"),IF(C9="Electrical energy",K9,"0"),IF(C10="Electrical energy",K10,"0"),IF(C11="Electrical energy",K11,"0"),IF(C12="Electrical energy",K12,"0"),IF(C13="Electrical energy",K13,"0"),IF(C14="Electrical energy",K14,"0"),IF(C15="Electrical energy",K15,"0"))</f>
        <v>4094.6031750000002</v>
      </c>
    </row>
    <row r="17" spans="2:11" x14ac:dyDescent="0.3">
      <c r="B17" s="749" t="s">
        <v>299</v>
      </c>
      <c r="C17" s="749"/>
      <c r="D17" s="749"/>
      <c r="E17" s="749"/>
      <c r="F17" s="749"/>
      <c r="G17" s="749"/>
      <c r="H17" s="749"/>
      <c r="I17" s="749"/>
      <c r="J17" s="749"/>
      <c r="K17" s="148">
        <f>SUM(IF(C5="Other energy",K5,"0"),IF(C6="Other energy",K6,"0"),IF(C7="Other energy",K7,"0"),IF(C8="Other energy",K8,"0"),IF(C9="Other energy",K9,"0"),IF(C10="Other energy",K10,"0"),IF(C11="Other energy",K11,"0"),IF(C12="Other energy",K12,"0"),IF(C13="Other energy",K13,"0"),IF(C14="Other energy",K14,"0"),IF(C15="Other energy",K15,"0"))</f>
        <v>0</v>
      </c>
    </row>
    <row r="18" spans="2:11" x14ac:dyDescent="0.3">
      <c r="B18" s="750" t="s">
        <v>300</v>
      </c>
      <c r="C18" s="750"/>
      <c r="D18" s="750"/>
      <c r="E18" s="750"/>
      <c r="F18" s="750"/>
      <c r="G18" s="750"/>
      <c r="H18" s="750"/>
      <c r="I18" s="750"/>
      <c r="J18" s="750"/>
      <c r="K18" s="412">
        <f>SUM(K5:K15)</f>
        <v>4094.6031750000002</v>
      </c>
    </row>
    <row r="20" spans="2:11" x14ac:dyDescent="0.3">
      <c r="B20" t="s">
        <v>835</v>
      </c>
    </row>
    <row r="21" spans="2:11" x14ac:dyDescent="0.3">
      <c r="B21" s="654" t="s">
        <v>279</v>
      </c>
      <c r="C21" s="654" t="s">
        <v>280</v>
      </c>
      <c r="D21" s="654" t="s">
        <v>286</v>
      </c>
      <c r="E21" s="654" t="s">
        <v>282</v>
      </c>
      <c r="F21" s="654" t="s">
        <v>49</v>
      </c>
      <c r="G21" s="654"/>
      <c r="H21" s="654" t="s">
        <v>284</v>
      </c>
      <c r="I21" s="654"/>
      <c r="J21" s="654" t="s">
        <v>158</v>
      </c>
      <c r="K21" s="654" t="s">
        <v>285</v>
      </c>
    </row>
    <row r="22" spans="2:11" ht="36" x14ac:dyDescent="0.3">
      <c r="B22" s="654"/>
      <c r="C22" s="654"/>
      <c r="D22" s="654"/>
      <c r="E22" s="654"/>
      <c r="F22" s="29" t="s">
        <v>283</v>
      </c>
      <c r="G22" s="29" t="s">
        <v>297</v>
      </c>
      <c r="H22" s="29" t="s">
        <v>283</v>
      </c>
      <c r="I22" s="29" t="s">
        <v>297</v>
      </c>
      <c r="J22" s="654"/>
      <c r="K22" s="654"/>
    </row>
    <row r="23" spans="2:11" x14ac:dyDescent="0.3">
      <c r="B23" s="156" t="str">
        <f>B5</f>
        <v>ARISTON</v>
      </c>
      <c r="C23" s="156" t="str">
        <f>C5</f>
        <v>Electrical energy</v>
      </c>
      <c r="D23" s="136">
        <v>15</v>
      </c>
      <c r="E23" s="142">
        <f>E5</f>
        <v>13</v>
      </c>
      <c r="F23" s="136">
        <f>60-5</f>
        <v>55</v>
      </c>
      <c r="G23" s="136">
        <f>Building_data!$D$7</f>
        <v>163</v>
      </c>
      <c r="H23" s="136">
        <f>60-15</f>
        <v>45</v>
      </c>
      <c r="I23" s="136">
        <f>365-G23</f>
        <v>202</v>
      </c>
      <c r="J23" s="136">
        <v>1.163</v>
      </c>
      <c r="K23" s="147">
        <f t="shared" ref="K23" si="4">D23*E23*((F23*G23)+(H23*I23))*J23/1000</f>
        <v>4094.6031750000002</v>
      </c>
    </row>
    <row r="24" spans="2:11" x14ac:dyDescent="0.3">
      <c r="B24" s="156"/>
      <c r="C24" s="142"/>
      <c r="D24" s="136">
        <v>15</v>
      </c>
      <c r="E24" s="142"/>
      <c r="F24" s="136">
        <f t="shared" ref="F24:F33" si="5">60-5</f>
        <v>55</v>
      </c>
      <c r="G24" s="136">
        <f>Building_data!$D$7</f>
        <v>163</v>
      </c>
      <c r="H24" s="136">
        <f t="shared" ref="H24:H33" si="6">60-15</f>
        <v>45</v>
      </c>
      <c r="I24" s="136">
        <f t="shared" ref="I24:I33" si="7">365-G24</f>
        <v>202</v>
      </c>
      <c r="J24" s="136">
        <v>1.163</v>
      </c>
      <c r="K24" s="147">
        <v>0</v>
      </c>
    </row>
    <row r="25" spans="2:11" x14ac:dyDescent="0.3">
      <c r="B25" s="157"/>
      <c r="C25" s="142"/>
      <c r="D25" s="136">
        <v>15</v>
      </c>
      <c r="E25" s="142"/>
      <c r="F25" s="136">
        <f t="shared" si="5"/>
        <v>55</v>
      </c>
      <c r="G25" s="136">
        <f>Building_data!$D$7</f>
        <v>163</v>
      </c>
      <c r="H25" s="136">
        <f t="shared" si="6"/>
        <v>45</v>
      </c>
      <c r="I25" s="136">
        <f t="shared" si="7"/>
        <v>202</v>
      </c>
      <c r="J25" s="136">
        <v>1.163</v>
      </c>
      <c r="K25" s="147">
        <f t="shared" ref="K25:K33" si="8">D25*E25*((F25*G25)+(H25*I25))*J25/1000</f>
        <v>0</v>
      </c>
    </row>
    <row r="26" spans="2:11" x14ac:dyDescent="0.3">
      <c r="B26" s="157"/>
      <c r="C26" s="142"/>
      <c r="D26" s="136">
        <v>15</v>
      </c>
      <c r="E26" s="142"/>
      <c r="F26" s="136">
        <f t="shared" si="5"/>
        <v>55</v>
      </c>
      <c r="G26" s="136">
        <f>Building_data!$D$7</f>
        <v>163</v>
      </c>
      <c r="H26" s="136">
        <f t="shared" si="6"/>
        <v>45</v>
      </c>
      <c r="I26" s="136">
        <f t="shared" si="7"/>
        <v>202</v>
      </c>
      <c r="J26" s="136">
        <v>1.163</v>
      </c>
      <c r="K26" s="147">
        <f t="shared" si="8"/>
        <v>0</v>
      </c>
    </row>
    <row r="27" spans="2:11" x14ac:dyDescent="0.3">
      <c r="B27" s="157"/>
      <c r="C27" s="142"/>
      <c r="D27" s="136">
        <v>15</v>
      </c>
      <c r="E27" s="142"/>
      <c r="F27" s="136">
        <f t="shared" si="5"/>
        <v>55</v>
      </c>
      <c r="G27" s="136">
        <f>Building_data!$D$7</f>
        <v>163</v>
      </c>
      <c r="H27" s="136">
        <f t="shared" si="6"/>
        <v>45</v>
      </c>
      <c r="I27" s="136">
        <f t="shared" si="7"/>
        <v>202</v>
      </c>
      <c r="J27" s="136">
        <v>1.163</v>
      </c>
      <c r="K27" s="147">
        <f t="shared" si="8"/>
        <v>0</v>
      </c>
    </row>
    <row r="28" spans="2:11" x14ac:dyDescent="0.3">
      <c r="B28" s="157"/>
      <c r="C28" s="142"/>
      <c r="D28" s="136">
        <v>15</v>
      </c>
      <c r="E28" s="142"/>
      <c r="F28" s="136">
        <f t="shared" si="5"/>
        <v>55</v>
      </c>
      <c r="G28" s="136">
        <f>Building_data!$D$7</f>
        <v>163</v>
      </c>
      <c r="H28" s="136">
        <f t="shared" si="6"/>
        <v>45</v>
      </c>
      <c r="I28" s="136">
        <f t="shared" si="7"/>
        <v>202</v>
      </c>
      <c r="J28" s="136">
        <v>1.163</v>
      </c>
      <c r="K28" s="147">
        <f t="shared" si="8"/>
        <v>0</v>
      </c>
    </row>
    <row r="29" spans="2:11" x14ac:dyDescent="0.3">
      <c r="B29" s="157"/>
      <c r="C29" s="142"/>
      <c r="D29" s="136">
        <v>15</v>
      </c>
      <c r="E29" s="142"/>
      <c r="F29" s="136">
        <f t="shared" si="5"/>
        <v>55</v>
      </c>
      <c r="G29" s="136">
        <f>Building_data!$D$7</f>
        <v>163</v>
      </c>
      <c r="H29" s="136">
        <f t="shared" si="6"/>
        <v>45</v>
      </c>
      <c r="I29" s="136">
        <f t="shared" si="7"/>
        <v>202</v>
      </c>
      <c r="J29" s="136">
        <v>1.163</v>
      </c>
      <c r="K29" s="147">
        <f t="shared" si="8"/>
        <v>0</v>
      </c>
    </row>
    <row r="30" spans="2:11" x14ac:dyDescent="0.3">
      <c r="B30" s="157"/>
      <c r="C30" s="142"/>
      <c r="D30" s="136">
        <v>15</v>
      </c>
      <c r="E30" s="142"/>
      <c r="F30" s="136">
        <f t="shared" si="5"/>
        <v>55</v>
      </c>
      <c r="G30" s="136">
        <f>Building_data!$D$7</f>
        <v>163</v>
      </c>
      <c r="H30" s="136">
        <f t="shared" si="6"/>
        <v>45</v>
      </c>
      <c r="I30" s="136">
        <f t="shared" si="7"/>
        <v>202</v>
      </c>
      <c r="J30" s="136">
        <v>1.163</v>
      </c>
      <c r="K30" s="147">
        <f t="shared" si="8"/>
        <v>0</v>
      </c>
    </row>
    <row r="31" spans="2:11" x14ac:dyDescent="0.3">
      <c r="B31" s="157"/>
      <c r="C31" s="142"/>
      <c r="D31" s="136">
        <v>15</v>
      </c>
      <c r="E31" s="142"/>
      <c r="F31" s="136">
        <f t="shared" si="5"/>
        <v>55</v>
      </c>
      <c r="G31" s="136">
        <f>Building_data!$D$7</f>
        <v>163</v>
      </c>
      <c r="H31" s="136">
        <f t="shared" si="6"/>
        <v>45</v>
      </c>
      <c r="I31" s="136">
        <f t="shared" si="7"/>
        <v>202</v>
      </c>
      <c r="J31" s="136">
        <v>1.163</v>
      </c>
      <c r="K31" s="147">
        <f t="shared" si="8"/>
        <v>0</v>
      </c>
    </row>
    <row r="32" spans="2:11" x14ac:dyDescent="0.3">
      <c r="B32" s="157"/>
      <c r="C32" s="142"/>
      <c r="D32" s="136">
        <v>15</v>
      </c>
      <c r="E32" s="142"/>
      <c r="F32" s="136">
        <f t="shared" si="5"/>
        <v>55</v>
      </c>
      <c r="G32" s="136">
        <f>Building_data!$D$7</f>
        <v>163</v>
      </c>
      <c r="H32" s="136">
        <f t="shared" si="6"/>
        <v>45</v>
      </c>
      <c r="I32" s="136">
        <f t="shared" si="7"/>
        <v>202</v>
      </c>
      <c r="J32" s="136">
        <v>1.163</v>
      </c>
      <c r="K32" s="147">
        <f t="shared" si="8"/>
        <v>0</v>
      </c>
    </row>
    <row r="33" spans="2:11" x14ac:dyDescent="0.3">
      <c r="B33" s="157"/>
      <c r="C33" s="142"/>
      <c r="D33" s="136">
        <v>15</v>
      </c>
      <c r="E33" s="142"/>
      <c r="F33" s="136">
        <f t="shared" si="5"/>
        <v>55</v>
      </c>
      <c r="G33" s="136">
        <f>Building_data!$D$7</f>
        <v>163</v>
      </c>
      <c r="H33" s="136">
        <f t="shared" si="6"/>
        <v>45</v>
      </c>
      <c r="I33" s="136">
        <f t="shared" si="7"/>
        <v>202</v>
      </c>
      <c r="J33" s="136">
        <v>1.163</v>
      </c>
      <c r="K33" s="147">
        <f t="shared" si="8"/>
        <v>0</v>
      </c>
    </row>
    <row r="34" spans="2:11" x14ac:dyDescent="0.3">
      <c r="B34" s="749" t="s">
        <v>298</v>
      </c>
      <c r="C34" s="749"/>
      <c r="D34" s="749"/>
      <c r="E34" s="749"/>
      <c r="F34" s="749"/>
      <c r="G34" s="749"/>
      <c r="H34" s="749"/>
      <c r="I34" s="749"/>
      <c r="J34" s="749"/>
      <c r="K34" s="148">
        <f>SUM(IF(C23="Electrical energy",K23,"0"),IF(C24="Electrical energy",K24,"0"),IF(C25="Electrical energy",K25,"0"),IF(C26="Electrical energy",K26,"0"),IF(C27="Electrical energy",K27,"0"),IF(C28="Electrical energy",K28,"0"),IF(C29="Electrical energy",K29,"0"),IF(C30="Electrical energy",K30,"0"),IF(C31="Electrical energy",K31,"0"),IF(C32="Electrical energy",K32,"0"),IF(C33="Electrical energy",K33,"0"))</f>
        <v>4094.6031750000002</v>
      </c>
    </row>
    <row r="35" spans="2:11" x14ac:dyDescent="0.3">
      <c r="B35" s="749" t="s">
        <v>299</v>
      </c>
      <c r="C35" s="749"/>
      <c r="D35" s="749"/>
      <c r="E35" s="749"/>
      <c r="F35" s="749"/>
      <c r="G35" s="749"/>
      <c r="H35" s="749"/>
      <c r="I35" s="749"/>
      <c r="J35" s="749"/>
      <c r="K35" s="148">
        <f>SUM(IF(C23="Other energy",K23,"0"),IF(C24="Other energy",K24,"0"),IF(C25="Other energy",K25,"0"),IF(C26="Other energy",K26,"0"),IF(C27="Other energy",K27,"0"),IF(C28="Other energy",K28,"0"),IF(C29="Other energy",K29,"0"),IF(C30="Other energy",K30,"0"),IF(C31="Other energy",K31,"0"),IF(C32="Other energy",K32,"0"),IF(C33="Other energy",K33,"0"))</f>
        <v>0</v>
      </c>
    </row>
    <row r="36" spans="2:11" x14ac:dyDescent="0.3">
      <c r="B36" s="750" t="s">
        <v>300</v>
      </c>
      <c r="C36" s="750"/>
      <c r="D36" s="750"/>
      <c r="E36" s="750"/>
      <c r="F36" s="750"/>
      <c r="G36" s="750"/>
      <c r="H36" s="750"/>
      <c r="I36" s="750"/>
      <c r="J36" s="750"/>
      <c r="K36" s="412">
        <f>SUM(K23:K33)</f>
        <v>4094.6031750000002</v>
      </c>
    </row>
  </sheetData>
  <mergeCells count="22">
    <mergeCell ref="B36:J36"/>
    <mergeCell ref="H21:I21"/>
    <mergeCell ref="J21:J22"/>
    <mergeCell ref="K21:K22"/>
    <mergeCell ref="B34:J34"/>
    <mergeCell ref="B35:J35"/>
    <mergeCell ref="B21:B22"/>
    <mergeCell ref="C21:C22"/>
    <mergeCell ref="D21:D22"/>
    <mergeCell ref="E21:E22"/>
    <mergeCell ref="F21:G21"/>
    <mergeCell ref="K3:K4"/>
    <mergeCell ref="B16:J16"/>
    <mergeCell ref="B17:J17"/>
    <mergeCell ref="B18:J18"/>
    <mergeCell ref="B3:B4"/>
    <mergeCell ref="F3:G3"/>
    <mergeCell ref="H3:I3"/>
    <mergeCell ref="E3:E4"/>
    <mergeCell ref="J3:J4"/>
    <mergeCell ref="D3:D4"/>
    <mergeCell ref="C3:C4"/>
  </mergeCells>
  <dataValidations count="1">
    <dataValidation type="list" allowBlank="1" showInputMessage="1" showErrorMessage="1" sqref="C5:C15 C24:C33" xr:uid="{00000000-0002-0000-0C00-000000000000}">
      <formula1>$R$3:$R$5</formula1>
    </dataValidation>
  </dataValidations>
  <pageMargins left="0.7" right="0.7" top="0.75" bottom="0.75"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B3:W43"/>
  <sheetViews>
    <sheetView zoomScale="115" zoomScaleNormal="115" workbookViewId="0">
      <selection activeCell="P33" sqref="P33"/>
    </sheetView>
  </sheetViews>
  <sheetFormatPr defaultRowHeight="14.4" x14ac:dyDescent="0.3"/>
  <cols>
    <col min="14" max="14" width="35.5546875" customWidth="1"/>
  </cols>
  <sheetData>
    <row r="3" spans="2:23" x14ac:dyDescent="0.3">
      <c r="B3" s="724"/>
      <c r="C3" s="654" t="s">
        <v>193</v>
      </c>
      <c r="D3" s="697" t="s">
        <v>194</v>
      </c>
      <c r="E3" s="654" t="s">
        <v>201</v>
      </c>
      <c r="F3" s="654" t="s">
        <v>195</v>
      </c>
      <c r="G3" s="654" t="s">
        <v>196</v>
      </c>
      <c r="H3" s="654" t="s">
        <v>197</v>
      </c>
      <c r="I3" s="654" t="s">
        <v>198</v>
      </c>
      <c r="J3" s="654" t="s">
        <v>199</v>
      </c>
      <c r="K3" s="654" t="s">
        <v>200</v>
      </c>
      <c r="L3" s="652" t="s">
        <v>174</v>
      </c>
    </row>
    <row r="4" spans="2:23" ht="15" thickBot="1" x14ac:dyDescent="0.35">
      <c r="B4" s="724"/>
      <c r="C4" s="654"/>
      <c r="D4" s="739"/>
      <c r="E4" s="654"/>
      <c r="F4" s="654"/>
      <c r="G4" s="654"/>
      <c r="H4" s="654"/>
      <c r="I4" s="654"/>
      <c r="J4" s="654"/>
      <c r="K4" s="654"/>
      <c r="L4" s="652"/>
      <c r="P4" s="115" t="s">
        <v>183</v>
      </c>
    </row>
    <row r="5" spans="2:23" x14ac:dyDescent="0.3">
      <c r="B5" s="724"/>
      <c r="C5" s="654"/>
      <c r="D5" s="698"/>
      <c r="E5" s="654"/>
      <c r="F5" s="654"/>
      <c r="G5" s="654"/>
      <c r="H5" s="654"/>
      <c r="I5" s="654"/>
      <c r="J5" s="654"/>
      <c r="K5" s="654"/>
      <c r="L5" s="652"/>
      <c r="P5" s="727" t="s">
        <v>182</v>
      </c>
      <c r="Q5" s="730" t="s">
        <v>184</v>
      </c>
      <c r="R5" s="731"/>
      <c r="S5" s="731"/>
      <c r="T5" s="731"/>
      <c r="U5" s="732"/>
    </row>
    <row r="6" spans="2:23" x14ac:dyDescent="0.3">
      <c r="B6" s="700" t="s">
        <v>202</v>
      </c>
      <c r="C6" s="36"/>
      <c r="D6" s="35"/>
      <c r="E6" s="35"/>
      <c r="F6" s="88"/>
      <c r="G6" s="16"/>
      <c r="H6" s="16"/>
      <c r="I6" s="16"/>
      <c r="J6" s="16"/>
      <c r="K6" s="16"/>
      <c r="L6" s="14"/>
      <c r="P6" s="728"/>
      <c r="Q6" s="733"/>
      <c r="R6" s="734"/>
      <c r="S6" s="734"/>
      <c r="T6" s="734"/>
      <c r="U6" s="735"/>
    </row>
    <row r="7" spans="2:23" ht="15" thickBot="1" x14ac:dyDescent="0.35">
      <c r="B7" s="700"/>
      <c r="C7" s="197"/>
      <c r="D7" s="35"/>
      <c r="E7" s="35"/>
      <c r="F7" s="88"/>
      <c r="G7" s="16"/>
      <c r="H7" s="16"/>
      <c r="I7" s="16"/>
      <c r="J7" s="16"/>
      <c r="K7" s="16"/>
      <c r="L7" s="14"/>
      <c r="P7" s="728"/>
      <c r="Q7" s="736"/>
      <c r="R7" s="737"/>
      <c r="S7" s="737"/>
      <c r="T7" s="737"/>
      <c r="U7" s="738"/>
    </row>
    <row r="8" spans="2:23" ht="15" thickBot="1" x14ac:dyDescent="0.35">
      <c r="B8" s="700"/>
      <c r="C8" s="197"/>
      <c r="D8" s="35"/>
      <c r="E8" s="35"/>
      <c r="F8" s="88"/>
      <c r="G8" s="16"/>
      <c r="H8" s="16"/>
      <c r="I8" s="16"/>
      <c r="J8" s="16"/>
      <c r="K8" s="16"/>
      <c r="L8" s="14"/>
      <c r="P8" s="729"/>
      <c r="Q8" s="102" t="s">
        <v>190</v>
      </c>
      <c r="R8" s="103" t="s">
        <v>773</v>
      </c>
      <c r="S8" s="104">
        <v>70</v>
      </c>
      <c r="T8" s="103">
        <v>80</v>
      </c>
      <c r="U8" s="105" t="s">
        <v>191</v>
      </c>
      <c r="W8" s="103">
        <v>60</v>
      </c>
    </row>
    <row r="9" spans="2:23" x14ac:dyDescent="0.3">
      <c r="B9" s="700"/>
      <c r="C9" s="197"/>
      <c r="D9" s="35"/>
      <c r="E9" s="35"/>
      <c r="F9" s="88"/>
      <c r="G9" s="16"/>
      <c r="H9" s="16"/>
      <c r="I9" s="16" t="str">
        <f t="shared" ref="I9:I11" si="0">IFERROR(VLOOKUP(D9,$P$17:$Q$19,2,FALSE),"")</f>
        <v/>
      </c>
      <c r="J9" s="16" t="str">
        <f t="shared" ref="J9:J11" si="1">IFERROR(VLOOKUP(D9,$P$9:$R$11,3,FALSE),"")</f>
        <v/>
      </c>
      <c r="K9" s="16"/>
      <c r="L9" s="14"/>
      <c r="P9" s="106" t="s">
        <v>185</v>
      </c>
      <c r="Q9" s="107">
        <v>7</v>
      </c>
      <c r="R9" s="417">
        <f>W9/75*'DHW generation'!$D$5</f>
        <v>2.2000000000000002</v>
      </c>
      <c r="S9" s="107">
        <v>13</v>
      </c>
      <c r="T9" s="106">
        <v>14</v>
      </c>
      <c r="U9" s="108">
        <v>16</v>
      </c>
      <c r="W9" s="106">
        <v>11</v>
      </c>
    </row>
    <row r="10" spans="2:23" x14ac:dyDescent="0.3">
      <c r="B10" s="700"/>
      <c r="C10" s="751"/>
      <c r="D10" s="35"/>
      <c r="E10" s="35"/>
      <c r="F10" s="88"/>
      <c r="G10" s="16"/>
      <c r="H10" s="16"/>
      <c r="I10" s="16" t="str">
        <f t="shared" si="0"/>
        <v/>
      </c>
      <c r="J10" s="16" t="str">
        <f t="shared" si="1"/>
        <v/>
      </c>
      <c r="K10" s="16"/>
      <c r="L10" s="14"/>
      <c r="M10" s="149"/>
      <c r="P10" s="109" t="s">
        <v>186</v>
      </c>
      <c r="Q10" s="110">
        <v>10</v>
      </c>
      <c r="R10" s="417">
        <f>W10/75*'DHW generation'!$D$5</f>
        <v>2.8000000000000003</v>
      </c>
      <c r="S10" s="110">
        <v>16</v>
      </c>
      <c r="T10" s="109">
        <v>18</v>
      </c>
      <c r="U10" s="111">
        <v>21</v>
      </c>
      <c r="W10" s="109">
        <v>14</v>
      </c>
    </row>
    <row r="11" spans="2:23" ht="15" thickBot="1" x14ac:dyDescent="0.35">
      <c r="B11" s="700"/>
      <c r="C11" s="751"/>
      <c r="D11" s="35"/>
      <c r="E11" s="35"/>
      <c r="F11" s="88"/>
      <c r="G11" s="16"/>
      <c r="H11" s="16"/>
      <c r="I11" s="16" t="str">
        <f t="shared" si="0"/>
        <v/>
      </c>
      <c r="J11" s="16" t="str">
        <f t="shared" si="1"/>
        <v/>
      </c>
      <c r="K11" s="16"/>
      <c r="L11" s="14"/>
      <c r="P11" s="112" t="s">
        <v>187</v>
      </c>
      <c r="Q11" s="113">
        <v>14</v>
      </c>
      <c r="R11" s="417">
        <f>W11/75*'DHW generation'!$D$5</f>
        <v>3.8000000000000003</v>
      </c>
      <c r="S11" s="113">
        <v>22</v>
      </c>
      <c r="T11" s="112">
        <v>25</v>
      </c>
      <c r="U11" s="114">
        <v>29</v>
      </c>
      <c r="W11" s="112">
        <v>19</v>
      </c>
    </row>
    <row r="12" spans="2:23" x14ac:dyDescent="0.3">
      <c r="B12" s="700"/>
      <c r="C12" s="174" t="s">
        <v>401</v>
      </c>
      <c r="D12" s="175"/>
      <c r="E12" s="175"/>
      <c r="F12" s="175"/>
      <c r="G12" s="175"/>
      <c r="H12" s="175"/>
      <c r="I12" s="175"/>
      <c r="J12" s="175"/>
      <c r="K12" s="184"/>
      <c r="L12" s="116">
        <f>SUM(L6:L11)</f>
        <v>0</v>
      </c>
    </row>
    <row r="13" spans="2:23" x14ac:dyDescent="0.3">
      <c r="B13" s="700" t="s">
        <v>203</v>
      </c>
      <c r="C13" s="725"/>
      <c r="D13" s="35"/>
      <c r="E13" s="35"/>
      <c r="F13" s="88"/>
      <c r="G13" s="16"/>
      <c r="H13" s="16"/>
      <c r="I13" s="16"/>
      <c r="J13" s="16"/>
      <c r="K13" s="16"/>
      <c r="L13" s="14"/>
    </row>
    <row r="14" spans="2:23" ht="15" thickBot="1" x14ac:dyDescent="0.35">
      <c r="B14" s="700"/>
      <c r="C14" s="726"/>
      <c r="D14" s="35"/>
      <c r="E14" s="35"/>
      <c r="F14" s="88"/>
      <c r="G14" s="16"/>
      <c r="H14" s="16"/>
      <c r="I14" s="16"/>
      <c r="J14" s="16"/>
      <c r="K14" s="16"/>
      <c r="L14" s="14"/>
      <c r="P14" s="115" t="s">
        <v>188</v>
      </c>
    </row>
    <row r="15" spans="2:23" x14ac:dyDescent="0.3">
      <c r="B15" s="700"/>
      <c r="C15" s="197"/>
      <c r="D15" s="35"/>
      <c r="E15" s="35"/>
      <c r="F15" s="88"/>
      <c r="G15" s="16"/>
      <c r="H15" s="16"/>
      <c r="I15" s="16"/>
      <c r="J15" s="16"/>
      <c r="K15" s="16"/>
      <c r="L15" s="14"/>
      <c r="P15" s="742" t="s">
        <v>182</v>
      </c>
      <c r="Q15" s="742" t="s">
        <v>772</v>
      </c>
      <c r="R15" s="742" t="s">
        <v>759</v>
      </c>
      <c r="S15" s="117"/>
      <c r="T15" s="118"/>
    </row>
    <row r="16" spans="2:23" ht="15" thickBot="1" x14ac:dyDescent="0.35">
      <c r="B16" s="700"/>
      <c r="C16" s="197"/>
      <c r="D16" s="35"/>
      <c r="E16" s="35"/>
      <c r="F16" s="88"/>
      <c r="G16" s="16"/>
      <c r="H16" s="16"/>
      <c r="I16" s="16"/>
      <c r="J16" s="16"/>
      <c r="K16" s="16"/>
      <c r="L16" s="14"/>
      <c r="P16" s="743"/>
      <c r="Q16" s="743"/>
      <c r="R16" s="743"/>
      <c r="S16" s="117"/>
    </row>
    <row r="17" spans="2:21" x14ac:dyDescent="0.3">
      <c r="B17" s="700"/>
      <c r="C17" s="751"/>
      <c r="D17" s="35"/>
      <c r="E17" s="35"/>
      <c r="F17" s="88"/>
      <c r="G17" s="16"/>
      <c r="H17" s="16"/>
      <c r="I17" s="16"/>
      <c r="J17" s="16"/>
      <c r="K17" s="16"/>
      <c r="L17" s="14"/>
      <c r="M17" s="149"/>
      <c r="P17" s="124" t="s">
        <v>185</v>
      </c>
      <c r="Q17" s="418">
        <f>R17/75*'DHW generation'!$D$5</f>
        <v>9.4</v>
      </c>
      <c r="R17" s="125">
        <v>47</v>
      </c>
      <c r="S17" s="119"/>
    </row>
    <row r="18" spans="2:21" x14ac:dyDescent="0.3">
      <c r="B18" s="700"/>
      <c r="C18" s="751"/>
      <c r="D18" s="35"/>
      <c r="E18" s="35"/>
      <c r="F18" s="88"/>
      <c r="G18" s="16"/>
      <c r="H18" s="16"/>
      <c r="I18" s="16"/>
      <c r="J18" s="16"/>
      <c r="K18" s="16"/>
      <c r="L18" s="14"/>
      <c r="P18" s="120" t="s">
        <v>186</v>
      </c>
      <c r="Q18" s="418">
        <f>R18/75*'DHW generation'!$D$5</f>
        <v>14.8</v>
      </c>
      <c r="R18" s="122">
        <v>74</v>
      </c>
      <c r="S18" s="119"/>
    </row>
    <row r="19" spans="2:21" ht="15" thickBot="1" x14ac:dyDescent="0.35">
      <c r="B19" s="700"/>
      <c r="C19" s="174" t="s">
        <v>402</v>
      </c>
      <c r="D19" s="175"/>
      <c r="E19" s="175"/>
      <c r="F19" s="175"/>
      <c r="G19" s="175"/>
      <c r="H19" s="175"/>
      <c r="I19" s="175"/>
      <c r="J19" s="175"/>
      <c r="K19" s="184"/>
      <c r="L19" s="116">
        <f>SUM(L13:L18)</f>
        <v>0</v>
      </c>
      <c r="P19" s="121" t="s">
        <v>187</v>
      </c>
      <c r="Q19" s="418">
        <f>R19/75*'DHW generation'!$D$5</f>
        <v>28</v>
      </c>
      <c r="R19" s="123">
        <v>140</v>
      </c>
      <c r="S19" s="119"/>
    </row>
    <row r="20" spans="2:21" x14ac:dyDescent="0.3">
      <c r="B20" s="174" t="s">
        <v>403</v>
      </c>
      <c r="C20" s="175"/>
      <c r="D20" s="175"/>
      <c r="E20" s="175"/>
      <c r="F20" s="175"/>
      <c r="G20" s="175"/>
      <c r="H20" s="175"/>
      <c r="I20" s="175"/>
      <c r="J20" s="175"/>
      <c r="K20" s="184"/>
      <c r="L20" s="116">
        <f>L12-L19</f>
        <v>0</v>
      </c>
    </row>
    <row r="26" spans="2:21" ht="15" thickBot="1" x14ac:dyDescent="0.35">
      <c r="P26" t="s">
        <v>431</v>
      </c>
    </row>
    <row r="27" spans="2:21" ht="36" x14ac:dyDescent="0.3">
      <c r="P27" s="200" t="s">
        <v>430</v>
      </c>
      <c r="Q27" s="200" t="s">
        <v>915</v>
      </c>
      <c r="R27" s="200" t="s">
        <v>890</v>
      </c>
      <c r="S27" s="200" t="s">
        <v>916</v>
      </c>
      <c r="T27" s="200" t="s">
        <v>891</v>
      </c>
      <c r="U27" s="200" t="s">
        <v>917</v>
      </c>
    </row>
    <row r="28" spans="2:21" x14ac:dyDescent="0.3">
      <c r="P28" s="106" t="s">
        <v>185</v>
      </c>
      <c r="Q28" s="107">
        <v>3</v>
      </c>
      <c r="R28" s="107">
        <f>Q28/2</f>
        <v>1.5</v>
      </c>
      <c r="S28" s="107">
        <v>2</v>
      </c>
      <c r="T28" s="203">
        <f>(S28+R28+Q28)/3</f>
        <v>2.1666666666666665</v>
      </c>
      <c r="U28" s="204">
        <f>T28+S28+R28+Q28</f>
        <v>8.6666666666666661</v>
      </c>
    </row>
    <row r="29" spans="2:21" x14ac:dyDescent="0.3">
      <c r="P29" s="109" t="s">
        <v>186</v>
      </c>
      <c r="Q29" s="107">
        <v>7</v>
      </c>
      <c r="R29" s="107">
        <f t="shared" ref="R29:R30" si="2">Q29/2</f>
        <v>3.5</v>
      </c>
      <c r="S29" s="107">
        <v>4</v>
      </c>
      <c r="T29" s="203">
        <f t="shared" ref="T29:T30" si="3">(S29+R29+Q29)/3</f>
        <v>4.833333333333333</v>
      </c>
      <c r="U29" s="204">
        <f t="shared" ref="U29:U30" si="4">T29+S29+R29+Q29</f>
        <v>19.333333333333332</v>
      </c>
    </row>
    <row r="30" spans="2:21" ht="15" thickBot="1" x14ac:dyDescent="0.35">
      <c r="P30" s="112" t="s">
        <v>187</v>
      </c>
      <c r="Q30" s="107">
        <v>24</v>
      </c>
      <c r="R30" s="107">
        <f t="shared" si="2"/>
        <v>12</v>
      </c>
      <c r="S30" s="107">
        <v>10</v>
      </c>
      <c r="T30" s="203">
        <f t="shared" si="3"/>
        <v>15.333333333333334</v>
      </c>
      <c r="U30" s="204">
        <f t="shared" si="4"/>
        <v>61.333333333333336</v>
      </c>
    </row>
    <row r="31" spans="2:21" x14ac:dyDescent="0.3">
      <c r="M31" s="202" t="s">
        <v>428</v>
      </c>
    </row>
    <row r="32" spans="2:21" ht="24" x14ac:dyDescent="0.3">
      <c r="M32" s="29" t="s">
        <v>432</v>
      </c>
      <c r="N32" s="29" t="s">
        <v>1</v>
      </c>
      <c r="O32" s="29" t="s">
        <v>918</v>
      </c>
      <c r="P32" s="29" t="s">
        <v>433</v>
      </c>
      <c r="Q32" s="29" t="s">
        <v>892</v>
      </c>
    </row>
    <row r="33" spans="13:17" ht="36" x14ac:dyDescent="0.3">
      <c r="M33" s="205" t="s">
        <v>434</v>
      </c>
      <c r="N33" s="205" t="s">
        <v>437</v>
      </c>
      <c r="O33" s="13">
        <v>15</v>
      </c>
      <c r="P33" s="35"/>
      <c r="Q33" s="13">
        <f>O33*P33</f>
        <v>0</v>
      </c>
    </row>
    <row r="34" spans="13:17" ht="36" x14ac:dyDescent="0.3">
      <c r="M34" s="205" t="s">
        <v>435</v>
      </c>
      <c r="N34" s="205" t="s">
        <v>438</v>
      </c>
      <c r="O34" s="13">
        <v>28</v>
      </c>
      <c r="P34" s="35"/>
      <c r="Q34" s="13">
        <f t="shared" ref="Q34:Q35" si="5">O34*P34</f>
        <v>0</v>
      </c>
    </row>
    <row r="35" spans="13:17" ht="48" x14ac:dyDescent="0.3">
      <c r="M35" s="205" t="s">
        <v>436</v>
      </c>
      <c r="N35" s="205" t="s">
        <v>439</v>
      </c>
      <c r="O35" s="13">
        <f>U30</f>
        <v>61.333333333333336</v>
      </c>
      <c r="P35" s="35"/>
      <c r="Q35" s="13">
        <f t="shared" si="5"/>
        <v>0</v>
      </c>
    </row>
    <row r="36" spans="13:17" x14ac:dyDescent="0.3">
      <c r="M36" s="752" t="s">
        <v>429</v>
      </c>
      <c r="N36" s="752"/>
      <c r="O36" s="752"/>
      <c r="P36" s="753"/>
      <c r="Q36" s="13">
        <f>SUM(Q33:Q35)*0.5</f>
        <v>0</v>
      </c>
    </row>
    <row r="37" spans="13:17" x14ac:dyDescent="0.3">
      <c r="M37" s="752" t="s">
        <v>725</v>
      </c>
      <c r="N37" s="752"/>
      <c r="O37" s="752"/>
      <c r="P37" s="753"/>
      <c r="Q37" s="13">
        <f>SUM(Q33:Q36)*0.2</f>
        <v>0</v>
      </c>
    </row>
    <row r="38" spans="13:17" x14ac:dyDescent="0.3">
      <c r="M38" s="234" t="s">
        <v>726</v>
      </c>
      <c r="N38" s="234"/>
      <c r="O38" s="234"/>
      <c r="P38" s="234"/>
      <c r="Q38" s="206">
        <f>SUM(Q33:Q37)</f>
        <v>0</v>
      </c>
    </row>
    <row r="40" spans="13:17" x14ac:dyDescent="0.3">
      <c r="M40" s="740" t="s">
        <v>469</v>
      </c>
      <c r="N40" s="741"/>
      <c r="O40" s="741"/>
      <c r="P40" s="741"/>
      <c r="Q40" s="741"/>
    </row>
    <row r="41" spans="13:17" x14ac:dyDescent="0.3">
      <c r="M41" s="741"/>
      <c r="N41" s="741"/>
      <c r="O41" s="741"/>
      <c r="P41" s="741"/>
      <c r="Q41" s="741"/>
    </row>
    <row r="42" spans="13:17" x14ac:dyDescent="0.3">
      <c r="M42" s="741"/>
      <c r="N42" s="741"/>
      <c r="O42" s="741"/>
      <c r="P42" s="741"/>
      <c r="Q42" s="741"/>
    </row>
    <row r="43" spans="13:17" ht="49.35" customHeight="1" x14ac:dyDescent="0.3">
      <c r="M43" s="741"/>
      <c r="N43" s="741"/>
      <c r="O43" s="741"/>
      <c r="P43" s="741"/>
      <c r="Q43" s="741"/>
    </row>
  </sheetData>
  <mergeCells count="24">
    <mergeCell ref="M40:Q43"/>
    <mergeCell ref="P5:P8"/>
    <mergeCell ref="Q5:U7"/>
    <mergeCell ref="P15:P16"/>
    <mergeCell ref="Q15:Q16"/>
    <mergeCell ref="M37:P37"/>
    <mergeCell ref="M36:P36"/>
    <mergeCell ref="R15:R16"/>
    <mergeCell ref="J3:J5"/>
    <mergeCell ref="K3:K5"/>
    <mergeCell ref="L3:L5"/>
    <mergeCell ref="C17:C18"/>
    <mergeCell ref="B13:B19"/>
    <mergeCell ref="B6:B12"/>
    <mergeCell ref="C10:C11"/>
    <mergeCell ref="I3:I5"/>
    <mergeCell ref="B3:B5"/>
    <mergeCell ref="C3:C5"/>
    <mergeCell ref="F3:F5"/>
    <mergeCell ref="G3:G5"/>
    <mergeCell ref="H3:H5"/>
    <mergeCell ref="D3:D5"/>
    <mergeCell ref="E3:E5"/>
    <mergeCell ref="C13:C14"/>
  </mergeCells>
  <dataValidations count="1">
    <dataValidation type="list" allowBlank="1" showInputMessage="1" showErrorMessage="1" sqref="D6:D11 D13:D18" xr:uid="{00000000-0002-0000-0D00-000000000000}">
      <formula1>$P$17:$P$19</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B3:E21"/>
  <sheetViews>
    <sheetView zoomScale="115" zoomScaleNormal="115" workbookViewId="0">
      <selection activeCell="C21" sqref="C21"/>
    </sheetView>
  </sheetViews>
  <sheetFormatPr defaultRowHeight="14.4" x14ac:dyDescent="0.3"/>
  <cols>
    <col min="2" max="2" width="35.44140625" customWidth="1"/>
  </cols>
  <sheetData>
    <row r="3" spans="2:5" x14ac:dyDescent="0.3">
      <c r="B3" s="176" t="s">
        <v>836</v>
      </c>
    </row>
    <row r="4" spans="2:5" ht="29.1" customHeight="1" x14ac:dyDescent="0.3">
      <c r="B4" s="703" t="s">
        <v>495</v>
      </c>
      <c r="C4" s="705"/>
    </row>
    <row r="5" spans="2:5" x14ac:dyDescent="0.3">
      <c r="B5" s="205" t="s">
        <v>498</v>
      </c>
      <c r="C5" s="368"/>
      <c r="D5" s="430"/>
    </row>
    <row r="6" spans="2:5" x14ac:dyDescent="0.3">
      <c r="B6" s="205" t="s">
        <v>499</v>
      </c>
      <c r="C6" s="368"/>
    </row>
    <row r="7" spans="2:5" x14ac:dyDescent="0.3">
      <c r="B7" s="205" t="s">
        <v>500</v>
      </c>
      <c r="C7" s="368"/>
    </row>
    <row r="8" spans="2:5" x14ac:dyDescent="0.3">
      <c r="B8" s="240" t="s">
        <v>496</v>
      </c>
      <c r="C8" s="206"/>
      <c r="E8" s="149"/>
    </row>
    <row r="10" spans="2:5" ht="21.6" customHeight="1" x14ac:dyDescent="0.3">
      <c r="B10" s="239" t="s">
        <v>503</v>
      </c>
      <c r="C10" s="233" t="s">
        <v>501</v>
      </c>
    </row>
    <row r="11" spans="2:5" ht="24" x14ac:dyDescent="0.3">
      <c r="B11" s="238" t="s">
        <v>505</v>
      </c>
      <c r="C11" s="13">
        <f>C5*25</f>
        <v>0</v>
      </c>
    </row>
    <row r="12" spans="2:5" ht="24" x14ac:dyDescent="0.3">
      <c r="B12" s="205" t="s">
        <v>506</v>
      </c>
      <c r="C12" s="13">
        <f>C6*25</f>
        <v>0</v>
      </c>
    </row>
    <row r="13" spans="2:5" ht="24" x14ac:dyDescent="0.3">
      <c r="B13" s="205" t="s">
        <v>507</v>
      </c>
      <c r="C13" s="13">
        <f>C7*25</f>
        <v>0</v>
      </c>
    </row>
    <row r="14" spans="2:5" ht="36" x14ac:dyDescent="0.3">
      <c r="B14" s="205" t="s">
        <v>508</v>
      </c>
      <c r="C14" s="13">
        <f>(C11/100)*60*2</f>
        <v>0</v>
      </c>
    </row>
    <row r="15" spans="2:5" ht="36" x14ac:dyDescent="0.3">
      <c r="B15" s="205" t="s">
        <v>509</v>
      </c>
      <c r="C15" s="13">
        <f>(C12/100)*60*2</f>
        <v>0</v>
      </c>
    </row>
    <row r="16" spans="2:5" ht="32.1" customHeight="1" x14ac:dyDescent="0.3">
      <c r="B16" s="205" t="s">
        <v>510</v>
      </c>
      <c r="C16" s="13">
        <f>(C13/100)*60*2</f>
        <v>0</v>
      </c>
    </row>
    <row r="17" spans="2:3" x14ac:dyDescent="0.3">
      <c r="B17" s="205" t="s">
        <v>502</v>
      </c>
      <c r="C17" s="13">
        <v>0</v>
      </c>
    </row>
    <row r="18" spans="2:3" ht="24" x14ac:dyDescent="0.3">
      <c r="B18" s="205" t="s">
        <v>504</v>
      </c>
      <c r="C18" s="13">
        <f>(C11+C12+C13)*0.05</f>
        <v>0</v>
      </c>
    </row>
    <row r="19" spans="2:3" x14ac:dyDescent="0.3">
      <c r="B19" s="205" t="s">
        <v>446</v>
      </c>
      <c r="C19" s="13">
        <v>0</v>
      </c>
    </row>
    <row r="20" spans="2:3" x14ac:dyDescent="0.3">
      <c r="B20" s="205" t="s">
        <v>429</v>
      </c>
      <c r="C20" s="13">
        <f>(SUM(C11:C19))*0.1</f>
        <v>0</v>
      </c>
    </row>
    <row r="21" spans="2:3" x14ac:dyDescent="0.3">
      <c r="B21" s="205" t="s">
        <v>0</v>
      </c>
      <c r="C21" s="206">
        <v>22770</v>
      </c>
    </row>
  </sheetData>
  <mergeCells count="1">
    <mergeCell ref="B4:C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4:X53"/>
  <sheetViews>
    <sheetView topLeftCell="A9" zoomScale="89" zoomScaleNormal="100" workbookViewId="0">
      <selection activeCell="R11" sqref="R11"/>
    </sheetView>
  </sheetViews>
  <sheetFormatPr defaultRowHeight="14.4" x14ac:dyDescent="0.3"/>
  <cols>
    <col min="1" max="1" width="4" customWidth="1"/>
    <col min="2" max="2" width="4.5546875" customWidth="1"/>
    <col min="3" max="3" width="24.44140625" customWidth="1"/>
    <col min="4" max="5" width="8.5546875" customWidth="1"/>
    <col min="6" max="6" width="9.6640625" customWidth="1"/>
    <col min="7" max="7" width="9.5546875" customWidth="1"/>
    <col min="8" max="8" width="10.5546875" customWidth="1"/>
    <col min="9" max="9" width="8.44140625" customWidth="1"/>
    <col min="10" max="11" width="7.6640625" customWidth="1"/>
    <col min="12" max="12" width="9.5546875" customWidth="1"/>
    <col min="13" max="14" width="9.44140625" customWidth="1"/>
    <col min="15" max="15" width="15.5546875" customWidth="1"/>
    <col min="16" max="16" width="12.44140625" style="1" customWidth="1"/>
    <col min="17" max="17" width="37.44140625" customWidth="1"/>
    <col min="18" max="18" width="15" customWidth="1"/>
  </cols>
  <sheetData>
    <row r="4" spans="2:24" x14ac:dyDescent="0.3">
      <c r="B4" s="176" t="s">
        <v>387</v>
      </c>
    </row>
    <row r="5" spans="2:24" ht="27" customHeight="1" thickBot="1" x14ac:dyDescent="0.35">
      <c r="B5" s="699"/>
      <c r="C5" s="654" t="s">
        <v>371</v>
      </c>
      <c r="D5" s="654" t="s">
        <v>66</v>
      </c>
      <c r="E5" s="654" t="s">
        <v>388</v>
      </c>
      <c r="F5" s="654"/>
      <c r="G5" s="654"/>
      <c r="H5" s="654"/>
      <c r="I5" s="775" t="s">
        <v>392</v>
      </c>
      <c r="J5" s="775" t="s">
        <v>65</v>
      </c>
      <c r="K5" s="777" t="s">
        <v>717</v>
      </c>
      <c r="L5" s="775" t="s">
        <v>393</v>
      </c>
      <c r="V5" s="176" t="s">
        <v>484</v>
      </c>
      <c r="W5" s="176"/>
      <c r="X5" s="176"/>
    </row>
    <row r="6" spans="2:24" ht="61.35" customHeight="1" thickBot="1" x14ac:dyDescent="0.35">
      <c r="B6" s="699"/>
      <c r="C6" s="654"/>
      <c r="D6" s="654"/>
      <c r="E6" s="29" t="s">
        <v>389</v>
      </c>
      <c r="F6" s="29" t="s">
        <v>390</v>
      </c>
      <c r="G6" s="29" t="s">
        <v>390</v>
      </c>
      <c r="H6" s="29" t="s">
        <v>391</v>
      </c>
      <c r="I6" s="775"/>
      <c r="J6" s="775"/>
      <c r="K6" s="778"/>
      <c r="L6" s="775"/>
      <c r="Q6" s="224" t="s">
        <v>397</v>
      </c>
      <c r="R6" s="224"/>
      <c r="V6" s="227" t="s">
        <v>4</v>
      </c>
      <c r="W6" s="228" t="s">
        <v>475</v>
      </c>
      <c r="X6" s="228" t="s">
        <v>476</v>
      </c>
    </row>
    <row r="7" spans="2:24" ht="15" thickBot="1" x14ac:dyDescent="0.35">
      <c r="B7" s="776" t="s">
        <v>202</v>
      </c>
      <c r="C7" s="371"/>
      <c r="D7" s="372"/>
      <c r="E7" s="192"/>
      <c r="F7" s="192"/>
      <c r="G7" s="192"/>
      <c r="H7" s="192"/>
      <c r="I7" s="193">
        <f>(E7*$R$8)+(F7*$R$9)+(G7*$R$10)+(H7*$R$11)</f>
        <v>0</v>
      </c>
      <c r="J7" s="194"/>
      <c r="K7" s="420">
        <v>0.3</v>
      </c>
      <c r="L7" s="195">
        <f>(D7*I7*J7*K7)/1000</f>
        <v>0</v>
      </c>
      <c r="Q7" s="224" t="s">
        <v>398</v>
      </c>
      <c r="R7" s="224" t="s">
        <v>399</v>
      </c>
      <c r="V7" s="229">
        <v>1</v>
      </c>
      <c r="W7" s="230">
        <v>20</v>
      </c>
      <c r="X7" s="230" t="s">
        <v>477</v>
      </c>
    </row>
    <row r="8" spans="2:24" ht="15" thickBot="1" x14ac:dyDescent="0.35">
      <c r="B8" s="776"/>
      <c r="C8" s="459" t="str">
        <f>'Ventilation losses'!C44</f>
        <v>3-DMTT</v>
      </c>
      <c r="D8" s="460">
        <f>Envelope!L95</f>
        <v>2515.415</v>
      </c>
      <c r="E8" s="461">
        <v>0.01</v>
      </c>
      <c r="F8" s="461">
        <v>0.98</v>
      </c>
      <c r="G8" s="461">
        <v>0</v>
      </c>
      <c r="H8" s="461">
        <v>0.01</v>
      </c>
      <c r="I8" s="193">
        <f>(E8*$R$8)+(F8*$R$9)+(G8*$R$10)+(H8*$R$11)</f>
        <v>17.768000000000001</v>
      </c>
      <c r="J8" s="194">
        <f>Building_data!D12</f>
        <v>1630</v>
      </c>
      <c r="K8" s="420">
        <v>0.55000000000000004</v>
      </c>
      <c r="L8" s="195">
        <f t="shared" ref="L8:L15" si="0">(D8*I8*J8*K8)/1000</f>
        <v>40068.075719980006</v>
      </c>
      <c r="Q8" s="225" t="s">
        <v>389</v>
      </c>
      <c r="R8" s="226">
        <v>25</v>
      </c>
      <c r="S8" t="s">
        <v>489</v>
      </c>
      <c r="V8" s="229">
        <v>2</v>
      </c>
      <c r="W8" s="230">
        <v>30</v>
      </c>
      <c r="X8" s="230" t="s">
        <v>478</v>
      </c>
    </row>
    <row r="9" spans="2:24" ht="15" thickBot="1" x14ac:dyDescent="0.35">
      <c r="B9" s="776"/>
      <c r="C9" s="371"/>
      <c r="D9" s="372"/>
      <c r="E9" s="192"/>
      <c r="F9" s="192"/>
      <c r="G9" s="192"/>
      <c r="H9" s="192"/>
      <c r="I9" s="193">
        <f>(E9*$R$8)+(F9*$R$9)+(G9*$R$10)+(H9*$R$11)</f>
        <v>0</v>
      </c>
      <c r="J9" s="194"/>
      <c r="K9" s="420">
        <v>0.3</v>
      </c>
      <c r="L9" s="195">
        <f t="shared" si="0"/>
        <v>0</v>
      </c>
      <c r="Q9" s="225" t="s">
        <v>487</v>
      </c>
      <c r="R9" s="226">
        <v>17.8</v>
      </c>
      <c r="V9" s="229">
        <v>3</v>
      </c>
      <c r="W9" s="230">
        <v>50</v>
      </c>
      <c r="X9" s="230" t="s">
        <v>479</v>
      </c>
    </row>
    <row r="10" spans="2:24" ht="15" thickBot="1" x14ac:dyDescent="0.35">
      <c r="B10" s="776"/>
      <c r="C10" s="371"/>
      <c r="D10" s="372"/>
      <c r="E10" s="192"/>
      <c r="F10" s="192"/>
      <c r="G10" s="192"/>
      <c r="H10" s="192"/>
      <c r="I10" s="193">
        <f>(E10*$R$8)+(F10*$R$9)+(G10*$R$10)+(H10*$R$11)</f>
        <v>0</v>
      </c>
      <c r="J10" s="194"/>
      <c r="K10" s="420">
        <v>0.3</v>
      </c>
      <c r="L10" s="195">
        <f t="shared" si="0"/>
        <v>0</v>
      </c>
      <c r="Q10" s="225" t="s">
        <v>488</v>
      </c>
      <c r="R10" s="226">
        <v>14.81</v>
      </c>
      <c r="V10" s="229">
        <v>4</v>
      </c>
      <c r="W10" s="230">
        <v>75</v>
      </c>
      <c r="X10" s="230" t="s">
        <v>480</v>
      </c>
    </row>
    <row r="11" spans="2:24" ht="15" thickBot="1" x14ac:dyDescent="0.35">
      <c r="B11" s="776"/>
      <c r="C11" s="712" t="s">
        <v>395</v>
      </c>
      <c r="D11" s="712"/>
      <c r="E11" s="712"/>
      <c r="F11" s="712"/>
      <c r="G11" s="712"/>
      <c r="H11" s="712"/>
      <c r="I11" s="712"/>
      <c r="J11" s="712"/>
      <c r="K11" s="416"/>
      <c r="L11" s="196">
        <f>SUM(L7:L10)</f>
        <v>40068.075719980006</v>
      </c>
      <c r="Q11" s="225" t="s">
        <v>485</v>
      </c>
      <c r="R11" s="226">
        <v>7.4</v>
      </c>
      <c r="V11" s="229">
        <v>5</v>
      </c>
      <c r="W11" s="230">
        <v>100</v>
      </c>
      <c r="X11" s="230" t="s">
        <v>481</v>
      </c>
    </row>
    <row r="12" spans="2:24" ht="15" thickBot="1" x14ac:dyDescent="0.35">
      <c r="B12" s="776" t="s">
        <v>203</v>
      </c>
      <c r="C12" s="84"/>
      <c r="D12" s="194"/>
      <c r="E12" s="192"/>
      <c r="F12" s="192"/>
      <c r="G12" s="192"/>
      <c r="H12" s="192"/>
      <c r="I12" s="193">
        <f>(E12*$R$8)+(F12*$R$9)+(G12*$R$10)+(H12*$R$11)</f>
        <v>0</v>
      </c>
      <c r="J12" s="194">
        <f>J7</f>
        <v>0</v>
      </c>
      <c r="K12" s="420">
        <f>K7</f>
        <v>0.3</v>
      </c>
      <c r="L12" s="195">
        <f t="shared" si="0"/>
        <v>0</v>
      </c>
      <c r="V12" s="229">
        <v>6</v>
      </c>
      <c r="W12" s="230">
        <v>150</v>
      </c>
      <c r="X12" s="230" t="s">
        <v>482</v>
      </c>
    </row>
    <row r="13" spans="2:24" ht="15" thickBot="1" x14ac:dyDescent="0.35">
      <c r="B13" s="776"/>
      <c r="C13" s="84" t="str">
        <f>C8</f>
        <v>3-DMTT</v>
      </c>
      <c r="D13" s="194">
        <f t="shared" ref="D13:D15" si="1">D8</f>
        <v>2515.415</v>
      </c>
      <c r="E13" s="461">
        <v>0</v>
      </c>
      <c r="F13" s="461">
        <v>0</v>
      </c>
      <c r="G13" s="461">
        <v>0</v>
      </c>
      <c r="H13" s="461">
        <v>1</v>
      </c>
      <c r="I13" s="193">
        <f>(E13*$R$8)+(F13*$R$9)+(G13*$R$10)+(H13*$R$11)</f>
        <v>7.4</v>
      </c>
      <c r="J13" s="194">
        <f t="shared" ref="J13:K15" si="2">J8</f>
        <v>1630</v>
      </c>
      <c r="K13" s="420">
        <f t="shared" si="2"/>
        <v>0.55000000000000004</v>
      </c>
      <c r="L13" s="195">
        <f t="shared" si="0"/>
        <v>16687.514651500001</v>
      </c>
      <c r="V13" s="229">
        <v>7</v>
      </c>
      <c r="W13" s="230">
        <v>200</v>
      </c>
      <c r="X13" s="230" t="s">
        <v>483</v>
      </c>
    </row>
    <row r="14" spans="2:24" ht="15" thickBot="1" x14ac:dyDescent="0.35">
      <c r="B14" s="776"/>
      <c r="C14" s="84"/>
      <c r="D14" s="194">
        <f t="shared" si="1"/>
        <v>0</v>
      </c>
      <c r="E14" s="192"/>
      <c r="F14" s="192"/>
      <c r="G14" s="192"/>
      <c r="H14" s="192"/>
      <c r="I14" s="193">
        <f>(E14*$R$8)+(F14*$R$9)+(G14*$R$10)+(H14*$R$11)</f>
        <v>0</v>
      </c>
      <c r="J14" s="194">
        <f t="shared" si="2"/>
        <v>0</v>
      </c>
      <c r="K14" s="420">
        <f t="shared" si="2"/>
        <v>0.3</v>
      </c>
      <c r="L14" s="195">
        <f t="shared" si="0"/>
        <v>0</v>
      </c>
      <c r="V14" s="229">
        <v>8</v>
      </c>
      <c r="W14" s="230">
        <v>300</v>
      </c>
      <c r="X14" s="230">
        <v>60</v>
      </c>
    </row>
    <row r="15" spans="2:24" ht="15" thickBot="1" x14ac:dyDescent="0.35">
      <c r="B15" s="776"/>
      <c r="C15" s="84"/>
      <c r="D15" s="194">
        <f t="shared" si="1"/>
        <v>0</v>
      </c>
      <c r="E15" s="192"/>
      <c r="F15" s="192"/>
      <c r="G15" s="192"/>
      <c r="H15" s="192"/>
      <c r="I15" s="193">
        <f>(E15*$R$8)+(F15*$R$9)+(G15*$R$10)+(H15*$R$11)</f>
        <v>0</v>
      </c>
      <c r="J15" s="194">
        <f t="shared" si="2"/>
        <v>0</v>
      </c>
      <c r="K15" s="420">
        <f t="shared" si="2"/>
        <v>0.3</v>
      </c>
      <c r="L15" s="195">
        <f t="shared" si="0"/>
        <v>0</v>
      </c>
      <c r="V15" s="229">
        <v>9</v>
      </c>
      <c r="W15" s="230">
        <v>400</v>
      </c>
      <c r="X15" s="230">
        <v>16</v>
      </c>
    </row>
    <row r="16" spans="2:24" ht="15" thickBot="1" x14ac:dyDescent="0.35">
      <c r="B16" s="776"/>
      <c r="C16" s="712" t="s">
        <v>396</v>
      </c>
      <c r="D16" s="712"/>
      <c r="E16" s="712"/>
      <c r="F16" s="712"/>
      <c r="G16" s="712"/>
      <c r="H16" s="712"/>
      <c r="I16" s="712"/>
      <c r="J16" s="712"/>
      <c r="K16" s="416"/>
      <c r="L16" s="196">
        <f>SUM(L12:L15)</f>
        <v>16687.514651500001</v>
      </c>
      <c r="V16" s="229">
        <v>10</v>
      </c>
      <c r="W16" s="230">
        <v>500</v>
      </c>
      <c r="X16" s="230">
        <v>8</v>
      </c>
    </row>
    <row r="17" spans="2:24" x14ac:dyDescent="0.3">
      <c r="B17" s="712" t="s">
        <v>394</v>
      </c>
      <c r="C17" s="712"/>
      <c r="D17" s="712"/>
      <c r="E17" s="712"/>
      <c r="F17" s="712"/>
      <c r="G17" s="712"/>
      <c r="H17" s="712"/>
      <c r="I17" s="712"/>
      <c r="J17" s="712"/>
      <c r="K17" s="416"/>
      <c r="L17" s="196">
        <f>L11-L16</f>
        <v>23380.561068480005</v>
      </c>
      <c r="V17" s="176" t="s">
        <v>486</v>
      </c>
      <c r="W17" s="176"/>
      <c r="X17" s="176"/>
    </row>
    <row r="19" spans="2:24" x14ac:dyDescent="0.3">
      <c r="C19" s="255" t="s">
        <v>428</v>
      </c>
    </row>
    <row r="20" spans="2:24" ht="15" thickBot="1" x14ac:dyDescent="0.35">
      <c r="C20" s="176" t="s">
        <v>839</v>
      </c>
      <c r="P20" s="754" t="s">
        <v>554</v>
      </c>
      <c r="Q20" s="754"/>
      <c r="R20" s="754"/>
      <c r="S20" s="754"/>
      <c r="T20" s="754"/>
      <c r="U20" s="754"/>
      <c r="V20" s="754"/>
      <c r="W20" s="754"/>
    </row>
    <row r="21" spans="2:24" ht="36" x14ac:dyDescent="0.3">
      <c r="C21" s="187" t="s">
        <v>1</v>
      </c>
      <c r="D21" s="187" t="s">
        <v>908</v>
      </c>
      <c r="E21" s="187" t="s">
        <v>644</v>
      </c>
      <c r="F21" s="187" t="s">
        <v>889</v>
      </c>
      <c r="H21" s="332"/>
      <c r="P21" s="761" t="s">
        <v>212</v>
      </c>
      <c r="Q21" s="761" t="s">
        <v>674</v>
      </c>
      <c r="R21" s="772" t="s">
        <v>675</v>
      </c>
      <c r="S21" s="242" t="s">
        <v>50</v>
      </c>
      <c r="T21" s="241" t="s">
        <v>391</v>
      </c>
      <c r="U21" s="241" t="s">
        <v>512</v>
      </c>
      <c r="V21" s="241" t="s">
        <v>512</v>
      </c>
      <c r="W21" s="241" t="s">
        <v>515</v>
      </c>
    </row>
    <row r="22" spans="2:24" ht="168" x14ac:dyDescent="0.3">
      <c r="C22" s="73" t="s">
        <v>557</v>
      </c>
      <c r="D22" s="99">
        <v>21</v>
      </c>
      <c r="E22" s="99">
        <f>SUMIF(H12:H15,100%,D12:D15)</f>
        <v>2515.415</v>
      </c>
      <c r="F22" s="100">
        <v>30000</v>
      </c>
      <c r="P22" s="762"/>
      <c r="Q22" s="762"/>
      <c r="R22" s="773"/>
      <c r="S22" s="243" t="s">
        <v>511</v>
      </c>
      <c r="T22" s="245" t="s">
        <v>399</v>
      </c>
      <c r="U22" s="245" t="s">
        <v>513</v>
      </c>
      <c r="V22" s="245" t="s">
        <v>514</v>
      </c>
      <c r="W22" s="245" t="s">
        <v>399</v>
      </c>
    </row>
    <row r="23" spans="2:24" ht="15" thickBot="1" x14ac:dyDescent="0.35">
      <c r="P23" s="763"/>
      <c r="Q23" s="763"/>
      <c r="R23" s="774"/>
      <c r="S23" s="244"/>
      <c r="T23" s="244"/>
      <c r="U23" s="246" t="s">
        <v>399</v>
      </c>
      <c r="V23" s="244"/>
      <c r="W23" s="244"/>
    </row>
    <row r="24" spans="2:24" ht="248.4" x14ac:dyDescent="0.3">
      <c r="P24" s="755">
        <v>1</v>
      </c>
      <c r="Q24" s="247" t="s">
        <v>673</v>
      </c>
      <c r="R24" s="758">
        <v>500</v>
      </c>
      <c r="S24" s="766" t="s">
        <v>516</v>
      </c>
      <c r="T24" s="758" t="s">
        <v>517</v>
      </c>
      <c r="U24" s="758" t="s">
        <v>518</v>
      </c>
      <c r="V24" s="758" t="s">
        <v>519</v>
      </c>
      <c r="W24" s="769" t="s">
        <v>520</v>
      </c>
    </row>
    <row r="25" spans="2:24" ht="83.4" thickBot="1" x14ac:dyDescent="0.35">
      <c r="P25" s="757"/>
      <c r="Q25" s="248" t="s">
        <v>670</v>
      </c>
      <c r="R25" s="760"/>
      <c r="S25" s="767"/>
      <c r="T25" s="760"/>
      <c r="U25" s="760"/>
      <c r="V25" s="760"/>
      <c r="W25" s="771"/>
    </row>
    <row r="26" spans="2:24" ht="55.2" x14ac:dyDescent="0.3">
      <c r="P26" s="755">
        <v>2</v>
      </c>
      <c r="Q26" s="247" t="s">
        <v>671</v>
      </c>
      <c r="R26" s="758">
        <v>400</v>
      </c>
      <c r="S26" s="766" t="s">
        <v>516</v>
      </c>
      <c r="T26" s="758" t="s">
        <v>521</v>
      </c>
      <c r="U26" s="758" t="s">
        <v>522</v>
      </c>
      <c r="V26" s="758" t="s">
        <v>523</v>
      </c>
      <c r="W26" s="769" t="s">
        <v>520</v>
      </c>
    </row>
    <row r="27" spans="2:24" ht="96.6" x14ac:dyDescent="0.3">
      <c r="P27" s="756"/>
      <c r="Q27" s="247" t="s">
        <v>672</v>
      </c>
      <c r="R27" s="759"/>
      <c r="S27" s="768"/>
      <c r="T27" s="759"/>
      <c r="U27" s="759"/>
      <c r="V27" s="759"/>
      <c r="W27" s="770"/>
    </row>
    <row r="28" spans="2:24" ht="55.8" thickBot="1" x14ac:dyDescent="0.35">
      <c r="P28" s="757"/>
      <c r="Q28" s="248" t="s">
        <v>669</v>
      </c>
      <c r="R28" s="760"/>
      <c r="S28" s="767"/>
      <c r="T28" s="760"/>
      <c r="U28" s="760"/>
      <c r="V28" s="760"/>
      <c r="W28" s="771"/>
    </row>
    <row r="29" spans="2:24" ht="96.6" x14ac:dyDescent="0.3">
      <c r="P29" s="755">
        <v>3</v>
      </c>
      <c r="Q29" s="249" t="s">
        <v>665</v>
      </c>
      <c r="R29" s="758">
        <v>300</v>
      </c>
      <c r="S29" s="766" t="s">
        <v>516</v>
      </c>
      <c r="T29" s="758" t="s">
        <v>525</v>
      </c>
      <c r="U29" s="758" t="s">
        <v>555</v>
      </c>
      <c r="V29" s="758" t="s">
        <v>556</v>
      </c>
      <c r="W29" s="769" t="s">
        <v>520</v>
      </c>
    </row>
    <row r="30" spans="2:24" ht="41.4" x14ac:dyDescent="0.3">
      <c r="P30" s="756"/>
      <c r="Q30" s="249" t="s">
        <v>666</v>
      </c>
      <c r="R30" s="759"/>
      <c r="S30" s="768"/>
      <c r="T30" s="759"/>
      <c r="U30" s="759"/>
      <c r="V30" s="759"/>
      <c r="W30" s="770"/>
    </row>
    <row r="31" spans="2:24" ht="96.6" x14ac:dyDescent="0.3">
      <c r="P31" s="756"/>
      <c r="Q31" s="249" t="s">
        <v>667</v>
      </c>
      <c r="R31" s="759"/>
      <c r="S31" s="768"/>
      <c r="T31" s="759"/>
      <c r="U31" s="759"/>
      <c r="V31" s="759"/>
      <c r="W31" s="770"/>
    </row>
    <row r="32" spans="2:24" ht="207" x14ac:dyDescent="0.3">
      <c r="P32" s="756"/>
      <c r="Q32" s="249" t="s">
        <v>668</v>
      </c>
      <c r="R32" s="759"/>
      <c r="S32" s="768"/>
      <c r="T32" s="759"/>
      <c r="U32" s="759"/>
      <c r="V32" s="759"/>
      <c r="W32" s="770"/>
    </row>
    <row r="33" spans="16:23" ht="55.2" x14ac:dyDescent="0.3">
      <c r="P33" s="756"/>
      <c r="Q33" s="249" t="s">
        <v>524</v>
      </c>
      <c r="R33" s="759"/>
      <c r="S33" s="768"/>
      <c r="T33" s="759"/>
      <c r="U33" s="759"/>
      <c r="V33" s="759"/>
      <c r="W33" s="770"/>
    </row>
    <row r="34" spans="16:23" ht="179.4" x14ac:dyDescent="0.3">
      <c r="P34" s="756"/>
      <c r="Q34" s="249" t="s">
        <v>663</v>
      </c>
      <c r="R34" s="759"/>
      <c r="S34" s="768"/>
      <c r="T34" s="759"/>
      <c r="U34" s="759"/>
      <c r="V34" s="759"/>
      <c r="W34" s="770"/>
    </row>
    <row r="35" spans="16:23" ht="15" thickBot="1" x14ac:dyDescent="0.35">
      <c r="P35" s="757"/>
      <c r="Q35" s="250" t="s">
        <v>664</v>
      </c>
      <c r="R35" s="760"/>
      <c r="S35" s="767"/>
      <c r="T35" s="760"/>
      <c r="U35" s="760"/>
      <c r="V35" s="760"/>
      <c r="W35" s="771"/>
    </row>
    <row r="36" spans="16:23" ht="55.2" x14ac:dyDescent="0.3">
      <c r="P36" s="755">
        <v>4</v>
      </c>
      <c r="Q36" s="247" t="s">
        <v>662</v>
      </c>
      <c r="R36" s="758">
        <v>200</v>
      </c>
      <c r="S36" s="766" t="s">
        <v>516</v>
      </c>
      <c r="T36" s="758" t="s">
        <v>529</v>
      </c>
      <c r="U36" s="758" t="s">
        <v>530</v>
      </c>
      <c r="V36" s="758" t="s">
        <v>531</v>
      </c>
      <c r="W36" s="758" t="s">
        <v>520</v>
      </c>
    </row>
    <row r="37" spans="16:23" ht="55.2" x14ac:dyDescent="0.3">
      <c r="P37" s="756"/>
      <c r="Q37" s="247" t="s">
        <v>661</v>
      </c>
      <c r="R37" s="759"/>
      <c r="S37" s="768"/>
      <c r="T37" s="759"/>
      <c r="U37" s="759"/>
      <c r="V37" s="759"/>
      <c r="W37" s="759"/>
    </row>
    <row r="38" spans="16:23" ht="151.80000000000001" x14ac:dyDescent="0.3">
      <c r="P38" s="756"/>
      <c r="Q38" s="247" t="s">
        <v>660</v>
      </c>
      <c r="R38" s="759"/>
      <c r="S38" s="768"/>
      <c r="T38" s="759"/>
      <c r="U38" s="759"/>
      <c r="V38" s="759"/>
      <c r="W38" s="759"/>
    </row>
    <row r="39" spans="16:23" ht="55.2" x14ac:dyDescent="0.3">
      <c r="P39" s="756"/>
      <c r="Q39" s="247" t="s">
        <v>659</v>
      </c>
      <c r="R39" s="759"/>
      <c r="S39" s="768"/>
      <c r="T39" s="759"/>
      <c r="U39" s="759"/>
      <c r="V39" s="759"/>
      <c r="W39" s="759"/>
    </row>
    <row r="40" spans="16:23" ht="248.4" x14ac:dyDescent="0.3">
      <c r="P40" s="756"/>
      <c r="Q40" s="247" t="s">
        <v>526</v>
      </c>
      <c r="R40" s="759"/>
      <c r="S40" s="768"/>
      <c r="T40" s="759"/>
      <c r="U40" s="759"/>
      <c r="V40" s="759"/>
      <c r="W40" s="759"/>
    </row>
    <row r="41" spans="16:23" ht="55.2" x14ac:dyDescent="0.3">
      <c r="P41" s="756"/>
      <c r="Q41" s="247" t="s">
        <v>527</v>
      </c>
      <c r="R41" s="759"/>
      <c r="S41" s="768"/>
      <c r="T41" s="759"/>
      <c r="U41" s="759"/>
      <c r="V41" s="759"/>
      <c r="W41" s="759"/>
    </row>
    <row r="42" spans="16:23" ht="55.8" thickBot="1" x14ac:dyDescent="0.35">
      <c r="P42" s="757"/>
      <c r="Q42" s="248" t="s">
        <v>528</v>
      </c>
      <c r="R42" s="760"/>
      <c r="S42" s="767"/>
      <c r="T42" s="760"/>
      <c r="U42" s="760"/>
      <c r="V42" s="760"/>
      <c r="W42" s="760"/>
    </row>
    <row r="43" spans="16:23" ht="55.2" x14ac:dyDescent="0.3">
      <c r="P43" s="755">
        <v>5</v>
      </c>
      <c r="Q43" s="247" t="s">
        <v>658</v>
      </c>
      <c r="R43" s="758">
        <v>150</v>
      </c>
      <c r="S43" s="766" t="s">
        <v>516</v>
      </c>
      <c r="T43" s="758" t="s">
        <v>532</v>
      </c>
      <c r="U43" s="758" t="s">
        <v>533</v>
      </c>
      <c r="V43" s="758" t="s">
        <v>534</v>
      </c>
      <c r="W43" s="758" t="s">
        <v>535</v>
      </c>
    </row>
    <row r="44" spans="16:23" ht="55.2" x14ac:dyDescent="0.3">
      <c r="P44" s="756"/>
      <c r="Q44" s="247" t="s">
        <v>657</v>
      </c>
      <c r="R44" s="759"/>
      <c r="S44" s="768"/>
      <c r="T44" s="759"/>
      <c r="U44" s="759"/>
      <c r="V44" s="759"/>
      <c r="W44" s="759"/>
    </row>
    <row r="45" spans="16:23" ht="124.8" thickBot="1" x14ac:dyDescent="0.35">
      <c r="P45" s="757"/>
      <c r="Q45" s="248" t="s">
        <v>656</v>
      </c>
      <c r="R45" s="760"/>
      <c r="S45" s="767"/>
      <c r="T45" s="760"/>
      <c r="U45" s="760"/>
      <c r="V45" s="760"/>
      <c r="W45" s="760"/>
    </row>
    <row r="46" spans="16:23" ht="55.2" x14ac:dyDescent="0.3">
      <c r="P46" s="755">
        <v>6</v>
      </c>
      <c r="Q46" s="247" t="s">
        <v>653</v>
      </c>
      <c r="R46" s="758">
        <v>100</v>
      </c>
      <c r="S46" s="766" t="s">
        <v>516</v>
      </c>
      <c r="T46" s="758" t="s">
        <v>536</v>
      </c>
      <c r="U46" s="758" t="s">
        <v>537</v>
      </c>
      <c r="V46" s="758" t="s">
        <v>538</v>
      </c>
      <c r="W46" s="758" t="s">
        <v>539</v>
      </c>
    </row>
    <row r="47" spans="16:23" ht="96.6" x14ac:dyDescent="0.3">
      <c r="P47" s="756"/>
      <c r="Q47" s="247" t="s">
        <v>654</v>
      </c>
      <c r="R47" s="759"/>
      <c r="S47" s="768"/>
      <c r="T47" s="759"/>
      <c r="U47" s="759"/>
      <c r="V47" s="759"/>
      <c r="W47" s="759"/>
    </row>
    <row r="48" spans="16:23" ht="15" thickBot="1" x14ac:dyDescent="0.35">
      <c r="P48" s="757"/>
      <c r="Q48" s="248" t="s">
        <v>655</v>
      </c>
      <c r="R48" s="760"/>
      <c r="S48" s="767"/>
      <c r="T48" s="760"/>
      <c r="U48" s="760"/>
      <c r="V48" s="760"/>
      <c r="W48" s="760"/>
    </row>
    <row r="49" spans="16:23" ht="192" customHeight="1" x14ac:dyDescent="0.3">
      <c r="P49" s="755">
        <v>7</v>
      </c>
      <c r="Q49" s="764" t="s">
        <v>652</v>
      </c>
      <c r="R49" s="758">
        <v>75</v>
      </c>
      <c r="S49" s="766" t="s">
        <v>516</v>
      </c>
      <c r="T49" s="758" t="s">
        <v>540</v>
      </c>
      <c r="U49" s="758" t="s">
        <v>541</v>
      </c>
      <c r="V49" s="758" t="s">
        <v>542</v>
      </c>
      <c r="W49" s="758" t="s">
        <v>543</v>
      </c>
    </row>
    <row r="50" spans="16:23" ht="15" thickBot="1" x14ac:dyDescent="0.35">
      <c r="P50" s="757"/>
      <c r="Q50" s="765"/>
      <c r="R50" s="760"/>
      <c r="S50" s="767"/>
      <c r="T50" s="760"/>
      <c r="U50" s="760"/>
      <c r="V50" s="760"/>
      <c r="W50" s="760"/>
    </row>
    <row r="51" spans="16:23" ht="83.4" thickBot="1" x14ac:dyDescent="0.35">
      <c r="P51" s="374">
        <v>8</v>
      </c>
      <c r="Q51" s="248" t="s">
        <v>651</v>
      </c>
      <c r="R51" s="251">
        <v>50</v>
      </c>
      <c r="S51" s="252" t="s">
        <v>516</v>
      </c>
      <c r="T51" s="251" t="s">
        <v>544</v>
      </c>
      <c r="U51" s="251" t="s">
        <v>545</v>
      </c>
      <c r="V51" s="253">
        <v>1728</v>
      </c>
      <c r="W51" s="251" t="s">
        <v>546</v>
      </c>
    </row>
    <row r="52" spans="16:23" ht="83.4" thickBot="1" x14ac:dyDescent="0.35">
      <c r="P52" s="374">
        <v>9</v>
      </c>
      <c r="Q52" s="248" t="s">
        <v>650</v>
      </c>
      <c r="R52" s="251">
        <v>30</v>
      </c>
      <c r="S52" s="252" t="s">
        <v>516</v>
      </c>
      <c r="T52" s="251" t="s">
        <v>547</v>
      </c>
      <c r="U52" s="251" t="s">
        <v>548</v>
      </c>
      <c r="V52" s="251" t="s">
        <v>549</v>
      </c>
      <c r="W52" s="251" t="s">
        <v>550</v>
      </c>
    </row>
    <row r="53" spans="16:23" ht="28.2" thickBot="1" x14ac:dyDescent="0.35">
      <c r="P53" s="374">
        <v>10</v>
      </c>
      <c r="Q53" s="248" t="s">
        <v>649</v>
      </c>
      <c r="R53" s="251">
        <v>20</v>
      </c>
      <c r="S53" s="252" t="s">
        <v>516</v>
      </c>
      <c r="T53" s="251" t="s">
        <v>551</v>
      </c>
      <c r="U53" s="251" t="s">
        <v>552</v>
      </c>
      <c r="V53" s="251" t="s">
        <v>549</v>
      </c>
      <c r="W53" s="251" t="s">
        <v>553</v>
      </c>
    </row>
  </sheetData>
  <mergeCells count="67">
    <mergeCell ref="B17:J17"/>
    <mergeCell ref="E5:H5"/>
    <mergeCell ref="I5:I6"/>
    <mergeCell ref="J5:J6"/>
    <mergeCell ref="L5:L6"/>
    <mergeCell ref="B5:B6"/>
    <mergeCell ref="C5:C6"/>
    <mergeCell ref="B7:B11"/>
    <mergeCell ref="B12:B16"/>
    <mergeCell ref="D5:D6"/>
    <mergeCell ref="C11:J11"/>
    <mergeCell ref="C16:J16"/>
    <mergeCell ref="K5:K6"/>
    <mergeCell ref="T24:T25"/>
    <mergeCell ref="U24:U25"/>
    <mergeCell ref="V24:V25"/>
    <mergeCell ref="W24:W25"/>
    <mergeCell ref="Q21:Q23"/>
    <mergeCell ref="R21:R23"/>
    <mergeCell ref="S24:S25"/>
    <mergeCell ref="W26:W28"/>
    <mergeCell ref="S29:S35"/>
    <mergeCell ref="T29:T35"/>
    <mergeCell ref="U29:U35"/>
    <mergeCell ref="V29:V35"/>
    <mergeCell ref="W29:W35"/>
    <mergeCell ref="S26:S28"/>
    <mergeCell ref="T26:T28"/>
    <mergeCell ref="U26:U28"/>
    <mergeCell ref="V26:V28"/>
    <mergeCell ref="W36:W42"/>
    <mergeCell ref="S43:S45"/>
    <mergeCell ref="T43:T45"/>
    <mergeCell ref="U43:U45"/>
    <mergeCell ref="V43:V45"/>
    <mergeCell ref="W43:W45"/>
    <mergeCell ref="S36:S42"/>
    <mergeCell ref="T36:T42"/>
    <mergeCell ref="U36:U42"/>
    <mergeCell ref="V36:V42"/>
    <mergeCell ref="V49:V50"/>
    <mergeCell ref="W49:W50"/>
    <mergeCell ref="S46:S48"/>
    <mergeCell ref="T46:T48"/>
    <mergeCell ref="U46:U48"/>
    <mergeCell ref="V46:V48"/>
    <mergeCell ref="Q49:Q50"/>
    <mergeCell ref="R49:R50"/>
    <mergeCell ref="S49:S50"/>
    <mergeCell ref="T49:T50"/>
    <mergeCell ref="U49:U50"/>
    <mergeCell ref="P20:W20"/>
    <mergeCell ref="P46:P48"/>
    <mergeCell ref="R46:R48"/>
    <mergeCell ref="P49:P50"/>
    <mergeCell ref="P29:P35"/>
    <mergeCell ref="R29:R35"/>
    <mergeCell ref="P36:P42"/>
    <mergeCell ref="R36:R42"/>
    <mergeCell ref="P43:P45"/>
    <mergeCell ref="R43:R45"/>
    <mergeCell ref="P21:P23"/>
    <mergeCell ref="P24:P25"/>
    <mergeCell ref="R24:R25"/>
    <mergeCell ref="P26:P28"/>
    <mergeCell ref="R26:R28"/>
    <mergeCell ref="W46:W48"/>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1:R121"/>
  <sheetViews>
    <sheetView topLeftCell="A104" zoomScale="85" zoomScaleNormal="85" workbookViewId="0">
      <selection activeCell="H109" sqref="H109"/>
    </sheetView>
  </sheetViews>
  <sheetFormatPr defaultRowHeight="14.4" x14ac:dyDescent="0.3"/>
  <cols>
    <col min="1" max="1" width="4.5546875" customWidth="1"/>
    <col min="2" max="2" width="4.33203125" customWidth="1"/>
    <col min="3" max="3" width="39" bestFit="1" customWidth="1"/>
    <col min="4" max="4" width="8.5546875" customWidth="1"/>
    <col min="5" max="6" width="8" customWidth="1"/>
    <col min="7" max="11" width="10.5546875" customWidth="1"/>
  </cols>
  <sheetData>
    <row r="1" spans="2:18" x14ac:dyDescent="0.3">
      <c r="B1" s="255" t="s">
        <v>579</v>
      </c>
    </row>
    <row r="2" spans="2:18" ht="20.100000000000001" customHeight="1" x14ac:dyDescent="0.3">
      <c r="B2" s="775" t="s">
        <v>2</v>
      </c>
      <c r="C2" s="775" t="s">
        <v>48</v>
      </c>
      <c r="D2" s="775" t="s">
        <v>647</v>
      </c>
      <c r="E2" s="777" t="s">
        <v>427</v>
      </c>
      <c r="F2" s="777" t="s">
        <v>648</v>
      </c>
      <c r="G2" s="775" t="s">
        <v>163</v>
      </c>
      <c r="H2" s="775"/>
      <c r="I2" s="775" t="s">
        <v>47</v>
      </c>
      <c r="J2" s="775"/>
      <c r="K2" s="775" t="s">
        <v>166</v>
      </c>
    </row>
    <row r="3" spans="2:18" ht="30" customHeight="1" x14ac:dyDescent="0.3">
      <c r="B3" s="775"/>
      <c r="C3" s="775"/>
      <c r="D3" s="775"/>
      <c r="E3" s="778"/>
      <c r="F3" s="778"/>
      <c r="G3" s="91" t="s">
        <v>49</v>
      </c>
      <c r="H3" s="91" t="s">
        <v>164</v>
      </c>
      <c r="I3" s="91" t="s">
        <v>49</v>
      </c>
      <c r="J3" s="91" t="s">
        <v>164</v>
      </c>
      <c r="K3" s="775"/>
    </row>
    <row r="4" spans="2:18" ht="15" customHeight="1" x14ac:dyDescent="0.3">
      <c r="B4" s="462"/>
      <c r="C4" s="481" t="str">
        <f>Envelope!$B$7</f>
        <v>3-DMTT</v>
      </c>
      <c r="D4" s="466"/>
      <c r="E4" s="466"/>
      <c r="F4" s="466"/>
      <c r="G4" s="466"/>
      <c r="H4" s="466"/>
      <c r="I4" s="466"/>
      <c r="J4" s="466"/>
      <c r="K4" s="463"/>
    </row>
    <row r="5" spans="2:18" x14ac:dyDescent="0.3">
      <c r="B5" s="464"/>
      <c r="C5" s="477" t="s">
        <v>854</v>
      </c>
      <c r="D5" s="473"/>
      <c r="E5" s="473"/>
      <c r="F5" s="473"/>
      <c r="G5" s="473"/>
      <c r="H5" s="473"/>
      <c r="I5" s="473"/>
      <c r="J5" s="474"/>
      <c r="K5" s="465" t="str">
        <f>IF(ISNUMBER(F5),F5*G5*I5+F5*H5*J5,"")</f>
        <v/>
      </c>
    </row>
    <row r="6" spans="2:18" x14ac:dyDescent="0.3">
      <c r="B6" s="432">
        <v>1</v>
      </c>
      <c r="C6" s="467" t="s">
        <v>855</v>
      </c>
      <c r="D6" s="468">
        <v>0.2</v>
      </c>
      <c r="E6" s="468">
        <v>13</v>
      </c>
      <c r="F6" s="468">
        <f t="shared" ref="F6:F13" si="0">D6*E6</f>
        <v>2.6</v>
      </c>
      <c r="G6" s="468">
        <v>120</v>
      </c>
      <c r="H6" s="468">
        <v>120</v>
      </c>
      <c r="I6" s="468">
        <v>0.36</v>
      </c>
      <c r="J6" s="468">
        <v>0.37</v>
      </c>
      <c r="K6" s="435">
        <f>IF(ISNUMBER(F6),F6*G6*I6+F6*H6*J6,"")</f>
        <v>227.76</v>
      </c>
      <c r="M6">
        <f>IF(ISNUMBER(F6),F6*H6*J6,"")</f>
        <v>115.44</v>
      </c>
      <c r="N6" s="149"/>
      <c r="O6" s="149"/>
      <c r="Q6" s="149"/>
      <c r="R6" s="149"/>
    </row>
    <row r="7" spans="2:18" x14ac:dyDescent="0.3">
      <c r="B7" s="432">
        <v>2</v>
      </c>
      <c r="C7" s="433"/>
      <c r="D7" s="434"/>
      <c r="E7" s="434"/>
      <c r="F7" s="434"/>
      <c r="G7" s="434"/>
      <c r="H7" s="434"/>
      <c r="I7" s="434"/>
      <c r="J7" s="434"/>
      <c r="K7" s="435" t="str">
        <f t="shared" ref="K7:K48" si="1">IF(ISNUMBER(F7),F7*G7*I7+F7*H7*J7,"")</f>
        <v/>
      </c>
      <c r="M7" t="str">
        <f t="shared" ref="M7:M48" si="2">IF(ISNUMBER(F7),F7*H7*J7,"")</f>
        <v/>
      </c>
      <c r="N7" s="149"/>
      <c r="O7" s="149"/>
      <c r="Q7" s="149"/>
      <c r="R7" s="149"/>
    </row>
    <row r="8" spans="2:18" x14ac:dyDescent="0.3">
      <c r="B8" s="432">
        <v>3</v>
      </c>
      <c r="C8" s="433" t="s">
        <v>860</v>
      </c>
      <c r="D8" s="434">
        <v>2.5</v>
      </c>
      <c r="E8" s="434">
        <v>1</v>
      </c>
      <c r="F8" s="434">
        <f t="shared" si="0"/>
        <v>2.5</v>
      </c>
      <c r="G8" s="434">
        <v>125</v>
      </c>
      <c r="H8" s="434">
        <v>125</v>
      </c>
      <c r="I8" s="434">
        <v>0.48</v>
      </c>
      <c r="J8" s="434">
        <v>0.47</v>
      </c>
      <c r="K8" s="435">
        <f t="shared" si="1"/>
        <v>296.875</v>
      </c>
      <c r="M8">
        <f t="shared" si="2"/>
        <v>146.875</v>
      </c>
      <c r="N8" s="149"/>
      <c r="O8" s="149"/>
      <c r="Q8" s="149"/>
      <c r="R8" s="149"/>
    </row>
    <row r="9" spans="2:18" x14ac:dyDescent="0.3">
      <c r="B9" s="432">
        <v>4</v>
      </c>
      <c r="C9" s="433"/>
      <c r="D9" s="434"/>
      <c r="E9" s="434"/>
      <c r="F9" s="434">
        <f t="shared" si="0"/>
        <v>0</v>
      </c>
      <c r="G9" s="434"/>
      <c r="H9" s="434"/>
      <c r="I9" s="434"/>
      <c r="J9" s="434"/>
      <c r="K9" s="435">
        <f t="shared" si="1"/>
        <v>0</v>
      </c>
      <c r="M9">
        <f t="shared" si="2"/>
        <v>0</v>
      </c>
      <c r="N9" s="149"/>
      <c r="O9" s="149"/>
      <c r="Q9" s="149"/>
      <c r="R9" s="149"/>
    </row>
    <row r="10" spans="2:18" x14ac:dyDescent="0.3">
      <c r="B10" s="432">
        <v>5</v>
      </c>
      <c r="C10" s="433"/>
      <c r="D10" s="434"/>
      <c r="E10" s="434"/>
      <c r="F10" s="434">
        <f t="shared" si="0"/>
        <v>0</v>
      </c>
      <c r="G10" s="434"/>
      <c r="H10" s="434"/>
      <c r="I10" s="434"/>
      <c r="J10" s="434"/>
      <c r="K10" s="435">
        <f t="shared" si="1"/>
        <v>0</v>
      </c>
      <c r="M10">
        <f t="shared" si="2"/>
        <v>0</v>
      </c>
      <c r="N10" s="149"/>
      <c r="O10" s="149"/>
      <c r="Q10" s="149"/>
      <c r="R10" s="149"/>
    </row>
    <row r="11" spans="2:18" x14ac:dyDescent="0.3">
      <c r="B11" s="432">
        <v>6</v>
      </c>
      <c r="C11" s="433"/>
      <c r="D11" s="434"/>
      <c r="E11" s="434"/>
      <c r="F11" s="434">
        <f t="shared" si="0"/>
        <v>0</v>
      </c>
      <c r="G11" s="434"/>
      <c r="H11" s="434"/>
      <c r="I11" s="434"/>
      <c r="J11" s="434"/>
      <c r="K11" s="435">
        <f t="shared" si="1"/>
        <v>0</v>
      </c>
      <c r="M11">
        <f t="shared" si="2"/>
        <v>0</v>
      </c>
      <c r="N11" s="149"/>
      <c r="O11" s="149"/>
      <c r="Q11" s="149"/>
      <c r="R11" s="149"/>
    </row>
    <row r="12" spans="2:18" x14ac:dyDescent="0.3">
      <c r="B12" s="432">
        <v>7</v>
      </c>
      <c r="C12" s="433"/>
      <c r="D12" s="434"/>
      <c r="E12" s="434"/>
      <c r="F12" s="434">
        <f t="shared" si="0"/>
        <v>0</v>
      </c>
      <c r="G12" s="434"/>
      <c r="H12" s="434"/>
      <c r="I12" s="434"/>
      <c r="J12" s="434"/>
      <c r="K12" s="435">
        <f t="shared" si="1"/>
        <v>0</v>
      </c>
      <c r="M12">
        <f t="shared" si="2"/>
        <v>0</v>
      </c>
      <c r="N12" s="149"/>
      <c r="O12" s="149"/>
      <c r="Q12" s="149"/>
      <c r="R12" s="149"/>
    </row>
    <row r="13" spans="2:18" x14ac:dyDescent="0.3">
      <c r="B13" s="432">
        <v>8</v>
      </c>
      <c r="C13" s="433"/>
      <c r="D13" s="434"/>
      <c r="E13" s="434"/>
      <c r="F13" s="434">
        <f t="shared" si="0"/>
        <v>0</v>
      </c>
      <c r="G13" s="434"/>
      <c r="H13" s="434"/>
      <c r="I13" s="434"/>
      <c r="J13" s="434"/>
      <c r="K13" s="435">
        <f t="shared" si="1"/>
        <v>0</v>
      </c>
      <c r="M13">
        <f t="shared" si="2"/>
        <v>0</v>
      </c>
      <c r="N13" s="149"/>
      <c r="O13" s="149"/>
      <c r="Q13" s="149"/>
      <c r="R13" s="149"/>
    </row>
    <row r="14" spans="2:18" x14ac:dyDescent="0.3">
      <c r="B14" s="432">
        <v>9</v>
      </c>
      <c r="C14" s="433"/>
      <c r="D14" s="434"/>
      <c r="E14" s="434"/>
      <c r="F14" s="434">
        <f>D14*E14</f>
        <v>0</v>
      </c>
      <c r="G14" s="434"/>
      <c r="H14" s="434"/>
      <c r="I14" s="434"/>
      <c r="J14" s="434"/>
      <c r="K14" s="435">
        <f t="shared" si="1"/>
        <v>0</v>
      </c>
      <c r="M14">
        <f t="shared" si="2"/>
        <v>0</v>
      </c>
      <c r="N14" s="149"/>
      <c r="O14" s="149"/>
      <c r="Q14" s="149"/>
      <c r="R14" s="149"/>
    </row>
    <row r="15" spans="2:18" x14ac:dyDescent="0.3">
      <c r="B15" s="432">
        <v>10</v>
      </c>
      <c r="C15" s="433"/>
      <c r="D15" s="434"/>
      <c r="E15" s="434"/>
      <c r="F15" s="434">
        <f t="shared" ref="F15:F17" si="3">D15*E15</f>
        <v>0</v>
      </c>
      <c r="G15" s="434"/>
      <c r="H15" s="434"/>
      <c r="I15" s="434"/>
      <c r="J15" s="434"/>
      <c r="K15" s="435">
        <f t="shared" si="1"/>
        <v>0</v>
      </c>
      <c r="M15">
        <f t="shared" si="2"/>
        <v>0</v>
      </c>
      <c r="N15" s="149"/>
      <c r="O15" s="149"/>
      <c r="Q15" s="149"/>
      <c r="R15" s="149"/>
    </row>
    <row r="16" spans="2:18" x14ac:dyDescent="0.3">
      <c r="B16" s="432">
        <v>11</v>
      </c>
      <c r="C16" s="433"/>
      <c r="D16" s="434"/>
      <c r="E16" s="434"/>
      <c r="F16" s="434">
        <f t="shared" si="3"/>
        <v>0</v>
      </c>
      <c r="G16" s="434"/>
      <c r="H16" s="434"/>
      <c r="I16" s="434"/>
      <c r="J16" s="434"/>
      <c r="K16" s="435">
        <f t="shared" si="1"/>
        <v>0</v>
      </c>
      <c r="M16">
        <f t="shared" si="2"/>
        <v>0</v>
      </c>
      <c r="N16" s="149"/>
      <c r="O16" s="149"/>
      <c r="Q16" s="149"/>
      <c r="R16" s="149"/>
    </row>
    <row r="17" spans="2:18" x14ac:dyDescent="0.3">
      <c r="B17" s="432">
        <v>12</v>
      </c>
      <c r="C17" s="471"/>
      <c r="D17" s="472"/>
      <c r="E17" s="472"/>
      <c r="F17" s="472">
        <f t="shared" si="3"/>
        <v>0</v>
      </c>
      <c r="G17" s="472"/>
      <c r="H17" s="472"/>
      <c r="I17" s="472"/>
      <c r="J17" s="472"/>
      <c r="K17" s="435">
        <f t="shared" si="1"/>
        <v>0</v>
      </c>
      <c r="M17">
        <f t="shared" si="2"/>
        <v>0</v>
      </c>
      <c r="N17" s="149"/>
      <c r="O17" s="149"/>
      <c r="Q17" s="149"/>
      <c r="R17" s="149"/>
    </row>
    <row r="18" spans="2:18" x14ac:dyDescent="0.3">
      <c r="B18" s="464"/>
      <c r="C18" s="477" t="s">
        <v>645</v>
      </c>
      <c r="D18" s="473"/>
      <c r="E18" s="473"/>
      <c r="F18" s="473"/>
      <c r="G18" s="473"/>
      <c r="H18" s="473"/>
      <c r="I18" s="473"/>
      <c r="J18" s="474"/>
      <c r="K18" s="465" t="str">
        <f t="shared" si="1"/>
        <v/>
      </c>
      <c r="M18" t="str">
        <f t="shared" si="2"/>
        <v/>
      </c>
      <c r="N18" s="149"/>
      <c r="O18" s="149"/>
      <c r="Q18" s="149"/>
      <c r="R18" s="149"/>
    </row>
    <row r="19" spans="2:18" x14ac:dyDescent="0.3">
      <c r="B19" s="432">
        <v>1</v>
      </c>
      <c r="C19" s="467" t="s">
        <v>856</v>
      </c>
      <c r="D19" s="468">
        <v>1.5</v>
      </c>
      <c r="E19" s="468">
        <v>2</v>
      </c>
      <c r="F19" s="468">
        <f t="shared" ref="F19:F31" si="4">D19*E19</f>
        <v>3</v>
      </c>
      <c r="G19" s="468">
        <v>125</v>
      </c>
      <c r="H19" s="468">
        <v>125</v>
      </c>
      <c r="I19" s="468">
        <v>0.48</v>
      </c>
      <c r="J19" s="468">
        <v>0.47</v>
      </c>
      <c r="K19" s="435">
        <f t="shared" si="1"/>
        <v>356.25</v>
      </c>
      <c r="M19">
        <f t="shared" si="2"/>
        <v>176.25</v>
      </c>
      <c r="N19" s="149"/>
      <c r="O19" s="149"/>
      <c r="Q19" s="149"/>
      <c r="R19" s="149"/>
    </row>
    <row r="20" spans="2:18" x14ac:dyDescent="0.3">
      <c r="B20" s="432">
        <v>2</v>
      </c>
      <c r="C20" s="433"/>
      <c r="D20" s="434"/>
      <c r="E20" s="434"/>
      <c r="F20" s="434"/>
      <c r="G20" s="434"/>
      <c r="H20" s="434"/>
      <c r="I20" s="434"/>
      <c r="J20" s="434"/>
      <c r="K20" s="435" t="str">
        <f t="shared" si="1"/>
        <v/>
      </c>
      <c r="M20" t="str">
        <f t="shared" si="2"/>
        <v/>
      </c>
      <c r="N20" s="149"/>
      <c r="O20" s="149"/>
      <c r="Q20" s="149"/>
      <c r="R20" s="149"/>
    </row>
    <row r="21" spans="2:18" x14ac:dyDescent="0.3">
      <c r="B21" s="432">
        <v>3</v>
      </c>
      <c r="C21" s="433" t="s">
        <v>804</v>
      </c>
      <c r="D21" s="434">
        <v>15</v>
      </c>
      <c r="E21" s="434">
        <v>2</v>
      </c>
      <c r="F21" s="434">
        <f t="shared" si="4"/>
        <v>30</v>
      </c>
      <c r="G21" s="434">
        <v>500</v>
      </c>
      <c r="H21" s="434">
        <v>500</v>
      </c>
      <c r="I21" s="434">
        <v>0.52</v>
      </c>
      <c r="J21" s="434">
        <v>0.54</v>
      </c>
      <c r="K21" s="435">
        <f t="shared" si="1"/>
        <v>15900</v>
      </c>
      <c r="M21">
        <f t="shared" si="2"/>
        <v>8100.0000000000009</v>
      </c>
      <c r="N21" s="149"/>
      <c r="O21" s="149"/>
      <c r="Q21" s="149"/>
      <c r="R21" s="149"/>
    </row>
    <row r="22" spans="2:18" x14ac:dyDescent="0.3">
      <c r="B22" s="432">
        <v>4</v>
      </c>
      <c r="C22" s="433" t="s">
        <v>805</v>
      </c>
      <c r="D22" s="434">
        <v>1</v>
      </c>
      <c r="E22" s="434">
        <v>1</v>
      </c>
      <c r="F22" s="434">
        <f t="shared" si="4"/>
        <v>1</v>
      </c>
      <c r="G22" s="434">
        <v>140</v>
      </c>
      <c r="H22" s="434">
        <v>140</v>
      </c>
      <c r="I22" s="434">
        <v>0.45</v>
      </c>
      <c r="J22" s="434">
        <v>0.46</v>
      </c>
      <c r="K22" s="435">
        <f t="shared" si="1"/>
        <v>127.4</v>
      </c>
      <c r="M22">
        <f t="shared" si="2"/>
        <v>64.400000000000006</v>
      </c>
      <c r="N22" s="149"/>
      <c r="O22" s="149"/>
      <c r="Q22" s="149"/>
      <c r="R22" s="149"/>
    </row>
    <row r="23" spans="2:18" x14ac:dyDescent="0.3">
      <c r="B23" s="432">
        <v>5</v>
      </c>
      <c r="C23" s="433" t="s">
        <v>857</v>
      </c>
      <c r="D23" s="434">
        <v>0.8</v>
      </c>
      <c r="E23" s="434">
        <v>3</v>
      </c>
      <c r="F23" s="434">
        <f t="shared" si="4"/>
        <v>2.4000000000000004</v>
      </c>
      <c r="G23" s="434">
        <v>467</v>
      </c>
      <c r="H23" s="434">
        <v>467</v>
      </c>
      <c r="I23" s="434">
        <v>0.63</v>
      </c>
      <c r="J23" s="434">
        <v>0.64</v>
      </c>
      <c r="K23" s="435">
        <f t="shared" si="1"/>
        <v>1423.4160000000002</v>
      </c>
      <c r="M23">
        <f t="shared" si="2"/>
        <v>717.31200000000013</v>
      </c>
      <c r="N23" s="149"/>
      <c r="O23" s="149"/>
      <c r="Q23" s="149"/>
      <c r="R23" s="149"/>
    </row>
    <row r="24" spans="2:18" x14ac:dyDescent="0.3">
      <c r="B24" s="432">
        <v>6</v>
      </c>
      <c r="C24" s="433" t="s">
        <v>858</v>
      </c>
      <c r="D24" s="434">
        <v>1.2</v>
      </c>
      <c r="E24" s="434">
        <v>2</v>
      </c>
      <c r="F24" s="434">
        <f t="shared" si="4"/>
        <v>2.4</v>
      </c>
      <c r="G24" s="434">
        <v>467</v>
      </c>
      <c r="H24" s="434">
        <v>467</v>
      </c>
      <c r="I24" s="434">
        <v>0.63</v>
      </c>
      <c r="J24" s="434">
        <v>0.64</v>
      </c>
      <c r="K24" s="435">
        <f t="shared" si="1"/>
        <v>1423.4159999999999</v>
      </c>
      <c r="M24">
        <f t="shared" si="2"/>
        <v>717.31200000000001</v>
      </c>
      <c r="N24" s="149"/>
      <c r="O24" s="149"/>
      <c r="Q24" s="149"/>
      <c r="R24" s="149"/>
    </row>
    <row r="25" spans="2:18" x14ac:dyDescent="0.3">
      <c r="B25" s="432">
        <v>7</v>
      </c>
      <c r="C25" s="433"/>
      <c r="D25" s="434"/>
      <c r="E25" s="434"/>
      <c r="F25" s="434">
        <f t="shared" si="4"/>
        <v>0</v>
      </c>
      <c r="G25" s="434"/>
      <c r="H25" s="434"/>
      <c r="I25" s="434"/>
      <c r="J25" s="434"/>
      <c r="K25" s="435">
        <f t="shared" si="1"/>
        <v>0</v>
      </c>
      <c r="M25">
        <f t="shared" si="2"/>
        <v>0</v>
      </c>
      <c r="N25" s="149"/>
      <c r="O25" s="149"/>
      <c r="Q25" s="149"/>
      <c r="R25" s="149"/>
    </row>
    <row r="26" spans="2:18" x14ac:dyDescent="0.3">
      <c r="B26" s="432">
        <v>8</v>
      </c>
      <c r="C26" s="433"/>
      <c r="D26" s="434"/>
      <c r="E26" s="434"/>
      <c r="F26" s="434">
        <f t="shared" si="4"/>
        <v>0</v>
      </c>
      <c r="G26" s="434"/>
      <c r="H26" s="434"/>
      <c r="I26" s="434"/>
      <c r="J26" s="434"/>
      <c r="K26" s="435">
        <f t="shared" si="1"/>
        <v>0</v>
      </c>
      <c r="M26">
        <f t="shared" si="2"/>
        <v>0</v>
      </c>
      <c r="N26" s="149"/>
      <c r="O26" s="149"/>
      <c r="Q26" s="149"/>
      <c r="R26" s="149"/>
    </row>
    <row r="27" spans="2:18" x14ac:dyDescent="0.3">
      <c r="B27" s="432">
        <v>9</v>
      </c>
      <c r="C27" s="433"/>
      <c r="D27" s="434"/>
      <c r="E27" s="434"/>
      <c r="F27" s="434">
        <f t="shared" si="4"/>
        <v>0</v>
      </c>
      <c r="G27" s="434"/>
      <c r="H27" s="434"/>
      <c r="I27" s="434"/>
      <c r="J27" s="434"/>
      <c r="K27" s="435">
        <f t="shared" si="1"/>
        <v>0</v>
      </c>
      <c r="M27">
        <f t="shared" si="2"/>
        <v>0</v>
      </c>
      <c r="N27" s="149"/>
      <c r="O27" s="149"/>
      <c r="Q27" s="149"/>
      <c r="R27" s="149"/>
    </row>
    <row r="28" spans="2:18" x14ac:dyDescent="0.3">
      <c r="B28" s="432">
        <v>10</v>
      </c>
      <c r="C28" s="433"/>
      <c r="D28" s="434"/>
      <c r="E28" s="434"/>
      <c r="F28" s="434">
        <f t="shared" si="4"/>
        <v>0</v>
      </c>
      <c r="G28" s="434"/>
      <c r="H28" s="434"/>
      <c r="I28" s="434"/>
      <c r="J28" s="434"/>
      <c r="K28" s="435">
        <f t="shared" si="1"/>
        <v>0</v>
      </c>
      <c r="M28">
        <f t="shared" si="2"/>
        <v>0</v>
      </c>
      <c r="N28" s="149"/>
      <c r="O28" s="149"/>
      <c r="Q28" s="149"/>
      <c r="R28" s="149"/>
    </row>
    <row r="29" spans="2:18" x14ac:dyDescent="0.3">
      <c r="B29" s="432">
        <v>11</v>
      </c>
      <c r="C29" s="433"/>
      <c r="D29" s="434"/>
      <c r="E29" s="434"/>
      <c r="F29" s="434">
        <f t="shared" si="4"/>
        <v>0</v>
      </c>
      <c r="G29" s="434"/>
      <c r="H29" s="434"/>
      <c r="I29" s="434"/>
      <c r="J29" s="434"/>
      <c r="K29" s="435">
        <f t="shared" si="1"/>
        <v>0</v>
      </c>
      <c r="M29">
        <f t="shared" si="2"/>
        <v>0</v>
      </c>
      <c r="N29" s="149"/>
      <c r="O29" s="149"/>
      <c r="Q29" s="149"/>
      <c r="R29" s="149"/>
    </row>
    <row r="30" spans="2:18" x14ac:dyDescent="0.3">
      <c r="B30" s="432">
        <v>12</v>
      </c>
      <c r="C30" s="433"/>
      <c r="D30" s="434"/>
      <c r="E30" s="434"/>
      <c r="F30" s="434">
        <f t="shared" si="4"/>
        <v>0</v>
      </c>
      <c r="G30" s="434"/>
      <c r="H30" s="434"/>
      <c r="I30" s="434"/>
      <c r="J30" s="434"/>
      <c r="K30" s="435">
        <f t="shared" si="1"/>
        <v>0</v>
      </c>
      <c r="M30">
        <f t="shared" si="2"/>
        <v>0</v>
      </c>
      <c r="N30" s="149"/>
      <c r="O30" s="149"/>
      <c r="Q30" s="149"/>
      <c r="R30" s="149"/>
    </row>
    <row r="31" spans="2:18" x14ac:dyDescent="0.3">
      <c r="B31" s="432">
        <v>13</v>
      </c>
      <c r="C31" s="433"/>
      <c r="D31" s="434"/>
      <c r="E31" s="434"/>
      <c r="F31" s="434">
        <f t="shared" si="4"/>
        <v>0</v>
      </c>
      <c r="G31" s="434"/>
      <c r="H31" s="434"/>
      <c r="I31" s="434"/>
      <c r="J31" s="434"/>
      <c r="K31" s="435">
        <f t="shared" si="1"/>
        <v>0</v>
      </c>
      <c r="M31">
        <f t="shared" si="2"/>
        <v>0</v>
      </c>
      <c r="N31" s="149"/>
      <c r="O31" s="149"/>
      <c r="Q31" s="149"/>
      <c r="R31" s="149"/>
    </row>
    <row r="32" spans="2:18" x14ac:dyDescent="0.3">
      <c r="B32" s="432"/>
      <c r="C32" s="478" t="s">
        <v>806</v>
      </c>
      <c r="D32" s="434"/>
      <c r="E32" s="434"/>
      <c r="F32" s="434"/>
      <c r="G32" s="434"/>
      <c r="H32" s="434"/>
      <c r="I32" s="434"/>
      <c r="J32" s="434"/>
      <c r="K32" s="435" t="str">
        <f t="shared" si="1"/>
        <v/>
      </c>
      <c r="M32" t="str">
        <f t="shared" si="2"/>
        <v/>
      </c>
      <c r="N32" s="149"/>
      <c r="O32" s="149"/>
      <c r="Q32" s="149"/>
      <c r="R32" s="149"/>
    </row>
    <row r="33" spans="2:18" x14ac:dyDescent="0.3">
      <c r="B33" s="432">
        <v>1</v>
      </c>
      <c r="C33" s="433" t="s">
        <v>807</v>
      </c>
      <c r="D33" s="434">
        <v>2</v>
      </c>
      <c r="E33" s="434">
        <v>1</v>
      </c>
      <c r="F33" s="434">
        <f t="shared" ref="F33" si="5">D33*E33</f>
        <v>2</v>
      </c>
      <c r="G33" s="434">
        <v>417</v>
      </c>
      <c r="H33" s="434">
        <v>417</v>
      </c>
      <c r="I33" s="434">
        <v>0.45</v>
      </c>
      <c r="J33" s="434">
        <v>0.46</v>
      </c>
      <c r="K33" s="435">
        <f t="shared" si="1"/>
        <v>758.94</v>
      </c>
      <c r="M33">
        <f t="shared" si="2"/>
        <v>383.64000000000004</v>
      </c>
      <c r="N33" s="149"/>
      <c r="O33" s="149"/>
      <c r="Q33" s="149"/>
      <c r="R33" s="149"/>
    </row>
    <row r="34" spans="2:18" x14ac:dyDescent="0.3">
      <c r="B34" s="432"/>
      <c r="C34" s="478" t="s">
        <v>760</v>
      </c>
      <c r="D34" s="434"/>
      <c r="E34" s="434"/>
      <c r="F34" s="434"/>
      <c r="G34" s="434"/>
      <c r="H34" s="434"/>
      <c r="I34" s="434"/>
      <c r="J34" s="434"/>
      <c r="K34" s="435" t="str">
        <f t="shared" si="1"/>
        <v/>
      </c>
      <c r="M34" t="str">
        <f t="shared" si="2"/>
        <v/>
      </c>
      <c r="N34" s="149"/>
      <c r="O34" s="149"/>
      <c r="Q34" s="149"/>
      <c r="R34" s="149"/>
    </row>
    <row r="35" spans="2:18" x14ac:dyDescent="0.3">
      <c r="B35" s="432">
        <v>1</v>
      </c>
      <c r="C35" s="433"/>
      <c r="D35" s="434"/>
      <c r="E35" s="434"/>
      <c r="F35" s="434">
        <f t="shared" ref="F35" si="6">D35*E35</f>
        <v>0</v>
      </c>
      <c r="G35" s="434"/>
      <c r="H35" s="434"/>
      <c r="I35" s="434"/>
      <c r="J35" s="434"/>
      <c r="K35" s="435">
        <f t="shared" si="1"/>
        <v>0</v>
      </c>
      <c r="N35" s="149"/>
      <c r="O35" s="149"/>
      <c r="Q35" s="149"/>
      <c r="R35" s="149"/>
    </row>
    <row r="36" spans="2:18" x14ac:dyDescent="0.3">
      <c r="B36" s="432">
        <v>2</v>
      </c>
      <c r="C36" s="471"/>
      <c r="D36" s="472"/>
      <c r="E36" s="472"/>
      <c r="F36" s="472"/>
      <c r="G36" s="472"/>
      <c r="H36" s="472"/>
      <c r="I36" s="472"/>
      <c r="J36" s="472"/>
      <c r="K36" s="435"/>
      <c r="Q36" s="149"/>
      <c r="R36" s="149"/>
    </row>
    <row r="37" spans="2:18" ht="28.8" x14ac:dyDescent="0.3">
      <c r="B37" s="464"/>
      <c r="C37" s="477" t="s">
        <v>646</v>
      </c>
      <c r="D37" s="473"/>
      <c r="E37" s="473"/>
      <c r="F37" s="473"/>
      <c r="G37" s="473"/>
      <c r="H37" s="473"/>
      <c r="I37" s="473"/>
      <c r="J37" s="474"/>
      <c r="K37" s="465" t="str">
        <f t="shared" si="1"/>
        <v/>
      </c>
      <c r="M37" t="str">
        <f t="shared" si="2"/>
        <v/>
      </c>
      <c r="Q37" s="149"/>
      <c r="R37" s="149"/>
    </row>
    <row r="38" spans="2:18" x14ac:dyDescent="0.3">
      <c r="B38" s="432">
        <v>1</v>
      </c>
      <c r="C38" s="467" t="s">
        <v>808</v>
      </c>
      <c r="D38" s="468">
        <v>0.2</v>
      </c>
      <c r="E38" s="468">
        <v>2</v>
      </c>
      <c r="F38" s="468">
        <f t="shared" ref="F38:F40" si="7">D38*E38</f>
        <v>0.4</v>
      </c>
      <c r="G38" s="468">
        <v>1440</v>
      </c>
      <c r="H38" s="468">
        <v>1557</v>
      </c>
      <c r="I38" s="468">
        <v>0.9</v>
      </c>
      <c r="J38" s="468">
        <v>0.9</v>
      </c>
      <c r="K38" s="435">
        <f t="shared" si="1"/>
        <v>1078.92</v>
      </c>
      <c r="M38">
        <f t="shared" si="2"/>
        <v>560.5200000000001</v>
      </c>
      <c r="Q38" s="149"/>
      <c r="R38" s="149"/>
    </row>
    <row r="39" spans="2:18" x14ac:dyDescent="0.3">
      <c r="B39" s="432">
        <v>2</v>
      </c>
      <c r="C39" s="433" t="s">
        <v>809</v>
      </c>
      <c r="D39" s="434">
        <v>1</v>
      </c>
      <c r="E39" s="434">
        <v>2</v>
      </c>
      <c r="F39" s="434">
        <f t="shared" si="7"/>
        <v>2</v>
      </c>
      <c r="G39" s="434">
        <v>143</v>
      </c>
      <c r="H39" s="434">
        <v>143</v>
      </c>
      <c r="I39" s="434">
        <v>0.08</v>
      </c>
      <c r="J39" s="434">
        <v>0.09</v>
      </c>
      <c r="K39" s="435">
        <f t="shared" si="1"/>
        <v>48.62</v>
      </c>
      <c r="M39">
        <f t="shared" si="2"/>
        <v>25.74</v>
      </c>
      <c r="Q39" s="149"/>
      <c r="R39" s="149"/>
    </row>
    <row r="40" spans="2:18" x14ac:dyDescent="0.3">
      <c r="B40" s="432">
        <v>3</v>
      </c>
      <c r="C40" s="433" t="s">
        <v>859</v>
      </c>
      <c r="D40" s="434">
        <v>0.2</v>
      </c>
      <c r="E40" s="434">
        <v>1</v>
      </c>
      <c r="F40" s="434">
        <f t="shared" si="7"/>
        <v>0.2</v>
      </c>
      <c r="G40" s="434">
        <v>217</v>
      </c>
      <c r="H40" s="434">
        <v>217</v>
      </c>
      <c r="I40" s="434">
        <v>0.11</v>
      </c>
      <c r="J40" s="434">
        <v>0.12</v>
      </c>
      <c r="K40" s="435">
        <f t="shared" si="1"/>
        <v>9.9820000000000011</v>
      </c>
      <c r="M40">
        <f>IF(ISNUMBER(F40),F40*H40*J40,"")</f>
        <v>5.2080000000000002</v>
      </c>
      <c r="Q40" s="149"/>
      <c r="R40" s="149"/>
    </row>
    <row r="41" spans="2:18" x14ac:dyDescent="0.3">
      <c r="B41" s="432">
        <v>4</v>
      </c>
      <c r="C41" s="433"/>
      <c r="D41" s="434"/>
      <c r="E41" s="434"/>
      <c r="F41" s="434">
        <f>D41*E41</f>
        <v>0</v>
      </c>
      <c r="G41" s="434"/>
      <c r="H41" s="434"/>
      <c r="I41" s="434"/>
      <c r="J41" s="434"/>
      <c r="K41" s="435">
        <f t="shared" si="1"/>
        <v>0</v>
      </c>
      <c r="Q41" s="149"/>
      <c r="R41" s="149"/>
    </row>
    <row r="42" spans="2:18" x14ac:dyDescent="0.3">
      <c r="B42" s="432">
        <v>5</v>
      </c>
      <c r="C42" s="433"/>
      <c r="D42" s="434"/>
      <c r="E42" s="434"/>
      <c r="F42" s="434">
        <f>D42*E42</f>
        <v>0</v>
      </c>
      <c r="G42" s="434"/>
      <c r="H42" s="434"/>
      <c r="I42" s="434"/>
      <c r="J42" s="434"/>
      <c r="K42" s="435">
        <f t="shared" si="1"/>
        <v>0</v>
      </c>
      <c r="M42">
        <f t="shared" si="2"/>
        <v>0</v>
      </c>
      <c r="Q42" s="149"/>
      <c r="R42" s="149"/>
    </row>
    <row r="43" spans="2:18" x14ac:dyDescent="0.3">
      <c r="B43" s="432">
        <v>6</v>
      </c>
      <c r="C43" s="433"/>
      <c r="D43" s="434"/>
      <c r="E43" s="434"/>
      <c r="F43" s="434">
        <f>D43*E43</f>
        <v>0</v>
      </c>
      <c r="G43" s="434"/>
      <c r="H43" s="434"/>
      <c r="I43" s="434"/>
      <c r="J43" s="434"/>
      <c r="K43" s="435">
        <f t="shared" si="1"/>
        <v>0</v>
      </c>
      <c r="M43">
        <f t="shared" si="2"/>
        <v>0</v>
      </c>
      <c r="Q43" s="149"/>
      <c r="R43" s="149"/>
    </row>
    <row r="44" spans="2:18" x14ac:dyDescent="0.3">
      <c r="B44" s="432">
        <v>7</v>
      </c>
      <c r="C44" s="433"/>
      <c r="D44" s="434"/>
      <c r="E44" s="434"/>
      <c r="F44" s="434">
        <f>D44*E44</f>
        <v>0</v>
      </c>
      <c r="G44" s="434"/>
      <c r="H44" s="434"/>
      <c r="I44" s="434"/>
      <c r="J44" s="434"/>
      <c r="K44" s="435">
        <f t="shared" si="1"/>
        <v>0</v>
      </c>
      <c r="M44">
        <f t="shared" si="2"/>
        <v>0</v>
      </c>
      <c r="Q44" s="149"/>
      <c r="R44" s="149"/>
    </row>
    <row r="45" spans="2:18" x14ac:dyDescent="0.3">
      <c r="B45" s="432">
        <v>8</v>
      </c>
      <c r="C45" s="471"/>
      <c r="D45" s="472"/>
      <c r="E45" s="472"/>
      <c r="F45" s="472">
        <f>D45*E45</f>
        <v>0</v>
      </c>
      <c r="G45" s="472"/>
      <c r="H45" s="472"/>
      <c r="I45" s="472"/>
      <c r="J45" s="472"/>
      <c r="K45" s="435">
        <f t="shared" si="1"/>
        <v>0</v>
      </c>
      <c r="M45">
        <f t="shared" si="2"/>
        <v>0</v>
      </c>
      <c r="Q45" s="149"/>
      <c r="R45" s="149"/>
    </row>
    <row r="46" spans="2:18" x14ac:dyDescent="0.3">
      <c r="B46" s="464"/>
      <c r="C46" s="477" t="s">
        <v>810</v>
      </c>
      <c r="D46" s="475"/>
      <c r="E46" s="475"/>
      <c r="F46" s="475"/>
      <c r="G46" s="475"/>
      <c r="H46" s="475"/>
      <c r="I46" s="475"/>
      <c r="J46" s="476"/>
      <c r="K46" s="465" t="str">
        <f t="shared" si="1"/>
        <v/>
      </c>
      <c r="M46" t="str">
        <f t="shared" si="2"/>
        <v/>
      </c>
      <c r="Q46" s="149"/>
      <c r="R46" s="149"/>
    </row>
    <row r="47" spans="2:18" x14ac:dyDescent="0.3">
      <c r="B47" s="432">
        <v>1</v>
      </c>
      <c r="C47" s="467"/>
      <c r="D47" s="468"/>
      <c r="E47" s="468"/>
      <c r="F47" s="468">
        <f t="shared" ref="F47:F48" si="8">D47*E47</f>
        <v>0</v>
      </c>
      <c r="G47" s="468"/>
      <c r="H47" s="468"/>
      <c r="I47" s="468"/>
      <c r="J47" s="468"/>
      <c r="K47" s="435">
        <f t="shared" si="1"/>
        <v>0</v>
      </c>
      <c r="M47">
        <f t="shared" si="2"/>
        <v>0</v>
      </c>
      <c r="Q47" s="149"/>
      <c r="R47" s="149"/>
    </row>
    <row r="48" spans="2:18" x14ac:dyDescent="0.3">
      <c r="B48" s="432">
        <v>2</v>
      </c>
      <c r="C48" s="433"/>
      <c r="D48" s="434"/>
      <c r="E48" s="434"/>
      <c r="F48" s="434">
        <f t="shared" si="8"/>
        <v>0</v>
      </c>
      <c r="G48" s="434"/>
      <c r="H48" s="434"/>
      <c r="I48" s="434"/>
      <c r="J48" s="434"/>
      <c r="K48" s="435">
        <f t="shared" si="1"/>
        <v>0</v>
      </c>
      <c r="M48">
        <f t="shared" si="2"/>
        <v>0</v>
      </c>
      <c r="Q48" s="149"/>
      <c r="R48" s="149"/>
    </row>
    <row r="49" spans="2:15" ht="20.100000000000001" customHeight="1" x14ac:dyDescent="0.3">
      <c r="B49" s="779" t="s">
        <v>308</v>
      </c>
      <c r="C49" s="780"/>
      <c r="D49" s="780"/>
      <c r="E49" s="780"/>
      <c r="F49" s="780"/>
      <c r="G49" s="780"/>
      <c r="H49" s="780"/>
      <c r="I49" s="780"/>
      <c r="J49" s="780"/>
      <c r="K49" s="93">
        <f>SUM(K38:K48)+SUM(K5:K33)-K41</f>
        <v>21651.579000000002</v>
      </c>
      <c r="M49">
        <f>SUM(M6:M48)</f>
        <v>11012.697</v>
      </c>
    </row>
    <row r="51" spans="2:15" x14ac:dyDescent="0.3">
      <c r="B51" s="255" t="s">
        <v>580</v>
      </c>
    </row>
    <row r="52" spans="2:15" x14ac:dyDescent="0.3">
      <c r="B52" s="775" t="s">
        <v>2</v>
      </c>
      <c r="C52" s="775" t="s">
        <v>48</v>
      </c>
      <c r="D52" s="775" t="s">
        <v>165</v>
      </c>
      <c r="E52" s="777" t="s">
        <v>427</v>
      </c>
      <c r="F52" s="777" t="s">
        <v>648</v>
      </c>
      <c r="G52" s="775" t="s">
        <v>163</v>
      </c>
      <c r="H52" s="775"/>
      <c r="I52" s="775" t="s">
        <v>47</v>
      </c>
      <c r="J52" s="775"/>
      <c r="K52" s="775" t="s">
        <v>166</v>
      </c>
    </row>
    <row r="53" spans="2:15" ht="36" x14ac:dyDescent="0.3">
      <c r="B53" s="775"/>
      <c r="C53" s="775"/>
      <c r="D53" s="775"/>
      <c r="E53" s="778"/>
      <c r="F53" s="778"/>
      <c r="G53" s="91" t="s">
        <v>49</v>
      </c>
      <c r="H53" s="91" t="s">
        <v>164</v>
      </c>
      <c r="I53" s="91" t="s">
        <v>49</v>
      </c>
      <c r="J53" s="91" t="s">
        <v>164</v>
      </c>
      <c r="K53" s="775"/>
    </row>
    <row r="54" spans="2:15" ht="15" customHeight="1" x14ac:dyDescent="0.3">
      <c r="B54" s="469"/>
      <c r="C54" s="482" t="str">
        <f>C4</f>
        <v>3-DMTT</v>
      </c>
      <c r="D54" s="470"/>
      <c r="E54" s="470"/>
      <c r="F54" s="470"/>
      <c r="G54" s="470"/>
      <c r="H54" s="470"/>
      <c r="I54" s="470"/>
      <c r="J54" s="470"/>
      <c r="K54" s="470"/>
      <c r="M54" s="149"/>
      <c r="O54" s="149"/>
    </row>
    <row r="55" spans="2:15" x14ac:dyDescent="0.3">
      <c r="B55" s="432"/>
      <c r="C55" s="477" t="str">
        <f t="shared" ref="B55:C67" si="9">C5</f>
        <v>Electrical technological devices</v>
      </c>
      <c r="D55" s="475"/>
      <c r="E55" s="475"/>
      <c r="F55" s="475"/>
      <c r="G55" s="475"/>
      <c r="H55" s="475"/>
      <c r="I55" s="475"/>
      <c r="J55" s="476"/>
      <c r="K55" s="435" t="str">
        <f t="shared" ref="K55:K99" si="10">IF(ISNUMBER(F55),F55*G55*I55+F55*H55*J55,"")</f>
        <v/>
      </c>
    </row>
    <row r="56" spans="2:15" x14ac:dyDescent="0.3">
      <c r="B56" s="432">
        <f t="shared" si="9"/>
        <v>1</v>
      </c>
      <c r="C56" s="433" t="str">
        <f t="shared" si="9"/>
        <v>TV</v>
      </c>
      <c r="D56" s="434">
        <f t="shared" ref="D56:J67" si="11">D6</f>
        <v>0.2</v>
      </c>
      <c r="E56" s="434">
        <f t="shared" si="11"/>
        <v>13</v>
      </c>
      <c r="F56" s="434">
        <f t="shared" si="11"/>
        <v>2.6</v>
      </c>
      <c r="G56" s="434">
        <f t="shared" si="11"/>
        <v>120</v>
      </c>
      <c r="H56" s="434">
        <f t="shared" si="11"/>
        <v>120</v>
      </c>
      <c r="I56" s="434">
        <f t="shared" si="11"/>
        <v>0.36</v>
      </c>
      <c r="J56" s="434">
        <f t="shared" si="11"/>
        <v>0.37</v>
      </c>
      <c r="K56" s="435">
        <f t="shared" si="10"/>
        <v>227.76</v>
      </c>
      <c r="L56" s="149"/>
      <c r="M56">
        <f>IF(ISNUMBER(F56),F56*H56*J56,"")</f>
        <v>115.44</v>
      </c>
    </row>
    <row r="57" spans="2:15" x14ac:dyDescent="0.3">
      <c r="B57" s="432">
        <f t="shared" si="9"/>
        <v>2</v>
      </c>
      <c r="C57" s="433">
        <f t="shared" si="9"/>
        <v>0</v>
      </c>
      <c r="D57" s="434">
        <f t="shared" si="11"/>
        <v>0</v>
      </c>
      <c r="E57" s="434">
        <f>E7</f>
        <v>0</v>
      </c>
      <c r="F57" s="434">
        <f>F7</f>
        <v>0</v>
      </c>
      <c r="G57" s="434">
        <f>G7</f>
        <v>0</v>
      </c>
      <c r="H57" s="434">
        <f>H7</f>
        <v>0</v>
      </c>
      <c r="I57" s="434">
        <f t="shared" si="11"/>
        <v>0</v>
      </c>
      <c r="J57" s="434">
        <f t="shared" si="11"/>
        <v>0</v>
      </c>
      <c r="K57" s="435">
        <f t="shared" si="10"/>
        <v>0</v>
      </c>
      <c r="L57" s="149"/>
      <c r="M57">
        <f t="shared" ref="M57:M98" si="12">IF(ISNUMBER(F57),F57*H57*J57,"")</f>
        <v>0</v>
      </c>
    </row>
    <row r="58" spans="2:15" x14ac:dyDescent="0.3">
      <c r="B58" s="432">
        <f t="shared" si="9"/>
        <v>3</v>
      </c>
      <c r="C58" s="433" t="s">
        <v>860</v>
      </c>
      <c r="D58" s="434">
        <v>2</v>
      </c>
      <c r="E58" s="434">
        <v>1</v>
      </c>
      <c r="F58" s="434">
        <f>D58*E58</f>
        <v>2</v>
      </c>
      <c r="G58" s="434">
        <v>125</v>
      </c>
      <c r="H58" s="434">
        <v>0.48</v>
      </c>
      <c r="I58" s="434">
        <v>0.47</v>
      </c>
      <c r="J58" s="434">
        <f t="shared" si="11"/>
        <v>0.47</v>
      </c>
      <c r="K58" s="435">
        <f t="shared" si="10"/>
        <v>117.9512</v>
      </c>
      <c r="L58" s="149"/>
      <c r="M58">
        <f t="shared" si="12"/>
        <v>0.45119999999999993</v>
      </c>
    </row>
    <row r="59" spans="2:15" x14ac:dyDescent="0.3">
      <c r="B59" s="432">
        <f t="shared" si="9"/>
        <v>4</v>
      </c>
      <c r="C59" s="433">
        <f t="shared" si="9"/>
        <v>0</v>
      </c>
      <c r="D59" s="434">
        <f t="shared" si="11"/>
        <v>0</v>
      </c>
      <c r="E59" s="434">
        <f t="shared" si="11"/>
        <v>0</v>
      </c>
      <c r="F59" s="434">
        <f t="shared" si="11"/>
        <v>0</v>
      </c>
      <c r="G59" s="434">
        <f t="shared" si="11"/>
        <v>0</v>
      </c>
      <c r="H59" s="434">
        <f t="shared" si="11"/>
        <v>0</v>
      </c>
      <c r="I59" s="434">
        <f t="shared" si="11"/>
        <v>0</v>
      </c>
      <c r="J59" s="434">
        <f t="shared" si="11"/>
        <v>0</v>
      </c>
      <c r="K59" s="435">
        <f t="shared" si="10"/>
        <v>0</v>
      </c>
      <c r="L59" s="149"/>
      <c r="M59">
        <f t="shared" si="12"/>
        <v>0</v>
      </c>
    </row>
    <row r="60" spans="2:15" x14ac:dyDescent="0.3">
      <c r="B60" s="432">
        <f t="shared" si="9"/>
        <v>5</v>
      </c>
      <c r="C60" s="433">
        <f t="shared" si="9"/>
        <v>0</v>
      </c>
      <c r="D60" s="434">
        <f t="shared" si="11"/>
        <v>0</v>
      </c>
      <c r="E60" s="434">
        <f t="shared" si="11"/>
        <v>0</v>
      </c>
      <c r="F60" s="434">
        <f t="shared" si="11"/>
        <v>0</v>
      </c>
      <c r="G60" s="434">
        <f t="shared" si="11"/>
        <v>0</v>
      </c>
      <c r="H60" s="434">
        <f t="shared" si="11"/>
        <v>0</v>
      </c>
      <c r="I60" s="434">
        <f t="shared" si="11"/>
        <v>0</v>
      </c>
      <c r="J60" s="434">
        <f t="shared" si="11"/>
        <v>0</v>
      </c>
      <c r="K60" s="435">
        <f t="shared" si="10"/>
        <v>0</v>
      </c>
      <c r="L60" s="149"/>
      <c r="M60">
        <f t="shared" si="12"/>
        <v>0</v>
      </c>
    </row>
    <row r="61" spans="2:15" x14ac:dyDescent="0.3">
      <c r="B61" s="432">
        <f t="shared" si="9"/>
        <v>6</v>
      </c>
      <c r="C61" s="433">
        <f t="shared" si="9"/>
        <v>0</v>
      </c>
      <c r="D61" s="434">
        <f t="shared" si="11"/>
        <v>0</v>
      </c>
      <c r="E61" s="434">
        <f t="shared" si="11"/>
        <v>0</v>
      </c>
      <c r="F61" s="434">
        <f t="shared" si="11"/>
        <v>0</v>
      </c>
      <c r="G61" s="434">
        <f t="shared" si="11"/>
        <v>0</v>
      </c>
      <c r="H61" s="434">
        <f t="shared" si="11"/>
        <v>0</v>
      </c>
      <c r="I61" s="434">
        <f t="shared" si="11"/>
        <v>0</v>
      </c>
      <c r="J61" s="434">
        <f t="shared" si="11"/>
        <v>0</v>
      </c>
      <c r="K61" s="435">
        <f t="shared" si="10"/>
        <v>0</v>
      </c>
      <c r="L61" s="149"/>
      <c r="M61">
        <f t="shared" si="12"/>
        <v>0</v>
      </c>
    </row>
    <row r="62" spans="2:15" x14ac:dyDescent="0.3">
      <c r="B62" s="432">
        <f t="shared" si="9"/>
        <v>7</v>
      </c>
      <c r="C62" s="433">
        <f t="shared" si="9"/>
        <v>0</v>
      </c>
      <c r="D62" s="434">
        <f t="shared" si="11"/>
        <v>0</v>
      </c>
      <c r="E62" s="434">
        <f t="shared" si="11"/>
        <v>0</v>
      </c>
      <c r="F62" s="434">
        <f t="shared" si="11"/>
        <v>0</v>
      </c>
      <c r="G62" s="434">
        <f t="shared" si="11"/>
        <v>0</v>
      </c>
      <c r="H62" s="434">
        <f t="shared" si="11"/>
        <v>0</v>
      </c>
      <c r="I62" s="434">
        <f t="shared" si="11"/>
        <v>0</v>
      </c>
      <c r="J62" s="434">
        <f t="shared" si="11"/>
        <v>0</v>
      </c>
      <c r="K62" s="435">
        <f t="shared" si="10"/>
        <v>0</v>
      </c>
      <c r="L62" s="149"/>
      <c r="M62">
        <f t="shared" si="12"/>
        <v>0</v>
      </c>
    </row>
    <row r="63" spans="2:15" x14ac:dyDescent="0.3">
      <c r="B63" s="432">
        <f t="shared" si="9"/>
        <v>8</v>
      </c>
      <c r="C63" s="433">
        <f t="shared" si="9"/>
        <v>0</v>
      </c>
      <c r="D63" s="434">
        <f t="shared" si="11"/>
        <v>0</v>
      </c>
      <c r="E63" s="434">
        <f t="shared" si="11"/>
        <v>0</v>
      </c>
      <c r="F63" s="434">
        <f t="shared" si="11"/>
        <v>0</v>
      </c>
      <c r="G63" s="434">
        <f t="shared" si="11"/>
        <v>0</v>
      </c>
      <c r="H63" s="434">
        <f t="shared" si="11"/>
        <v>0</v>
      </c>
      <c r="I63" s="434">
        <f t="shared" si="11"/>
        <v>0</v>
      </c>
      <c r="J63" s="434">
        <f t="shared" si="11"/>
        <v>0</v>
      </c>
      <c r="K63" s="435">
        <f t="shared" si="10"/>
        <v>0</v>
      </c>
      <c r="L63" s="149"/>
      <c r="M63">
        <f t="shared" si="12"/>
        <v>0</v>
      </c>
    </row>
    <row r="64" spans="2:15" x14ac:dyDescent="0.3">
      <c r="B64" s="432">
        <f t="shared" si="9"/>
        <v>9</v>
      </c>
      <c r="C64" s="433">
        <f t="shared" si="9"/>
        <v>0</v>
      </c>
      <c r="D64" s="434">
        <f t="shared" si="11"/>
        <v>0</v>
      </c>
      <c r="E64" s="434">
        <f t="shared" si="11"/>
        <v>0</v>
      </c>
      <c r="F64" s="434">
        <f t="shared" si="11"/>
        <v>0</v>
      </c>
      <c r="G64" s="434">
        <f t="shared" si="11"/>
        <v>0</v>
      </c>
      <c r="H64" s="434">
        <f t="shared" si="11"/>
        <v>0</v>
      </c>
      <c r="I64" s="434">
        <f t="shared" si="11"/>
        <v>0</v>
      </c>
      <c r="J64" s="434">
        <f t="shared" si="11"/>
        <v>0</v>
      </c>
      <c r="K64" s="435">
        <f t="shared" si="10"/>
        <v>0</v>
      </c>
      <c r="L64" s="149"/>
      <c r="M64">
        <f t="shared" si="12"/>
        <v>0</v>
      </c>
    </row>
    <row r="65" spans="2:13" x14ac:dyDescent="0.3">
      <c r="B65" s="432">
        <f t="shared" si="9"/>
        <v>10</v>
      </c>
      <c r="C65" s="433">
        <f t="shared" si="9"/>
        <v>0</v>
      </c>
      <c r="D65" s="434">
        <f t="shared" si="11"/>
        <v>0</v>
      </c>
      <c r="E65" s="434">
        <f t="shared" si="11"/>
        <v>0</v>
      </c>
      <c r="F65" s="434">
        <f t="shared" si="11"/>
        <v>0</v>
      </c>
      <c r="G65" s="434">
        <f t="shared" si="11"/>
        <v>0</v>
      </c>
      <c r="H65" s="434">
        <f t="shared" si="11"/>
        <v>0</v>
      </c>
      <c r="I65" s="434">
        <f t="shared" si="11"/>
        <v>0</v>
      </c>
      <c r="J65" s="434">
        <f t="shared" si="11"/>
        <v>0</v>
      </c>
      <c r="K65" s="435">
        <f t="shared" si="10"/>
        <v>0</v>
      </c>
      <c r="L65" s="149"/>
      <c r="M65">
        <f t="shared" si="12"/>
        <v>0</v>
      </c>
    </row>
    <row r="66" spans="2:13" x14ac:dyDescent="0.3">
      <c r="B66" s="432">
        <f t="shared" si="9"/>
        <v>11</v>
      </c>
      <c r="C66" s="433">
        <f t="shared" si="9"/>
        <v>0</v>
      </c>
      <c r="D66" s="434">
        <f t="shared" si="11"/>
        <v>0</v>
      </c>
      <c r="E66" s="434">
        <f t="shared" si="11"/>
        <v>0</v>
      </c>
      <c r="F66" s="434">
        <f t="shared" si="11"/>
        <v>0</v>
      </c>
      <c r="G66" s="434">
        <f t="shared" si="11"/>
        <v>0</v>
      </c>
      <c r="H66" s="434">
        <f t="shared" si="11"/>
        <v>0</v>
      </c>
      <c r="I66" s="434">
        <f t="shared" si="11"/>
        <v>0</v>
      </c>
      <c r="J66" s="434">
        <f t="shared" si="11"/>
        <v>0</v>
      </c>
      <c r="K66" s="435">
        <f t="shared" si="10"/>
        <v>0</v>
      </c>
      <c r="L66" s="149"/>
      <c r="M66">
        <f t="shared" si="12"/>
        <v>0</v>
      </c>
    </row>
    <row r="67" spans="2:13" x14ac:dyDescent="0.3">
      <c r="B67" s="432">
        <f t="shared" si="9"/>
        <v>12</v>
      </c>
      <c r="C67" s="433">
        <f t="shared" si="9"/>
        <v>0</v>
      </c>
      <c r="D67" s="434">
        <f t="shared" si="11"/>
        <v>0</v>
      </c>
      <c r="E67" s="434">
        <f t="shared" si="11"/>
        <v>0</v>
      </c>
      <c r="F67" s="434">
        <f t="shared" si="11"/>
        <v>0</v>
      </c>
      <c r="G67" s="434">
        <f t="shared" si="11"/>
        <v>0</v>
      </c>
      <c r="H67" s="434">
        <f t="shared" si="11"/>
        <v>0</v>
      </c>
      <c r="I67" s="434">
        <f t="shared" si="11"/>
        <v>0</v>
      </c>
      <c r="J67" s="434">
        <f t="shared" si="11"/>
        <v>0</v>
      </c>
      <c r="K67" s="435">
        <f t="shared" si="10"/>
        <v>0</v>
      </c>
      <c r="L67" s="149"/>
      <c r="M67">
        <f t="shared" si="12"/>
        <v>0</v>
      </c>
    </row>
    <row r="68" spans="2:13" x14ac:dyDescent="0.3">
      <c r="B68" s="432"/>
      <c r="C68" s="477" t="str">
        <f t="shared" ref="C68:C84" si="13">C18</f>
        <v>Technological equipment (kitchen)</v>
      </c>
      <c r="D68" s="475"/>
      <c r="E68" s="475"/>
      <c r="F68" s="475"/>
      <c r="G68" s="475"/>
      <c r="H68" s="475"/>
      <c r="I68" s="475"/>
      <c r="J68" s="476"/>
      <c r="K68" s="435"/>
      <c r="L68" s="149"/>
      <c r="M68" t="str">
        <f t="shared" si="12"/>
        <v/>
      </c>
    </row>
    <row r="69" spans="2:13" x14ac:dyDescent="0.3">
      <c r="B69" s="432">
        <f t="shared" ref="B69:B81" si="14">B19</f>
        <v>1</v>
      </c>
      <c r="C69" s="433" t="str">
        <f t="shared" si="13"/>
        <v>Termos</v>
      </c>
      <c r="D69" s="434">
        <f t="shared" ref="D69:J81" si="15">D19</f>
        <v>1.5</v>
      </c>
      <c r="E69" s="434">
        <f t="shared" si="15"/>
        <v>2</v>
      </c>
      <c r="F69" s="434">
        <f t="shared" si="15"/>
        <v>3</v>
      </c>
      <c r="G69" s="434">
        <f t="shared" si="15"/>
        <v>125</v>
      </c>
      <c r="H69" s="434">
        <f t="shared" si="15"/>
        <v>125</v>
      </c>
      <c r="I69" s="434">
        <f t="shared" si="15"/>
        <v>0.48</v>
      </c>
      <c r="J69" s="434">
        <f t="shared" si="15"/>
        <v>0.47</v>
      </c>
      <c r="K69" s="435">
        <f t="shared" si="10"/>
        <v>356.25</v>
      </c>
      <c r="L69" s="149"/>
      <c r="M69">
        <f>IF(ISNUMBER(F69),F69*H69*J69,"")</f>
        <v>176.25</v>
      </c>
    </row>
    <row r="70" spans="2:13" x14ac:dyDescent="0.3">
      <c r="B70" s="432">
        <f t="shared" si="14"/>
        <v>2</v>
      </c>
      <c r="C70" s="433">
        <f t="shared" si="13"/>
        <v>0</v>
      </c>
      <c r="D70" s="434">
        <f t="shared" si="15"/>
        <v>0</v>
      </c>
      <c r="E70" s="434">
        <f t="shared" si="15"/>
        <v>0</v>
      </c>
      <c r="F70" s="434">
        <f t="shared" si="15"/>
        <v>0</v>
      </c>
      <c r="G70" s="434">
        <f t="shared" si="15"/>
        <v>0</v>
      </c>
      <c r="H70" s="434">
        <f t="shared" si="15"/>
        <v>0</v>
      </c>
      <c r="I70" s="434">
        <f t="shared" si="15"/>
        <v>0</v>
      </c>
      <c r="J70" s="434">
        <f t="shared" si="15"/>
        <v>0</v>
      </c>
      <c r="K70" s="435">
        <f t="shared" si="10"/>
        <v>0</v>
      </c>
      <c r="L70" s="149"/>
      <c r="M70">
        <f t="shared" si="12"/>
        <v>0</v>
      </c>
    </row>
    <row r="71" spans="2:13" x14ac:dyDescent="0.3">
      <c r="B71" s="432">
        <f t="shared" si="14"/>
        <v>3</v>
      </c>
      <c r="C71" s="433" t="str">
        <f t="shared" si="13"/>
        <v>Electric stove</v>
      </c>
      <c r="D71" s="434">
        <v>10</v>
      </c>
      <c r="E71" s="434">
        <f t="shared" si="15"/>
        <v>2</v>
      </c>
      <c r="F71" s="434">
        <f>D71*E71</f>
        <v>20</v>
      </c>
      <c r="G71" s="434">
        <f t="shared" si="15"/>
        <v>500</v>
      </c>
      <c r="H71" s="434">
        <f t="shared" si="15"/>
        <v>500</v>
      </c>
      <c r="I71" s="434">
        <f t="shared" si="15"/>
        <v>0.52</v>
      </c>
      <c r="J71" s="434">
        <f t="shared" si="15"/>
        <v>0.54</v>
      </c>
      <c r="K71" s="435">
        <f t="shared" si="10"/>
        <v>10600</v>
      </c>
      <c r="L71" s="149"/>
      <c r="M71">
        <f t="shared" si="12"/>
        <v>5400</v>
      </c>
    </row>
    <row r="72" spans="2:13" x14ac:dyDescent="0.3">
      <c r="B72" s="432">
        <f t="shared" si="14"/>
        <v>4</v>
      </c>
      <c r="C72" s="433" t="str">
        <f t="shared" si="13"/>
        <v>Meat grinder</v>
      </c>
      <c r="D72" s="434">
        <f t="shared" si="15"/>
        <v>1</v>
      </c>
      <c r="E72" s="434">
        <f t="shared" si="15"/>
        <v>1</v>
      </c>
      <c r="F72" s="434">
        <f t="shared" si="15"/>
        <v>1</v>
      </c>
      <c r="G72" s="434">
        <f t="shared" si="15"/>
        <v>140</v>
      </c>
      <c r="H72" s="434">
        <f t="shared" si="15"/>
        <v>140</v>
      </c>
      <c r="I72" s="434">
        <f t="shared" si="15"/>
        <v>0.45</v>
      </c>
      <c r="J72" s="434">
        <f t="shared" si="15"/>
        <v>0.46</v>
      </c>
      <c r="K72" s="435">
        <f t="shared" si="10"/>
        <v>127.4</v>
      </c>
      <c r="L72" s="149"/>
      <c r="M72">
        <f t="shared" si="12"/>
        <v>64.400000000000006</v>
      </c>
    </row>
    <row r="73" spans="2:13" x14ac:dyDescent="0.3">
      <c r="B73" s="432">
        <f t="shared" si="14"/>
        <v>5</v>
      </c>
      <c r="C73" s="433" t="str">
        <f t="shared" si="13"/>
        <v>Refrigerators (new)</v>
      </c>
      <c r="D73" s="434">
        <f t="shared" si="15"/>
        <v>0.8</v>
      </c>
      <c r="E73" s="434">
        <f t="shared" si="15"/>
        <v>3</v>
      </c>
      <c r="F73" s="434">
        <f t="shared" si="15"/>
        <v>2.4000000000000004</v>
      </c>
      <c r="G73" s="434">
        <f t="shared" si="15"/>
        <v>467</v>
      </c>
      <c r="H73" s="434">
        <f t="shared" si="15"/>
        <v>467</v>
      </c>
      <c r="I73" s="434">
        <f t="shared" si="15"/>
        <v>0.63</v>
      </c>
      <c r="J73" s="434">
        <f t="shared" si="15"/>
        <v>0.64</v>
      </c>
      <c r="K73" s="435">
        <f t="shared" si="10"/>
        <v>1423.4160000000002</v>
      </c>
      <c r="L73" s="149"/>
      <c r="M73">
        <f t="shared" si="12"/>
        <v>717.31200000000013</v>
      </c>
    </row>
    <row r="74" spans="2:13" x14ac:dyDescent="0.3">
      <c r="B74" s="432">
        <f t="shared" si="14"/>
        <v>6</v>
      </c>
      <c r="C74" s="433" t="str">
        <f t="shared" si="13"/>
        <v>Refrigerators (old)</v>
      </c>
      <c r="D74" s="434">
        <v>0.8</v>
      </c>
      <c r="E74" s="434">
        <f t="shared" si="15"/>
        <v>2</v>
      </c>
      <c r="F74" s="434">
        <f>D74*E74</f>
        <v>1.6</v>
      </c>
      <c r="G74" s="434">
        <f t="shared" si="15"/>
        <v>467</v>
      </c>
      <c r="H74" s="434">
        <f t="shared" si="15"/>
        <v>467</v>
      </c>
      <c r="I74" s="434">
        <f t="shared" si="15"/>
        <v>0.63</v>
      </c>
      <c r="J74" s="434">
        <f t="shared" si="15"/>
        <v>0.64</v>
      </c>
      <c r="K74" s="435">
        <f t="shared" si="10"/>
        <v>948.94400000000007</v>
      </c>
      <c r="L74" s="149"/>
      <c r="M74">
        <f t="shared" si="12"/>
        <v>478.20800000000003</v>
      </c>
    </row>
    <row r="75" spans="2:13" x14ac:dyDescent="0.3">
      <c r="B75" s="432">
        <f t="shared" si="14"/>
        <v>7</v>
      </c>
      <c r="C75" s="433">
        <f t="shared" si="13"/>
        <v>0</v>
      </c>
      <c r="D75" s="434">
        <f t="shared" si="15"/>
        <v>0</v>
      </c>
      <c r="E75" s="434">
        <f t="shared" si="15"/>
        <v>0</v>
      </c>
      <c r="F75" s="434">
        <f t="shared" si="15"/>
        <v>0</v>
      </c>
      <c r="G75" s="434">
        <f t="shared" si="15"/>
        <v>0</v>
      </c>
      <c r="H75" s="434">
        <f t="shared" si="15"/>
        <v>0</v>
      </c>
      <c r="I75" s="434">
        <f t="shared" si="15"/>
        <v>0</v>
      </c>
      <c r="J75" s="434">
        <f t="shared" si="15"/>
        <v>0</v>
      </c>
      <c r="K75" s="435">
        <f t="shared" si="10"/>
        <v>0</v>
      </c>
      <c r="L75" s="149"/>
      <c r="M75">
        <f t="shared" si="12"/>
        <v>0</v>
      </c>
    </row>
    <row r="76" spans="2:13" x14ac:dyDescent="0.3">
      <c r="B76" s="432">
        <f t="shared" si="14"/>
        <v>8</v>
      </c>
      <c r="C76" s="433">
        <f t="shared" si="13"/>
        <v>0</v>
      </c>
      <c r="D76" s="434">
        <f t="shared" si="15"/>
        <v>0</v>
      </c>
      <c r="E76" s="434">
        <f t="shared" si="15"/>
        <v>0</v>
      </c>
      <c r="F76" s="434">
        <f t="shared" si="15"/>
        <v>0</v>
      </c>
      <c r="G76" s="434">
        <f t="shared" si="15"/>
        <v>0</v>
      </c>
      <c r="H76" s="434">
        <f t="shared" si="15"/>
        <v>0</v>
      </c>
      <c r="I76" s="434">
        <f t="shared" si="15"/>
        <v>0</v>
      </c>
      <c r="J76" s="434">
        <f t="shared" si="15"/>
        <v>0</v>
      </c>
      <c r="K76" s="435">
        <f t="shared" si="10"/>
        <v>0</v>
      </c>
      <c r="L76" s="149"/>
      <c r="M76">
        <f t="shared" si="12"/>
        <v>0</v>
      </c>
    </row>
    <row r="77" spans="2:13" x14ac:dyDescent="0.3">
      <c r="B77" s="432">
        <f t="shared" si="14"/>
        <v>9</v>
      </c>
      <c r="C77" s="433">
        <f t="shared" si="13"/>
        <v>0</v>
      </c>
      <c r="D77" s="434">
        <f t="shared" si="15"/>
        <v>0</v>
      </c>
      <c r="E77" s="434">
        <f t="shared" si="15"/>
        <v>0</v>
      </c>
      <c r="F77" s="434">
        <f t="shared" si="15"/>
        <v>0</v>
      </c>
      <c r="G77" s="434">
        <f t="shared" si="15"/>
        <v>0</v>
      </c>
      <c r="H77" s="434">
        <f t="shared" si="15"/>
        <v>0</v>
      </c>
      <c r="I77" s="434">
        <f t="shared" si="15"/>
        <v>0</v>
      </c>
      <c r="J77" s="434">
        <f t="shared" si="15"/>
        <v>0</v>
      </c>
      <c r="K77" s="435">
        <f t="shared" si="10"/>
        <v>0</v>
      </c>
      <c r="L77" s="149"/>
      <c r="M77">
        <f t="shared" si="12"/>
        <v>0</v>
      </c>
    </row>
    <row r="78" spans="2:13" x14ac:dyDescent="0.3">
      <c r="B78" s="432">
        <f t="shared" si="14"/>
        <v>10</v>
      </c>
      <c r="C78" s="433">
        <f t="shared" si="13"/>
        <v>0</v>
      </c>
      <c r="D78" s="434">
        <f t="shared" si="15"/>
        <v>0</v>
      </c>
      <c r="E78" s="434">
        <f t="shared" si="15"/>
        <v>0</v>
      </c>
      <c r="F78" s="434">
        <f t="shared" si="15"/>
        <v>0</v>
      </c>
      <c r="G78" s="434">
        <f t="shared" si="15"/>
        <v>0</v>
      </c>
      <c r="H78" s="434">
        <f t="shared" si="15"/>
        <v>0</v>
      </c>
      <c r="I78" s="434">
        <f t="shared" si="15"/>
        <v>0</v>
      </c>
      <c r="J78" s="434">
        <f t="shared" si="15"/>
        <v>0</v>
      </c>
      <c r="K78" s="435">
        <f t="shared" si="10"/>
        <v>0</v>
      </c>
      <c r="L78" s="149"/>
      <c r="M78">
        <f t="shared" si="12"/>
        <v>0</v>
      </c>
    </row>
    <row r="79" spans="2:13" x14ac:dyDescent="0.3">
      <c r="B79" s="432">
        <f t="shared" si="14"/>
        <v>11</v>
      </c>
      <c r="C79" s="433">
        <f t="shared" si="13"/>
        <v>0</v>
      </c>
      <c r="D79" s="434">
        <f t="shared" si="15"/>
        <v>0</v>
      </c>
      <c r="E79" s="434">
        <f t="shared" si="15"/>
        <v>0</v>
      </c>
      <c r="F79" s="434">
        <f t="shared" si="15"/>
        <v>0</v>
      </c>
      <c r="G79" s="434">
        <f t="shared" si="15"/>
        <v>0</v>
      </c>
      <c r="H79" s="434">
        <f t="shared" si="15"/>
        <v>0</v>
      </c>
      <c r="I79" s="434">
        <f t="shared" si="15"/>
        <v>0</v>
      </c>
      <c r="J79" s="434">
        <f t="shared" si="15"/>
        <v>0</v>
      </c>
      <c r="K79" s="435">
        <f t="shared" si="10"/>
        <v>0</v>
      </c>
      <c r="L79" s="149"/>
      <c r="M79">
        <f t="shared" si="12"/>
        <v>0</v>
      </c>
    </row>
    <row r="80" spans="2:13" x14ac:dyDescent="0.3">
      <c r="B80" s="432">
        <f t="shared" si="14"/>
        <v>12</v>
      </c>
      <c r="C80" s="433">
        <f t="shared" si="13"/>
        <v>0</v>
      </c>
      <c r="D80" s="434">
        <f t="shared" si="15"/>
        <v>0</v>
      </c>
      <c r="E80" s="434">
        <f t="shared" si="15"/>
        <v>0</v>
      </c>
      <c r="F80" s="434">
        <f t="shared" si="15"/>
        <v>0</v>
      </c>
      <c r="G80" s="434">
        <f t="shared" si="15"/>
        <v>0</v>
      </c>
      <c r="H80" s="434">
        <f t="shared" si="15"/>
        <v>0</v>
      </c>
      <c r="I80" s="434">
        <f t="shared" si="15"/>
        <v>0</v>
      </c>
      <c r="J80" s="434">
        <f t="shared" si="15"/>
        <v>0</v>
      </c>
      <c r="K80" s="435">
        <f t="shared" si="10"/>
        <v>0</v>
      </c>
      <c r="L80" s="149"/>
      <c r="M80">
        <f t="shared" si="12"/>
        <v>0</v>
      </c>
    </row>
    <row r="81" spans="2:13" x14ac:dyDescent="0.3">
      <c r="B81" s="432">
        <f t="shared" si="14"/>
        <v>13</v>
      </c>
      <c r="C81" s="433">
        <f t="shared" si="13"/>
        <v>0</v>
      </c>
      <c r="D81" s="434">
        <f t="shared" si="15"/>
        <v>0</v>
      </c>
      <c r="E81" s="434">
        <f t="shared" si="15"/>
        <v>0</v>
      </c>
      <c r="F81" s="434">
        <f t="shared" si="15"/>
        <v>0</v>
      </c>
      <c r="G81" s="434">
        <f t="shared" si="15"/>
        <v>0</v>
      </c>
      <c r="H81" s="434">
        <f t="shared" si="15"/>
        <v>0</v>
      </c>
      <c r="I81" s="434">
        <f t="shared" si="15"/>
        <v>0</v>
      </c>
      <c r="J81" s="434">
        <f t="shared" si="15"/>
        <v>0</v>
      </c>
      <c r="K81" s="435">
        <f t="shared" si="10"/>
        <v>0</v>
      </c>
      <c r="L81" s="149"/>
      <c r="M81">
        <f t="shared" si="12"/>
        <v>0</v>
      </c>
    </row>
    <row r="82" spans="2:13" x14ac:dyDescent="0.3">
      <c r="B82" s="432"/>
      <c r="C82" s="477" t="str">
        <f t="shared" si="13"/>
        <v xml:space="preserve">Laundry technological equipment </v>
      </c>
      <c r="D82" s="475"/>
      <c r="E82" s="475"/>
      <c r="F82" s="475"/>
      <c r="G82" s="475"/>
      <c r="H82" s="475"/>
      <c r="I82" s="475"/>
      <c r="J82" s="476"/>
      <c r="K82" s="435"/>
      <c r="L82" s="149"/>
      <c r="M82" t="str">
        <f t="shared" si="12"/>
        <v/>
      </c>
    </row>
    <row r="83" spans="2:13" x14ac:dyDescent="0.3">
      <c r="B83" s="432">
        <f>B33</f>
        <v>1</v>
      </c>
      <c r="C83" s="433" t="str">
        <f t="shared" si="13"/>
        <v>Washing machine</v>
      </c>
      <c r="D83" s="434">
        <f t="shared" ref="D83:J83" si="16">D33</f>
        <v>2</v>
      </c>
      <c r="E83" s="434">
        <f t="shared" si="16"/>
        <v>1</v>
      </c>
      <c r="F83" s="434">
        <f t="shared" si="16"/>
        <v>2</v>
      </c>
      <c r="G83" s="434">
        <f t="shared" si="16"/>
        <v>417</v>
      </c>
      <c r="H83" s="434">
        <f t="shared" si="16"/>
        <v>417</v>
      </c>
      <c r="I83" s="434">
        <f t="shared" si="16"/>
        <v>0.45</v>
      </c>
      <c r="J83" s="434">
        <f t="shared" si="16"/>
        <v>0.46</v>
      </c>
      <c r="K83" s="435">
        <f t="shared" si="10"/>
        <v>758.94</v>
      </c>
      <c r="L83" s="149"/>
      <c r="M83">
        <f t="shared" si="12"/>
        <v>383.64000000000004</v>
      </c>
    </row>
    <row r="84" spans="2:13" x14ac:dyDescent="0.3">
      <c r="B84" s="432"/>
      <c r="C84" s="477" t="str">
        <f t="shared" si="13"/>
        <v>Ventilation and air conditioning units</v>
      </c>
      <c r="D84" s="475"/>
      <c r="E84" s="475"/>
      <c r="F84" s="475"/>
      <c r="G84" s="475"/>
      <c r="H84" s="475"/>
      <c r="I84" s="475"/>
      <c r="J84" s="476"/>
      <c r="K84" s="435"/>
      <c r="L84" s="149"/>
      <c r="M84" t="str">
        <f t="shared" si="12"/>
        <v/>
      </c>
    </row>
    <row r="85" spans="2:13" x14ac:dyDescent="0.3">
      <c r="B85" s="432">
        <f>B35</f>
        <v>1</v>
      </c>
      <c r="C85" s="433"/>
      <c r="D85" s="434"/>
      <c r="E85" s="434"/>
      <c r="F85" s="434"/>
      <c r="G85" s="434"/>
      <c r="H85" s="434"/>
      <c r="I85" s="434"/>
      <c r="J85" s="434"/>
      <c r="K85" s="435"/>
      <c r="L85" s="149"/>
    </row>
    <row r="86" spans="2:13" x14ac:dyDescent="0.3">
      <c r="B86" s="432">
        <v>2</v>
      </c>
      <c r="C86" s="89" t="s">
        <v>828</v>
      </c>
      <c r="D86" s="434">
        <v>0.04</v>
      </c>
      <c r="E86" s="559">
        <f>'Ventilation losses'!G76</f>
        <v>41.8</v>
      </c>
      <c r="F86" s="434">
        <f>D86*E86</f>
        <v>1.6719999999999999</v>
      </c>
      <c r="G86" s="434">
        <v>1660</v>
      </c>
      <c r="H86" s="434">
        <v>900</v>
      </c>
      <c r="I86" s="434">
        <v>0.8</v>
      </c>
      <c r="J86" s="434">
        <v>0.8</v>
      </c>
      <c r="K86" s="435">
        <f t="shared" ref="K86" si="17">IF(ISNUMBER(F86),F86*G86*I86+F86*H86*J86,"")</f>
        <v>3424.2560000000003</v>
      </c>
      <c r="L86" s="149"/>
    </row>
    <row r="87" spans="2:13" x14ac:dyDescent="0.3">
      <c r="B87" s="432">
        <v>3</v>
      </c>
      <c r="C87" s="433"/>
      <c r="D87" s="434"/>
      <c r="E87" s="434"/>
      <c r="F87" s="434"/>
      <c r="G87" s="434"/>
      <c r="H87" s="434"/>
      <c r="I87" s="434"/>
      <c r="J87" s="434"/>
      <c r="K87" s="435"/>
      <c r="L87" s="149"/>
    </row>
    <row r="88" spans="2:13" ht="28.8" x14ac:dyDescent="0.3">
      <c r="B88" s="432"/>
      <c r="C88" s="477" t="str">
        <f t="shared" ref="C88:C89" si="18">C37</f>
        <v>Other electrical devices (computers, coffee machines etc)</v>
      </c>
      <c r="D88" s="475"/>
      <c r="E88" s="475"/>
      <c r="F88" s="475"/>
      <c r="G88" s="475"/>
      <c r="H88" s="475"/>
      <c r="I88" s="475"/>
      <c r="J88" s="476"/>
      <c r="K88" s="435"/>
      <c r="L88" s="149"/>
      <c r="M88" t="str">
        <f t="shared" si="12"/>
        <v/>
      </c>
    </row>
    <row r="89" spans="2:13" x14ac:dyDescent="0.3">
      <c r="B89" s="432">
        <f t="shared" ref="B89:B95" si="19">B38</f>
        <v>1</v>
      </c>
      <c r="C89" s="433" t="str">
        <f t="shared" si="18"/>
        <v>Computers</v>
      </c>
      <c r="D89" s="434">
        <f t="shared" ref="D89:J91" si="20">D38</f>
        <v>0.2</v>
      </c>
      <c r="E89" s="434">
        <f t="shared" si="20"/>
        <v>2</v>
      </c>
      <c r="F89" s="434">
        <f t="shared" si="20"/>
        <v>0.4</v>
      </c>
      <c r="G89" s="434">
        <f t="shared" si="20"/>
        <v>1440</v>
      </c>
      <c r="H89" s="434">
        <f t="shared" si="20"/>
        <v>1557</v>
      </c>
      <c r="I89" s="434">
        <f t="shared" si="20"/>
        <v>0.9</v>
      </c>
      <c r="J89" s="434">
        <f t="shared" si="20"/>
        <v>0.9</v>
      </c>
      <c r="K89" s="435">
        <f t="shared" si="10"/>
        <v>1078.92</v>
      </c>
      <c r="L89" s="149"/>
      <c r="M89">
        <f>IF(ISNUMBER(F89),F89*H89*J89,"")</f>
        <v>560.5200000000001</v>
      </c>
    </row>
    <row r="90" spans="2:13" x14ac:dyDescent="0.3">
      <c r="B90" s="432">
        <f t="shared" si="19"/>
        <v>2</v>
      </c>
      <c r="C90" s="433" t="str">
        <f>C39</f>
        <v>Printers</v>
      </c>
      <c r="D90" s="434">
        <f t="shared" si="20"/>
        <v>1</v>
      </c>
      <c r="E90" s="434">
        <f t="shared" si="20"/>
        <v>2</v>
      </c>
      <c r="F90" s="434">
        <f t="shared" si="20"/>
        <v>2</v>
      </c>
      <c r="G90" s="434">
        <f t="shared" si="20"/>
        <v>143</v>
      </c>
      <c r="H90" s="434">
        <f t="shared" si="20"/>
        <v>143</v>
      </c>
      <c r="I90" s="434">
        <f t="shared" si="20"/>
        <v>0.08</v>
      </c>
      <c r="J90" s="434">
        <f t="shared" si="20"/>
        <v>0.09</v>
      </c>
      <c r="K90" s="435">
        <f t="shared" si="10"/>
        <v>48.62</v>
      </c>
      <c r="L90" s="149"/>
      <c r="M90">
        <f>IF(ISNUMBER(F90),F90*H90*J90,"")</f>
        <v>25.74</v>
      </c>
    </row>
    <row r="91" spans="2:13" x14ac:dyDescent="0.3">
      <c r="B91" s="432">
        <f t="shared" si="19"/>
        <v>3</v>
      </c>
      <c r="C91" s="433" t="str">
        <f>C40</f>
        <v>Proektor</v>
      </c>
      <c r="D91" s="434">
        <f t="shared" si="20"/>
        <v>0.2</v>
      </c>
      <c r="E91" s="434">
        <f t="shared" si="20"/>
        <v>1</v>
      </c>
      <c r="F91" s="434">
        <f t="shared" si="20"/>
        <v>0.2</v>
      </c>
      <c r="G91" s="434">
        <f t="shared" si="20"/>
        <v>217</v>
      </c>
      <c r="H91" s="434">
        <f t="shared" si="20"/>
        <v>217</v>
      </c>
      <c r="I91" s="434">
        <f t="shared" si="20"/>
        <v>0.11</v>
      </c>
      <c r="J91" s="434">
        <f t="shared" si="20"/>
        <v>0.12</v>
      </c>
      <c r="K91" s="435">
        <f t="shared" si="10"/>
        <v>9.9820000000000011</v>
      </c>
      <c r="L91" s="149"/>
      <c r="M91">
        <f>IF(ISNUMBER(F91),F91*H91*J91,"")</f>
        <v>5.2080000000000002</v>
      </c>
    </row>
    <row r="92" spans="2:13" x14ac:dyDescent="0.3">
      <c r="B92" s="432">
        <f t="shared" si="19"/>
        <v>4</v>
      </c>
      <c r="C92" s="433">
        <f t="shared" ref="C92:E95" si="21">C42</f>
        <v>0</v>
      </c>
      <c r="D92" s="434">
        <f t="shared" si="21"/>
        <v>0</v>
      </c>
      <c r="E92" s="434">
        <f t="shared" si="21"/>
        <v>0</v>
      </c>
      <c r="F92" s="434">
        <f t="shared" ref="F92:J95" si="22">F42</f>
        <v>0</v>
      </c>
      <c r="G92" s="434">
        <f t="shared" si="22"/>
        <v>0</v>
      </c>
      <c r="H92" s="434">
        <f t="shared" si="22"/>
        <v>0</v>
      </c>
      <c r="I92" s="434">
        <f t="shared" si="22"/>
        <v>0</v>
      </c>
      <c r="J92" s="434">
        <f t="shared" si="22"/>
        <v>0</v>
      </c>
      <c r="K92" s="435">
        <f t="shared" si="10"/>
        <v>0</v>
      </c>
      <c r="L92" s="149"/>
      <c r="M92">
        <f>IF(ISNUMBER(F92),F92*H92*J92,"")</f>
        <v>0</v>
      </c>
    </row>
    <row r="93" spans="2:13" x14ac:dyDescent="0.3">
      <c r="B93" s="432">
        <f t="shared" si="19"/>
        <v>5</v>
      </c>
      <c r="C93" s="433">
        <f t="shared" si="21"/>
        <v>0</v>
      </c>
      <c r="D93" s="434">
        <f t="shared" si="21"/>
        <v>0</v>
      </c>
      <c r="E93" s="434">
        <f t="shared" si="21"/>
        <v>0</v>
      </c>
      <c r="F93" s="434">
        <f t="shared" si="22"/>
        <v>0</v>
      </c>
      <c r="G93" s="434">
        <f t="shared" si="22"/>
        <v>0</v>
      </c>
      <c r="H93" s="434">
        <f t="shared" si="22"/>
        <v>0</v>
      </c>
      <c r="I93" s="434">
        <f t="shared" si="22"/>
        <v>0</v>
      </c>
      <c r="J93" s="434">
        <f t="shared" si="22"/>
        <v>0</v>
      </c>
      <c r="K93" s="435">
        <f t="shared" si="10"/>
        <v>0</v>
      </c>
      <c r="L93" s="149"/>
      <c r="M93">
        <f t="shared" si="12"/>
        <v>0</v>
      </c>
    </row>
    <row r="94" spans="2:13" x14ac:dyDescent="0.3">
      <c r="B94" s="432">
        <f t="shared" si="19"/>
        <v>6</v>
      </c>
      <c r="C94" s="433">
        <f t="shared" si="21"/>
        <v>0</v>
      </c>
      <c r="D94" s="434">
        <f t="shared" si="21"/>
        <v>0</v>
      </c>
      <c r="E94" s="434">
        <f t="shared" si="21"/>
        <v>0</v>
      </c>
      <c r="F94" s="434">
        <f t="shared" si="22"/>
        <v>0</v>
      </c>
      <c r="G94" s="434">
        <f t="shared" si="22"/>
        <v>0</v>
      </c>
      <c r="H94" s="434">
        <f t="shared" si="22"/>
        <v>0</v>
      </c>
      <c r="I94" s="434">
        <f t="shared" si="22"/>
        <v>0</v>
      </c>
      <c r="J94" s="434">
        <f t="shared" si="22"/>
        <v>0</v>
      </c>
      <c r="K94" s="435">
        <f t="shared" si="10"/>
        <v>0</v>
      </c>
      <c r="L94" s="149"/>
      <c r="M94">
        <f t="shared" si="12"/>
        <v>0</v>
      </c>
    </row>
    <row r="95" spans="2:13" x14ac:dyDescent="0.3">
      <c r="B95" s="432">
        <f t="shared" si="19"/>
        <v>7</v>
      </c>
      <c r="C95" s="433">
        <f t="shared" si="21"/>
        <v>0</v>
      </c>
      <c r="D95" s="434">
        <f t="shared" si="21"/>
        <v>0</v>
      </c>
      <c r="E95" s="434">
        <f t="shared" si="21"/>
        <v>0</v>
      </c>
      <c r="F95" s="434">
        <f t="shared" si="22"/>
        <v>0</v>
      </c>
      <c r="G95" s="434">
        <f t="shared" si="22"/>
        <v>0</v>
      </c>
      <c r="H95" s="434">
        <f t="shared" si="22"/>
        <v>0</v>
      </c>
      <c r="I95" s="434">
        <f t="shared" si="22"/>
        <v>0</v>
      </c>
      <c r="J95" s="434">
        <f t="shared" si="22"/>
        <v>0</v>
      </c>
      <c r="K95" s="435">
        <f t="shared" si="10"/>
        <v>0</v>
      </c>
      <c r="L95" s="149"/>
      <c r="M95">
        <f t="shared" si="12"/>
        <v>0</v>
      </c>
    </row>
    <row r="96" spans="2:13" x14ac:dyDescent="0.3">
      <c r="B96" s="432"/>
      <c r="C96" s="477" t="str">
        <f>C46</f>
        <v>Elevators</v>
      </c>
      <c r="D96" s="475"/>
      <c r="E96" s="475"/>
      <c r="F96" s="475"/>
      <c r="G96" s="475"/>
      <c r="H96" s="475"/>
      <c r="I96" s="475"/>
      <c r="J96" s="476"/>
      <c r="K96" s="435"/>
      <c r="L96" s="149"/>
      <c r="M96" t="str">
        <f t="shared" si="12"/>
        <v/>
      </c>
    </row>
    <row r="97" spans="2:13" x14ac:dyDescent="0.3">
      <c r="B97" s="432">
        <f>B47</f>
        <v>1</v>
      </c>
      <c r="C97" s="433"/>
      <c r="D97" s="434"/>
      <c r="E97" s="434"/>
      <c r="F97" s="434">
        <f t="shared" ref="F97:F98" si="23">D97*E97</f>
        <v>0</v>
      </c>
      <c r="G97" s="434">
        <f t="shared" ref="G97:J98" si="24">G47</f>
        <v>0</v>
      </c>
      <c r="H97" s="434">
        <f t="shared" si="24"/>
        <v>0</v>
      </c>
      <c r="I97" s="434">
        <f t="shared" si="24"/>
        <v>0</v>
      </c>
      <c r="J97" s="434">
        <f t="shared" si="24"/>
        <v>0</v>
      </c>
      <c r="K97" s="435">
        <f t="shared" si="10"/>
        <v>0</v>
      </c>
      <c r="L97" s="149"/>
      <c r="M97">
        <f t="shared" si="12"/>
        <v>0</v>
      </c>
    </row>
    <row r="98" spans="2:13" x14ac:dyDescent="0.3">
      <c r="B98" s="432">
        <f>B48</f>
        <v>2</v>
      </c>
      <c r="C98" s="433"/>
      <c r="D98" s="434"/>
      <c r="E98" s="434"/>
      <c r="F98" s="434">
        <f t="shared" si="23"/>
        <v>0</v>
      </c>
      <c r="G98" s="434">
        <f t="shared" si="24"/>
        <v>0</v>
      </c>
      <c r="H98" s="434">
        <f t="shared" si="24"/>
        <v>0</v>
      </c>
      <c r="I98" s="434">
        <f t="shared" si="24"/>
        <v>0</v>
      </c>
      <c r="J98" s="434">
        <f t="shared" si="24"/>
        <v>0</v>
      </c>
      <c r="K98" s="435">
        <f t="shared" si="10"/>
        <v>0</v>
      </c>
      <c r="L98" s="149"/>
      <c r="M98">
        <f t="shared" si="12"/>
        <v>0</v>
      </c>
    </row>
    <row r="99" spans="2:13" x14ac:dyDescent="0.3">
      <c r="B99" s="432"/>
      <c r="C99" s="433"/>
      <c r="D99" s="434"/>
      <c r="E99" s="434"/>
      <c r="F99" s="434"/>
      <c r="G99" s="434"/>
      <c r="H99" s="434"/>
      <c r="I99" s="434"/>
      <c r="J99" s="434"/>
      <c r="K99" s="435" t="str">
        <f t="shared" si="10"/>
        <v/>
      </c>
    </row>
    <row r="100" spans="2:13" x14ac:dyDescent="0.3">
      <c r="B100" s="703" t="s">
        <v>309</v>
      </c>
      <c r="C100" s="704"/>
      <c r="D100" s="704"/>
      <c r="E100" s="704"/>
      <c r="F100" s="704"/>
      <c r="G100" s="704"/>
      <c r="H100" s="704"/>
      <c r="I100" s="704"/>
      <c r="J100" s="705"/>
      <c r="K100" s="93">
        <f>SUM(K89:K98)+SUM(K56:K83)</f>
        <v>15698.183199999999</v>
      </c>
      <c r="M100">
        <f>SUM(M56:M99)</f>
        <v>7927.1691999999994</v>
      </c>
    </row>
    <row r="102" spans="2:13" x14ac:dyDescent="0.3">
      <c r="J102" s="40" t="s">
        <v>400</v>
      </c>
      <c r="K102" s="268">
        <f>K49-K100</f>
        <v>5953.3958000000021</v>
      </c>
    </row>
    <row r="103" spans="2:13" x14ac:dyDescent="0.3">
      <c r="M103" s="40"/>
    </row>
    <row r="104" spans="2:13" x14ac:dyDescent="0.3">
      <c r="C104" s="255" t="s">
        <v>428</v>
      </c>
      <c r="M104" s="149"/>
    </row>
    <row r="105" spans="2:13" x14ac:dyDescent="0.3">
      <c r="C105" s="176" t="s">
        <v>840</v>
      </c>
    </row>
    <row r="106" spans="2:13" ht="36" x14ac:dyDescent="0.3">
      <c r="B106" s="223" t="s">
        <v>2</v>
      </c>
      <c r="C106" s="187" t="s">
        <v>1</v>
      </c>
      <c r="D106" s="187" t="s">
        <v>909</v>
      </c>
      <c r="E106" s="187"/>
      <c r="F106" s="187"/>
      <c r="G106" s="187" t="s">
        <v>427</v>
      </c>
      <c r="H106" s="187" t="s">
        <v>889</v>
      </c>
    </row>
    <row r="107" spans="2:13" x14ac:dyDescent="0.3">
      <c r="B107" s="432">
        <v>1</v>
      </c>
      <c r="C107" s="479" t="s">
        <v>807</v>
      </c>
      <c r="D107" s="528">
        <v>500</v>
      </c>
      <c r="E107" s="434"/>
      <c r="F107" s="434"/>
      <c r="G107" s="434">
        <v>1</v>
      </c>
      <c r="H107" s="480">
        <f>D107*G107</f>
        <v>500</v>
      </c>
    </row>
    <row r="108" spans="2:13" x14ac:dyDescent="0.3">
      <c r="B108" s="432">
        <v>2</v>
      </c>
      <c r="C108" s="479" t="s">
        <v>860</v>
      </c>
      <c r="D108" s="528">
        <v>70</v>
      </c>
      <c r="E108" s="434"/>
      <c r="F108" s="434"/>
      <c r="G108" s="434">
        <v>1</v>
      </c>
      <c r="H108" s="480">
        <f t="shared" ref="H108:H110" si="25">D108*G108</f>
        <v>70</v>
      </c>
    </row>
    <row r="109" spans="2:13" x14ac:dyDescent="0.3">
      <c r="B109" s="432">
        <v>3</v>
      </c>
      <c r="C109" s="479" t="s">
        <v>941</v>
      </c>
      <c r="D109" s="434">
        <v>300</v>
      </c>
      <c r="E109" s="434"/>
      <c r="F109" s="434"/>
      <c r="G109" s="434">
        <v>2</v>
      </c>
      <c r="H109" s="480">
        <f t="shared" si="25"/>
        <v>600</v>
      </c>
    </row>
    <row r="110" spans="2:13" x14ac:dyDescent="0.3">
      <c r="B110" s="432">
        <v>4</v>
      </c>
      <c r="C110" s="479" t="s">
        <v>940</v>
      </c>
      <c r="D110" s="434">
        <v>1500</v>
      </c>
      <c r="E110" s="434"/>
      <c r="F110" s="434"/>
      <c r="G110" s="434">
        <v>2</v>
      </c>
      <c r="H110" s="480">
        <f t="shared" si="25"/>
        <v>3000</v>
      </c>
    </row>
    <row r="111" spans="2:13" x14ac:dyDescent="0.3">
      <c r="B111" s="432">
        <v>5</v>
      </c>
      <c r="C111" s="479"/>
      <c r="D111" s="434"/>
      <c r="E111" s="434"/>
      <c r="F111" s="434"/>
      <c r="G111" s="434"/>
      <c r="H111" s="480"/>
    </row>
    <row r="112" spans="2:13" x14ac:dyDescent="0.3">
      <c r="B112" s="432">
        <v>6</v>
      </c>
      <c r="C112" s="479"/>
      <c r="D112" s="434"/>
      <c r="E112" s="434"/>
      <c r="F112" s="434"/>
      <c r="G112" s="434"/>
      <c r="H112" s="480"/>
    </row>
    <row r="113" spans="2:8" x14ac:dyDescent="0.3">
      <c r="B113" s="432">
        <v>7</v>
      </c>
      <c r="C113" s="479"/>
      <c r="D113" s="434"/>
      <c r="E113" s="434"/>
      <c r="F113" s="434"/>
      <c r="G113" s="434"/>
      <c r="H113" s="480"/>
    </row>
    <row r="114" spans="2:8" x14ac:dyDescent="0.3">
      <c r="B114" s="432">
        <v>8</v>
      </c>
      <c r="C114" s="479"/>
      <c r="D114" s="434"/>
      <c r="E114" s="434"/>
      <c r="F114" s="434"/>
      <c r="G114" s="434"/>
      <c r="H114" s="480"/>
    </row>
    <row r="115" spans="2:8" x14ac:dyDescent="0.3">
      <c r="B115" s="432">
        <v>9</v>
      </c>
      <c r="C115" s="479"/>
      <c r="D115" s="434"/>
      <c r="E115" s="434"/>
      <c r="F115" s="434"/>
      <c r="G115" s="434"/>
      <c r="H115" s="480"/>
    </row>
    <row r="116" spans="2:8" x14ac:dyDescent="0.3">
      <c r="B116" s="432">
        <v>10</v>
      </c>
      <c r="C116" s="479"/>
      <c r="D116" s="434"/>
      <c r="E116" s="434"/>
      <c r="F116" s="434"/>
      <c r="G116" s="434"/>
      <c r="H116" s="480"/>
    </row>
    <row r="117" spans="2:8" x14ac:dyDescent="0.3">
      <c r="B117" s="688" t="s">
        <v>558</v>
      </c>
      <c r="C117" s="690"/>
      <c r="D117" s="690"/>
      <c r="E117" s="690"/>
      <c r="F117" s="690"/>
      <c r="G117" s="691"/>
      <c r="H117" s="376">
        <f>SUM(H107:H116)</f>
        <v>4170</v>
      </c>
    </row>
    <row r="121" spans="2:8" ht="14.7" customHeight="1" x14ac:dyDescent="0.3"/>
  </sheetData>
  <mergeCells count="19">
    <mergeCell ref="B2:B3"/>
    <mergeCell ref="K2:K3"/>
    <mergeCell ref="G2:H2"/>
    <mergeCell ref="C2:C3"/>
    <mergeCell ref="D2:D3"/>
    <mergeCell ref="I2:J2"/>
    <mergeCell ref="E2:E3"/>
    <mergeCell ref="F2:F3"/>
    <mergeCell ref="B49:J49"/>
    <mergeCell ref="B117:G117"/>
    <mergeCell ref="K52:K53"/>
    <mergeCell ref="B100:J100"/>
    <mergeCell ref="B52:B53"/>
    <mergeCell ref="C52:C53"/>
    <mergeCell ref="D52:D53"/>
    <mergeCell ref="G52:H52"/>
    <mergeCell ref="I52:J52"/>
    <mergeCell ref="E52:E53"/>
    <mergeCell ref="F52:F5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B3:AB61"/>
  <sheetViews>
    <sheetView tabSelected="1" zoomScale="85" zoomScaleNormal="85" workbookViewId="0">
      <selection activeCell="K7" sqref="K7"/>
    </sheetView>
  </sheetViews>
  <sheetFormatPr defaultRowHeight="14.4" x14ac:dyDescent="0.3"/>
  <cols>
    <col min="2" max="2" width="4.44140625" customWidth="1"/>
    <col min="3" max="3" width="12" customWidth="1"/>
    <col min="19" max="19" width="30.44140625" customWidth="1"/>
  </cols>
  <sheetData>
    <row r="3" spans="2:19" ht="14.7" customHeight="1" x14ac:dyDescent="0.3">
      <c r="B3" s="781"/>
      <c r="C3" s="794" t="s">
        <v>127</v>
      </c>
      <c r="D3" s="794" t="s">
        <v>97</v>
      </c>
      <c r="E3" s="794"/>
      <c r="F3" s="794" t="s">
        <v>170</v>
      </c>
      <c r="G3" s="796" t="s">
        <v>181</v>
      </c>
      <c r="H3" s="794" t="s">
        <v>237</v>
      </c>
      <c r="I3" s="794" t="s">
        <v>171</v>
      </c>
      <c r="J3" s="794" t="s">
        <v>172</v>
      </c>
      <c r="K3" s="794"/>
      <c r="L3" s="794"/>
      <c r="M3" s="794"/>
      <c r="N3" s="794"/>
      <c r="O3" s="796" t="s">
        <v>174</v>
      </c>
    </row>
    <row r="4" spans="2:19" x14ac:dyDescent="0.3">
      <c r="B4" s="781"/>
      <c r="C4" s="794"/>
      <c r="D4" s="794"/>
      <c r="E4" s="794"/>
      <c r="F4" s="794"/>
      <c r="G4" s="797"/>
      <c r="H4" s="794"/>
      <c r="I4" s="794"/>
      <c r="J4" s="794" t="s">
        <v>173</v>
      </c>
      <c r="K4" s="794"/>
      <c r="L4" s="794"/>
      <c r="M4" s="794"/>
      <c r="N4" s="794"/>
      <c r="O4" s="797"/>
    </row>
    <row r="5" spans="2:19" x14ac:dyDescent="0.3">
      <c r="B5" s="782"/>
      <c r="C5" s="794"/>
      <c r="D5" s="794"/>
      <c r="E5" s="794"/>
      <c r="F5" s="794"/>
      <c r="G5" s="798"/>
      <c r="H5" s="794"/>
      <c r="I5" s="794"/>
      <c r="J5" s="282" t="s">
        <v>220</v>
      </c>
      <c r="K5" s="282" t="s">
        <v>175</v>
      </c>
      <c r="L5" s="282" t="s">
        <v>176</v>
      </c>
      <c r="M5" s="282" t="s">
        <v>177</v>
      </c>
      <c r="N5" s="282" t="s">
        <v>221</v>
      </c>
      <c r="O5" s="798"/>
    </row>
    <row r="6" spans="2:19" x14ac:dyDescent="0.3">
      <c r="B6" s="785"/>
      <c r="C6" s="395"/>
      <c r="D6" s="284" t="s">
        <v>142</v>
      </c>
      <c r="E6" s="285"/>
      <c r="F6" s="285" t="s">
        <v>211</v>
      </c>
      <c r="G6" s="369">
        <f>(SUMIF(Envelope!$C$7:$C$73,Cooling!F6,Envelope!$Q$7:$Q$73))+(SUMIF(Envelope!$C$7:$C$73,Cooling!F6,Envelope!$R$7:$R$73))+(SUMIF(Envelope!$C$7:$C$73,Cooling!F6,Envelope!$S$7:$S$73))</f>
        <v>79.02</v>
      </c>
      <c r="H6" s="286">
        <v>0.75</v>
      </c>
      <c r="I6" s="370">
        <v>0.8</v>
      </c>
      <c r="J6" s="287">
        <f t="shared" ref="J6:J11" si="0">IFERROR(VLOOKUP(F6,$W$27:$AB$35,2,FALSE),"")</f>
        <v>31.5</v>
      </c>
      <c r="K6" s="287">
        <f t="shared" ref="K6:K11" si="1">IFERROR(VLOOKUP(F6,$W$27:$AB$35,3,FALSE),"")</f>
        <v>65</v>
      </c>
      <c r="L6" s="287">
        <f t="shared" ref="L6:L11" si="2">IFERROR(VLOOKUP(F6,$W$27:$AB$35,4,FALSE),"")</f>
        <v>68</v>
      </c>
      <c r="M6" s="287">
        <f t="shared" ref="M6:M11" si="3">IFERROR(VLOOKUP(F6,$W$27:$AB$35,5,FALSE),"")</f>
        <v>61</v>
      </c>
      <c r="N6" s="287">
        <f t="shared" ref="N6:N11" si="4">IFERROR(VLOOKUP(F6,$W$27:$AB$35,6,FALSE),"")</f>
        <v>31</v>
      </c>
      <c r="O6" s="288">
        <f t="shared" ref="O6:O11" si="5">(N6+M6+L6+K6+J6)*G6*H6*I6</f>
        <v>12161.178</v>
      </c>
      <c r="Q6" s="149"/>
    </row>
    <row r="7" spans="2:19" x14ac:dyDescent="0.3">
      <c r="B7" s="785"/>
      <c r="C7" s="395"/>
      <c r="D7" s="284" t="s">
        <v>142</v>
      </c>
      <c r="E7" s="285"/>
      <c r="F7" s="285" t="s">
        <v>214</v>
      </c>
      <c r="G7" s="369">
        <f>(SUMIF(Envelope!$C$7:$C$73,Cooling!F7,Envelope!$Q$7:$Q$73))+(SUMIF(Envelope!$C$7:$C$73,Cooling!F7,Envelope!$R$7:$R$73))+(SUMIF(Envelope!$C$7:$C$73,Cooling!F7,Envelope!$S$7:$S$73))</f>
        <v>10.8</v>
      </c>
      <c r="H7" s="286">
        <v>0.75</v>
      </c>
      <c r="I7" s="370">
        <v>0.8</v>
      </c>
      <c r="J7" s="287">
        <f t="shared" si="0"/>
        <v>59</v>
      </c>
      <c r="K7" s="287">
        <f t="shared" si="1"/>
        <v>125</v>
      </c>
      <c r="L7" s="287">
        <f t="shared" si="2"/>
        <v>135</v>
      </c>
      <c r="M7" s="287">
        <f t="shared" si="3"/>
        <v>106</v>
      </c>
      <c r="N7" s="287">
        <f t="shared" si="4"/>
        <v>39.5</v>
      </c>
      <c r="O7" s="288">
        <f t="shared" si="5"/>
        <v>3009.9600000000005</v>
      </c>
    </row>
    <row r="8" spans="2:19" x14ac:dyDescent="0.3">
      <c r="B8" s="785"/>
      <c r="C8" s="395"/>
      <c r="D8" s="284" t="s">
        <v>142</v>
      </c>
      <c r="E8" s="285"/>
      <c r="F8" s="285" t="s">
        <v>216</v>
      </c>
      <c r="G8" s="369">
        <f>(SUMIF(Envelope!$C$7:$C$73,Cooling!F8,Envelope!$Q$7:$Q$73))+(SUMIF(Envelope!$C$7:$C$73,Cooling!F8,Envelope!$R$7:$R$73))+(SUMIF(Envelope!$C$7:$C$73,Cooling!F8,Envelope!$S$7:$S$73))</f>
        <v>0</v>
      </c>
      <c r="H8" s="286">
        <v>0.75</v>
      </c>
      <c r="I8" s="370">
        <v>0.8</v>
      </c>
      <c r="J8" s="287">
        <f t="shared" si="0"/>
        <v>52.5</v>
      </c>
      <c r="K8" s="287">
        <f t="shared" si="1"/>
        <v>111</v>
      </c>
      <c r="L8" s="287">
        <f t="shared" si="2"/>
        <v>120</v>
      </c>
      <c r="M8" s="287">
        <f t="shared" si="3"/>
        <v>99</v>
      </c>
      <c r="N8" s="287">
        <f t="shared" si="4"/>
        <v>41</v>
      </c>
      <c r="O8" s="288">
        <f t="shared" si="5"/>
        <v>0</v>
      </c>
    </row>
    <row r="9" spans="2:19" ht="14.7" customHeight="1" x14ac:dyDescent="0.3">
      <c r="B9" s="785"/>
      <c r="C9" s="283"/>
      <c r="D9" s="284" t="s">
        <v>142</v>
      </c>
      <c r="E9" s="285"/>
      <c r="F9" s="285" t="s">
        <v>217</v>
      </c>
      <c r="G9" s="369">
        <f>(SUMIF(Envelope!$C$7:$C$73,Cooling!F9,Envelope!$Q$7:$Q$73))+(SUMIF(Envelope!$C$7:$C$73,Cooling!F9,Envelope!$R$7:$R$73))+(SUMIF(Envelope!$C$7:$C$73,Cooling!F9,Envelope!$S$7:$S$73))</f>
        <v>0</v>
      </c>
      <c r="H9" s="286">
        <v>0.75</v>
      </c>
      <c r="I9" s="370">
        <v>0.8</v>
      </c>
      <c r="J9" s="287">
        <f t="shared" si="0"/>
        <v>52.5</v>
      </c>
      <c r="K9" s="287">
        <f t="shared" si="1"/>
        <v>111</v>
      </c>
      <c r="L9" s="287">
        <f t="shared" si="2"/>
        <v>120</v>
      </c>
      <c r="M9" s="287">
        <f t="shared" si="3"/>
        <v>99</v>
      </c>
      <c r="N9" s="287">
        <f t="shared" si="4"/>
        <v>41</v>
      </c>
      <c r="O9" s="288">
        <f t="shared" si="5"/>
        <v>0</v>
      </c>
    </row>
    <row r="10" spans="2:19" x14ac:dyDescent="0.3">
      <c r="B10" s="785"/>
      <c r="C10" s="283"/>
      <c r="D10" s="284" t="s">
        <v>142</v>
      </c>
      <c r="E10" s="285"/>
      <c r="F10" s="285" t="s">
        <v>218</v>
      </c>
      <c r="G10" s="369">
        <f>(SUMIF(Envelope!$C$7:$C$73,Cooling!F10,Envelope!$Q$7:$Q$73))+(SUMIF(Envelope!$C$7:$C$73,Cooling!F10,Envelope!$R$7:$R$73))+(SUMIF(Envelope!$C$7:$C$73,Cooling!F10,Envelope!$S$7:$S$73))</f>
        <v>0</v>
      </c>
      <c r="H10" s="286">
        <v>0.75</v>
      </c>
      <c r="I10" s="370">
        <v>0.8</v>
      </c>
      <c r="J10" s="287">
        <f t="shared" si="0"/>
        <v>45</v>
      </c>
      <c r="K10" s="287">
        <f t="shared" si="1"/>
        <v>93</v>
      </c>
      <c r="L10" s="287">
        <f t="shared" si="2"/>
        <v>98</v>
      </c>
      <c r="M10" s="287">
        <f t="shared" si="3"/>
        <v>76</v>
      </c>
      <c r="N10" s="287">
        <f t="shared" si="4"/>
        <v>24.5</v>
      </c>
      <c r="O10" s="288">
        <f t="shared" si="5"/>
        <v>0</v>
      </c>
    </row>
    <row r="11" spans="2:19" x14ac:dyDescent="0.3">
      <c r="B11" s="785"/>
      <c r="C11" s="283"/>
      <c r="D11" s="284" t="s">
        <v>142</v>
      </c>
      <c r="E11" s="285"/>
      <c r="F11" s="285" t="s">
        <v>219</v>
      </c>
      <c r="G11" s="369">
        <f>(SUMIF(Envelope!$C$7:$C$73,Cooling!F11,Envelope!$Q$7:$Q$73))+(SUMIF(Envelope!$C$7:$C$73,Cooling!F11,Envelope!$R$7:$R$73))+(SUMIF(Envelope!$C$7:$C$73,Cooling!F11,Envelope!$S$7:$S$73))</f>
        <v>0</v>
      </c>
      <c r="H11" s="286">
        <v>0.75</v>
      </c>
      <c r="I11" s="370">
        <v>0.8</v>
      </c>
      <c r="J11" s="287">
        <f t="shared" si="0"/>
        <v>45</v>
      </c>
      <c r="K11" s="287">
        <f t="shared" si="1"/>
        <v>93</v>
      </c>
      <c r="L11" s="287">
        <f t="shared" si="2"/>
        <v>98</v>
      </c>
      <c r="M11" s="287">
        <f t="shared" si="3"/>
        <v>76</v>
      </c>
      <c r="N11" s="287">
        <f t="shared" si="4"/>
        <v>24.5</v>
      </c>
      <c r="O11" s="288">
        <f t="shared" si="5"/>
        <v>0</v>
      </c>
    </row>
    <row r="12" spans="2:19" x14ac:dyDescent="0.3">
      <c r="B12" s="785"/>
      <c r="C12" s="283"/>
      <c r="D12" s="284" t="s">
        <v>142</v>
      </c>
      <c r="E12" s="285"/>
      <c r="F12" s="285"/>
      <c r="G12" s="369"/>
      <c r="H12" s="286"/>
      <c r="I12" s="370"/>
      <c r="J12" s="287"/>
      <c r="K12" s="287"/>
      <c r="L12" s="287"/>
      <c r="M12" s="287"/>
      <c r="N12" s="287"/>
      <c r="O12" s="288"/>
      <c r="S12" s="271"/>
    </row>
    <row r="13" spans="2:19" x14ac:dyDescent="0.3">
      <c r="B13" s="785"/>
      <c r="C13" s="283"/>
      <c r="D13" s="284" t="s">
        <v>142</v>
      </c>
      <c r="E13" s="285"/>
      <c r="F13" s="285"/>
      <c r="G13" s="369"/>
      <c r="H13" s="286"/>
      <c r="I13" s="370"/>
      <c r="J13" s="287"/>
      <c r="K13" s="287"/>
      <c r="L13" s="287"/>
      <c r="M13" s="287"/>
      <c r="N13" s="287"/>
      <c r="O13" s="288"/>
    </row>
    <row r="14" spans="2:19" ht="20.100000000000001" customHeight="1" x14ac:dyDescent="0.3">
      <c r="B14" s="786"/>
      <c r="C14" s="795" t="s">
        <v>277</v>
      </c>
      <c r="D14" s="795"/>
      <c r="E14" s="795"/>
      <c r="F14" s="795"/>
      <c r="G14" s="795"/>
      <c r="H14" s="795"/>
      <c r="I14" s="795"/>
      <c r="J14" s="795"/>
      <c r="K14" s="795"/>
      <c r="L14" s="795"/>
      <c r="M14" s="795"/>
      <c r="N14" s="795"/>
      <c r="O14" s="289">
        <f>SUM(O6:O13)</f>
        <v>15171.138000000001</v>
      </c>
    </row>
    <row r="15" spans="2:19" ht="14.7" customHeight="1" x14ac:dyDescent="0.3">
      <c r="B15" s="787"/>
      <c r="C15" s="394">
        <f t="shared" ref="C15:D22" si="6">C6</f>
        <v>0</v>
      </c>
      <c r="D15" s="284" t="str">
        <f t="shared" si="6"/>
        <v>Window</v>
      </c>
      <c r="E15" s="285"/>
      <c r="F15" s="285" t="str">
        <f t="shared" ref="F15:I17" si="7">F6</f>
        <v>S</v>
      </c>
      <c r="G15" s="369">
        <f t="shared" si="7"/>
        <v>79.02</v>
      </c>
      <c r="H15" s="286">
        <v>0.5</v>
      </c>
      <c r="I15" s="370">
        <f t="shared" si="7"/>
        <v>0.8</v>
      </c>
      <c r="J15" s="287">
        <f>IFERROR(VLOOKUP(F15,$W$27:$AB$35,2,FALSE),"")</f>
        <v>31.5</v>
      </c>
      <c r="K15" s="287">
        <f>IFERROR(VLOOKUP(F15,$W$27:$AB$35,3,FALSE),"")</f>
        <v>65</v>
      </c>
      <c r="L15" s="287">
        <f>IFERROR(VLOOKUP(F15,$W$27:$AB$35,4,FALSE),"")</f>
        <v>68</v>
      </c>
      <c r="M15" s="287">
        <f>IFERROR(VLOOKUP(F15,$W$27:$AB$35,5,FALSE),"")</f>
        <v>61</v>
      </c>
      <c r="N15" s="287">
        <f>IFERROR(VLOOKUP(F15,$W$27:$AB$35,6,FALSE),"")</f>
        <v>31</v>
      </c>
      <c r="O15" s="288">
        <f>(N15+M15+L15+K15+J15)*G15*H15*I15</f>
        <v>8107.4519999999993</v>
      </c>
    </row>
    <row r="16" spans="2:19" ht="14.7" customHeight="1" x14ac:dyDescent="0.3">
      <c r="B16" s="787"/>
      <c r="C16" s="394">
        <f t="shared" si="6"/>
        <v>0</v>
      </c>
      <c r="D16" s="394" t="str">
        <f t="shared" si="6"/>
        <v>Window</v>
      </c>
      <c r="E16" s="281"/>
      <c r="F16" s="281" t="str">
        <f t="shared" si="7"/>
        <v>E</v>
      </c>
      <c r="G16" s="398">
        <f t="shared" si="7"/>
        <v>10.8</v>
      </c>
      <c r="H16" s="286">
        <v>0.5</v>
      </c>
      <c r="I16" s="370">
        <f t="shared" si="7"/>
        <v>0.8</v>
      </c>
      <c r="J16" s="370">
        <f t="shared" ref="J16:O17" si="8">J7</f>
        <v>59</v>
      </c>
      <c r="K16" s="370">
        <f t="shared" si="8"/>
        <v>125</v>
      </c>
      <c r="L16" s="370">
        <f t="shared" si="8"/>
        <v>135</v>
      </c>
      <c r="M16" s="370">
        <f t="shared" si="8"/>
        <v>106</v>
      </c>
      <c r="N16" s="370">
        <f t="shared" si="8"/>
        <v>39.5</v>
      </c>
      <c r="O16" s="399">
        <f t="shared" si="8"/>
        <v>3009.9600000000005</v>
      </c>
    </row>
    <row r="17" spans="2:28" ht="14.7" customHeight="1" x14ac:dyDescent="0.3">
      <c r="B17" s="787"/>
      <c r="C17" s="394">
        <f t="shared" si="6"/>
        <v>0</v>
      </c>
      <c r="D17" s="394" t="str">
        <f t="shared" si="6"/>
        <v>Window</v>
      </c>
      <c r="E17" s="281"/>
      <c r="F17" s="281" t="str">
        <f t="shared" si="7"/>
        <v>SE</v>
      </c>
      <c r="G17" s="398">
        <f t="shared" si="7"/>
        <v>0</v>
      </c>
      <c r="H17" s="286">
        <v>0.5</v>
      </c>
      <c r="I17" s="370">
        <f t="shared" si="7"/>
        <v>0.8</v>
      </c>
      <c r="J17" s="370">
        <f t="shared" si="8"/>
        <v>52.5</v>
      </c>
      <c r="K17" s="370">
        <f t="shared" si="8"/>
        <v>111</v>
      </c>
      <c r="L17" s="370">
        <f t="shared" si="8"/>
        <v>120</v>
      </c>
      <c r="M17" s="370">
        <f t="shared" si="8"/>
        <v>99</v>
      </c>
      <c r="N17" s="370">
        <f t="shared" si="8"/>
        <v>41</v>
      </c>
      <c r="O17" s="399">
        <f t="shared" si="8"/>
        <v>0</v>
      </c>
    </row>
    <row r="18" spans="2:28" ht="14.7" customHeight="1" x14ac:dyDescent="0.3">
      <c r="B18" s="787"/>
      <c r="C18" s="283">
        <f t="shared" si="6"/>
        <v>0</v>
      </c>
      <c r="D18" s="284" t="str">
        <f t="shared" si="6"/>
        <v>Window</v>
      </c>
      <c r="E18" s="285"/>
      <c r="F18" s="285" t="str">
        <f t="shared" ref="F18:G20" si="9">F9</f>
        <v>SW</v>
      </c>
      <c r="G18" s="369">
        <f t="shared" si="9"/>
        <v>0</v>
      </c>
      <c r="H18" s="286">
        <v>0.5</v>
      </c>
      <c r="I18" s="370">
        <f>I9</f>
        <v>0.8</v>
      </c>
      <c r="J18" s="287">
        <f>IFERROR(VLOOKUP(F18,$W$27:$AB$35,2,FALSE),"")</f>
        <v>52.5</v>
      </c>
      <c r="K18" s="287">
        <f>IFERROR(VLOOKUP(F18,$W$27:$AB$35,3,FALSE),"")</f>
        <v>111</v>
      </c>
      <c r="L18" s="287">
        <f>IFERROR(VLOOKUP(F18,$W$27:$AB$35,4,FALSE),"")</f>
        <v>120</v>
      </c>
      <c r="M18" s="287">
        <f>IFERROR(VLOOKUP(F18,$W$27:$AB$35,5,FALSE),"")</f>
        <v>99</v>
      </c>
      <c r="N18" s="287">
        <f>IFERROR(VLOOKUP(F18,$W$27:$AB$35,6,FALSE),"")</f>
        <v>41</v>
      </c>
      <c r="O18" s="288">
        <f>(N18+M18+L18+K18+J18)*G18*H18*I18</f>
        <v>0</v>
      </c>
    </row>
    <row r="19" spans="2:28" x14ac:dyDescent="0.3">
      <c r="B19" s="787"/>
      <c r="C19" s="283">
        <f t="shared" si="6"/>
        <v>0</v>
      </c>
      <c r="D19" s="284" t="str">
        <f t="shared" si="6"/>
        <v>Window</v>
      </c>
      <c r="E19" s="285"/>
      <c r="F19" s="285" t="str">
        <f t="shared" si="9"/>
        <v>NE</v>
      </c>
      <c r="G19" s="369">
        <f t="shared" si="9"/>
        <v>0</v>
      </c>
      <c r="H19" s="286">
        <v>0.5</v>
      </c>
      <c r="I19" s="370">
        <f>I10</f>
        <v>0.8</v>
      </c>
      <c r="J19" s="287">
        <f>IFERROR(VLOOKUP(F19,$W$27:$AB$35,2,FALSE),"")</f>
        <v>45</v>
      </c>
      <c r="K19" s="287">
        <f>IFERROR(VLOOKUP(F19,$W$27:$AB$35,3,FALSE),"")</f>
        <v>93</v>
      </c>
      <c r="L19" s="287">
        <f>IFERROR(VLOOKUP(F19,$W$27:$AB$35,4,FALSE),"")</f>
        <v>98</v>
      </c>
      <c r="M19" s="287">
        <f>IFERROR(VLOOKUP(F19,$W$27:$AB$35,5,FALSE),"")</f>
        <v>76</v>
      </c>
      <c r="N19" s="287">
        <f>IFERROR(VLOOKUP(F19,$W$27:$AB$35,6,FALSE),"")</f>
        <v>24.5</v>
      </c>
      <c r="O19" s="288">
        <f>(N19+M19+L19+K19+J19)*G19*H19*I19</f>
        <v>0</v>
      </c>
    </row>
    <row r="20" spans="2:28" x14ac:dyDescent="0.3">
      <c r="B20" s="787"/>
      <c r="C20" s="283">
        <f t="shared" si="6"/>
        <v>0</v>
      </c>
      <c r="D20" s="284" t="str">
        <f t="shared" si="6"/>
        <v>Window</v>
      </c>
      <c r="E20" s="285"/>
      <c r="F20" s="285" t="str">
        <f t="shared" si="9"/>
        <v>NW</v>
      </c>
      <c r="G20" s="369">
        <f t="shared" si="9"/>
        <v>0</v>
      </c>
      <c r="H20" s="286">
        <v>0.5</v>
      </c>
      <c r="I20" s="370">
        <f>I11</f>
        <v>0.8</v>
      </c>
      <c r="J20" s="287">
        <f>IFERROR(VLOOKUP(F20,$W$27:$AB$35,2,FALSE),"")</f>
        <v>45</v>
      </c>
      <c r="K20" s="287">
        <f>IFERROR(VLOOKUP(F20,$W$27:$AB$35,3,FALSE),"")</f>
        <v>93</v>
      </c>
      <c r="L20" s="287">
        <f>IFERROR(VLOOKUP(F20,$W$27:$AB$35,4,FALSE),"")</f>
        <v>98</v>
      </c>
      <c r="M20" s="287">
        <f>IFERROR(VLOOKUP(F20,$W$27:$AB$35,5,FALSE),"")</f>
        <v>76</v>
      </c>
      <c r="N20" s="287">
        <f>IFERROR(VLOOKUP(F20,$W$27:$AB$35,6,FALSE),"")</f>
        <v>24.5</v>
      </c>
      <c r="O20" s="288">
        <f>(N20+M20+L20+K20+J20)*G20*H20*I20</f>
        <v>0</v>
      </c>
    </row>
    <row r="21" spans="2:28" x14ac:dyDescent="0.3">
      <c r="B21" s="787"/>
      <c r="C21" s="283">
        <f t="shared" si="6"/>
        <v>0</v>
      </c>
      <c r="D21" s="284" t="str">
        <f t="shared" si="6"/>
        <v>Window</v>
      </c>
      <c r="E21" s="285"/>
      <c r="F21" s="285"/>
      <c r="G21" s="369"/>
      <c r="H21" s="286"/>
      <c r="I21" s="370"/>
      <c r="J21" s="287" t="str">
        <f>IFERROR(VLOOKUP(F21,$W$27:$AB$35,2,FALSE),"")</f>
        <v/>
      </c>
      <c r="K21" s="287" t="str">
        <f>IFERROR(VLOOKUP(F21,$W$27:$AB$35,3,FALSE),"")</f>
        <v/>
      </c>
      <c r="L21" s="287" t="str">
        <f>IFERROR(VLOOKUP(F21,$W$27:$AB$35,4,FALSE),"")</f>
        <v/>
      </c>
      <c r="M21" s="287" t="str">
        <f>IFERROR(VLOOKUP(F21,$W$27:$AB$35,5,FALSE),"")</f>
        <v/>
      </c>
      <c r="N21" s="287" t="str">
        <f>IFERROR(VLOOKUP(F21,$W$27:$AB$35,6,FALSE),"")</f>
        <v/>
      </c>
      <c r="O21" s="288" t="e">
        <f>(N21+M21+L21+K21+J21)*G21*H21*I21</f>
        <v>#VALUE!</v>
      </c>
    </row>
    <row r="22" spans="2:28" ht="14.7" customHeight="1" x14ac:dyDescent="0.3">
      <c r="B22" s="787"/>
      <c r="C22" s="283">
        <f t="shared" si="6"/>
        <v>0</v>
      </c>
      <c r="D22" s="284" t="str">
        <f t="shared" si="6"/>
        <v>Window</v>
      </c>
      <c r="E22" s="285"/>
      <c r="F22" s="285"/>
      <c r="G22" s="369"/>
      <c r="H22" s="286"/>
      <c r="I22" s="370"/>
      <c r="J22" s="287" t="str">
        <f>IFERROR(VLOOKUP(F22,$W$27:$AB$35,2,FALSE),"")</f>
        <v/>
      </c>
      <c r="K22" s="287" t="str">
        <f>IFERROR(VLOOKUP(F22,$W$27:$AB$35,3,FALSE),"")</f>
        <v/>
      </c>
      <c r="L22" s="287" t="str">
        <f>IFERROR(VLOOKUP(F22,$W$27:$AB$35,4,FALSE),"")</f>
        <v/>
      </c>
      <c r="M22" s="287" t="str">
        <f>IFERROR(VLOOKUP(F22,$W$27:$AB$35,5,FALSE),"")</f>
        <v/>
      </c>
      <c r="N22" s="287" t="str">
        <f>IFERROR(VLOOKUP(F22,$W$27:$AB$35,6,FALSE),"")</f>
        <v/>
      </c>
      <c r="O22" s="288" t="e">
        <f>(N22+M22+L22+K22+J22)*G22*H22*I22</f>
        <v>#VALUE!</v>
      </c>
    </row>
    <row r="23" spans="2:28" ht="14.7" customHeight="1" x14ac:dyDescent="0.3">
      <c r="B23" s="788"/>
      <c r="C23" s="795" t="s">
        <v>278</v>
      </c>
      <c r="D23" s="795"/>
      <c r="E23" s="795"/>
      <c r="F23" s="795"/>
      <c r="G23" s="795"/>
      <c r="H23" s="795"/>
      <c r="I23" s="795"/>
      <c r="J23" s="795"/>
      <c r="K23" s="795"/>
      <c r="L23" s="795"/>
      <c r="M23" s="795"/>
      <c r="N23" s="795"/>
      <c r="O23" s="289" t="e">
        <f>SUM(O15:O22)</f>
        <v>#VALUE!</v>
      </c>
    </row>
    <row r="24" spans="2:28" ht="20.100000000000001" customHeight="1" x14ac:dyDescent="0.3">
      <c r="B24" s="783" t="s">
        <v>570</v>
      </c>
      <c r="C24" s="784"/>
      <c r="D24" s="784"/>
      <c r="E24" s="784"/>
      <c r="F24" s="784"/>
      <c r="G24" s="784"/>
      <c r="H24" s="784"/>
      <c r="I24" s="784"/>
      <c r="J24" s="784"/>
      <c r="K24" s="784"/>
      <c r="L24" s="784"/>
      <c r="M24" s="784"/>
      <c r="N24" s="784"/>
      <c r="O24" s="289" t="e">
        <f>O14-O23</f>
        <v>#VALUE!</v>
      </c>
    </row>
    <row r="25" spans="2:28" ht="14.7" customHeight="1" x14ac:dyDescent="0.3">
      <c r="W25" s="90"/>
      <c r="X25" s="90" t="s">
        <v>220</v>
      </c>
      <c r="Y25" s="79" t="s">
        <v>208</v>
      </c>
      <c r="Z25" s="90" t="s">
        <v>209</v>
      </c>
      <c r="AA25" s="79" t="s">
        <v>210</v>
      </c>
      <c r="AB25" s="90" t="s">
        <v>221</v>
      </c>
    </row>
    <row r="26" spans="2:28" ht="14.7" customHeight="1" x14ac:dyDescent="0.3">
      <c r="B26" s="146"/>
      <c r="C26" s="146"/>
      <c r="D26" s="146"/>
      <c r="E26" s="146"/>
      <c r="F26" s="146"/>
      <c r="G26" s="146"/>
      <c r="W26" s="90"/>
      <c r="X26" s="90"/>
      <c r="Y26" s="79"/>
      <c r="Z26" s="90"/>
      <c r="AA26" s="79"/>
      <c r="AB26" s="90"/>
    </row>
    <row r="27" spans="2:28" ht="14.7" customHeight="1" x14ac:dyDescent="0.3">
      <c r="B27" s="146"/>
      <c r="C27" s="146"/>
      <c r="D27" s="146"/>
      <c r="E27" s="146"/>
      <c r="F27" s="146"/>
      <c r="G27" s="146"/>
      <c r="I27" s="146"/>
      <c r="V27" s="410"/>
      <c r="W27" s="127" t="s">
        <v>211</v>
      </c>
      <c r="X27" s="79">
        <f>63/2</f>
        <v>31.5</v>
      </c>
      <c r="Y27" s="79">
        <v>65</v>
      </c>
      <c r="Z27" s="79">
        <v>68</v>
      </c>
      <c r="AA27" s="79">
        <v>61</v>
      </c>
      <c r="AB27" s="79">
        <f>62/2</f>
        <v>31</v>
      </c>
    </row>
    <row r="28" spans="2:28" ht="14.7" customHeight="1" x14ac:dyDescent="0.3">
      <c r="B28" s="146"/>
      <c r="C28" s="146"/>
      <c r="D28" s="146"/>
      <c r="E28" s="146"/>
      <c r="F28" s="146"/>
      <c r="G28" s="146"/>
      <c r="W28" s="127" t="s">
        <v>212</v>
      </c>
      <c r="X28" s="79">
        <f>53/2</f>
        <v>26.5</v>
      </c>
      <c r="Y28" s="79">
        <v>54</v>
      </c>
      <c r="Z28" s="79">
        <v>53</v>
      </c>
      <c r="AA28" s="79">
        <v>44</v>
      </c>
      <c r="AB28" s="79">
        <f>34/2</f>
        <v>17</v>
      </c>
    </row>
    <row r="29" spans="2:28" ht="14.7" customHeight="1" x14ac:dyDescent="0.3">
      <c r="B29" s="146"/>
      <c r="C29" s="146"/>
      <c r="D29" s="146"/>
      <c r="E29" s="146"/>
      <c r="F29" s="146"/>
      <c r="G29" s="146"/>
      <c r="W29" s="127" t="s">
        <v>214</v>
      </c>
      <c r="X29" s="79">
        <f>118/2</f>
        <v>59</v>
      </c>
      <c r="Y29" s="79">
        <v>125</v>
      </c>
      <c r="Z29" s="79">
        <v>135</v>
      </c>
      <c r="AA29" s="79">
        <v>106</v>
      </c>
      <c r="AB29" s="79">
        <f>79/2</f>
        <v>39.5</v>
      </c>
    </row>
    <row r="30" spans="2:28" ht="14.7" customHeight="1" x14ac:dyDescent="0.3">
      <c r="B30" s="146"/>
      <c r="C30" s="146"/>
      <c r="D30" s="146"/>
      <c r="E30" s="146"/>
      <c r="F30" s="146"/>
      <c r="G30" s="146"/>
      <c r="I30" s="146"/>
      <c r="W30" s="127" t="s">
        <v>215</v>
      </c>
      <c r="X30" s="79">
        <f>118/2</f>
        <v>59</v>
      </c>
      <c r="Y30" s="79">
        <v>125</v>
      </c>
      <c r="Z30" s="79">
        <v>135</v>
      </c>
      <c r="AA30" s="79">
        <v>106</v>
      </c>
      <c r="AB30" s="79">
        <f>79/2</f>
        <v>39.5</v>
      </c>
    </row>
    <row r="31" spans="2:28" ht="14.7" customHeight="1" x14ac:dyDescent="0.3">
      <c r="B31" s="146"/>
      <c r="C31" s="146"/>
      <c r="D31" s="146"/>
      <c r="E31" s="146"/>
      <c r="F31" s="146"/>
      <c r="G31" s="146"/>
      <c r="W31" s="127" t="s">
        <v>216</v>
      </c>
      <c r="X31" s="79">
        <f>105/2</f>
        <v>52.5</v>
      </c>
      <c r="Y31" s="79">
        <v>111</v>
      </c>
      <c r="Z31" s="79">
        <v>120</v>
      </c>
      <c r="AA31" s="79">
        <v>99</v>
      </c>
      <c r="AB31" s="79">
        <f>82/2</f>
        <v>41</v>
      </c>
    </row>
    <row r="32" spans="2:28" x14ac:dyDescent="0.3">
      <c r="B32" s="146"/>
      <c r="C32" s="146"/>
      <c r="D32" s="146"/>
      <c r="E32" s="146"/>
      <c r="F32" s="146"/>
      <c r="G32" s="146"/>
      <c r="W32" s="127" t="s">
        <v>217</v>
      </c>
      <c r="X32" s="79">
        <f>105/2</f>
        <v>52.5</v>
      </c>
      <c r="Y32" s="79">
        <v>111</v>
      </c>
      <c r="Z32" s="79">
        <v>120</v>
      </c>
      <c r="AA32" s="79">
        <v>99</v>
      </c>
      <c r="AB32" s="79">
        <f>82/2</f>
        <v>41</v>
      </c>
    </row>
    <row r="33" spans="2:28" ht="15" thickBot="1" x14ac:dyDescent="0.35">
      <c r="W33" s="127" t="s">
        <v>218</v>
      </c>
      <c r="X33" s="79">
        <f>90/2</f>
        <v>45</v>
      </c>
      <c r="Y33" s="79">
        <v>93</v>
      </c>
      <c r="Z33" s="79">
        <v>98</v>
      </c>
      <c r="AA33" s="79">
        <v>76</v>
      </c>
      <c r="AB33" s="79">
        <f>49/2</f>
        <v>24.5</v>
      </c>
    </row>
    <row r="34" spans="2:28" ht="72.599999999999994" customHeight="1" x14ac:dyDescent="0.3">
      <c r="B34" t="s">
        <v>746</v>
      </c>
      <c r="J34" t="s">
        <v>747</v>
      </c>
      <c r="S34" s="792" t="s">
        <v>223</v>
      </c>
      <c r="T34" s="129" t="s">
        <v>224</v>
      </c>
      <c r="W34" s="127" t="s">
        <v>219</v>
      </c>
      <c r="X34" s="79">
        <f>90/2</f>
        <v>45</v>
      </c>
      <c r="Y34" s="79">
        <v>93</v>
      </c>
      <c r="Z34" s="79">
        <v>98</v>
      </c>
      <c r="AA34" s="79">
        <v>76</v>
      </c>
      <c r="AB34" s="79">
        <f>49/2</f>
        <v>24.5</v>
      </c>
    </row>
    <row r="35" spans="2:28" ht="72.599999999999994" thickBot="1" x14ac:dyDescent="0.35">
      <c r="B35" s="173" t="s">
        <v>2</v>
      </c>
      <c r="C35" s="173" t="s">
        <v>369</v>
      </c>
      <c r="D35" s="177" t="s">
        <v>748</v>
      </c>
      <c r="E35" s="177" t="s">
        <v>749</v>
      </c>
      <c r="F35" s="177" t="s">
        <v>753</v>
      </c>
      <c r="G35" s="91" t="s">
        <v>750</v>
      </c>
      <c r="H35" s="404" t="s">
        <v>751</v>
      </c>
      <c r="J35" s="173" t="s">
        <v>2</v>
      </c>
      <c r="K35" s="173" t="s">
        <v>369</v>
      </c>
      <c r="L35" s="177" t="s">
        <v>748</v>
      </c>
      <c r="M35" s="177" t="s">
        <v>749</v>
      </c>
      <c r="N35" s="177" t="s">
        <v>753</v>
      </c>
      <c r="O35" s="91" t="s">
        <v>750</v>
      </c>
      <c r="P35" s="404" t="s">
        <v>751</v>
      </c>
      <c r="S35" s="793"/>
      <c r="T35" s="130" t="s">
        <v>236</v>
      </c>
      <c r="W35" s="127" t="s">
        <v>213</v>
      </c>
      <c r="X35" s="79">
        <f>239.4/2</f>
        <v>119.7</v>
      </c>
      <c r="Y35" s="79">
        <v>244.7</v>
      </c>
      <c r="Z35" s="79">
        <v>243.6</v>
      </c>
      <c r="AA35" s="79">
        <v>204.4</v>
      </c>
      <c r="AB35" s="79">
        <f>163.6/2</f>
        <v>81.8</v>
      </c>
    </row>
    <row r="36" spans="2:28" ht="15" thickBot="1" x14ac:dyDescent="0.35">
      <c r="B36" s="160">
        <v>1</v>
      </c>
      <c r="C36" s="159"/>
      <c r="D36" s="147"/>
      <c r="E36" s="147"/>
      <c r="F36" s="147"/>
      <c r="G36" s="291"/>
      <c r="H36" s="147"/>
      <c r="J36" s="160">
        <v>1</v>
      </c>
      <c r="K36" s="159"/>
      <c r="L36" s="92"/>
      <c r="M36" s="147"/>
      <c r="N36" s="147"/>
      <c r="O36" s="400"/>
      <c r="P36" s="147"/>
      <c r="S36" s="131" t="s">
        <v>225</v>
      </c>
      <c r="T36" s="132" t="s">
        <v>226</v>
      </c>
      <c r="W36" s="128" t="s">
        <v>222</v>
      </c>
    </row>
    <row r="37" spans="2:28" ht="15" thickBot="1" x14ac:dyDescent="0.35">
      <c r="B37" s="160">
        <v>2</v>
      </c>
      <c r="C37" s="159" t="str">
        <f>'Heat distr. efficiency'!C9</f>
        <v>3-DMTT</v>
      </c>
      <c r="D37" s="147">
        <f>Equipment!M49</f>
        <v>11012.697</v>
      </c>
      <c r="E37" s="147">
        <f>O14</f>
        <v>15171.138000000001</v>
      </c>
      <c r="F37" s="147">
        <f t="shared" ref="F37:F40" si="10">D37+E37</f>
        <v>26183.834999999999</v>
      </c>
      <c r="G37" s="291">
        <v>3.2</v>
      </c>
      <c r="H37" s="147">
        <f>F37/G37</f>
        <v>8182.4484374999993</v>
      </c>
      <c r="J37" s="160">
        <v>2</v>
      </c>
      <c r="K37" s="159" t="str">
        <f>C37</f>
        <v>3-DMTT</v>
      </c>
      <c r="L37" s="92">
        <f>Equipment!M100</f>
        <v>7927.1691999999994</v>
      </c>
      <c r="M37" s="147" t="e">
        <f>O23</f>
        <v>#VALUE!</v>
      </c>
      <c r="N37" s="147" t="e">
        <f t="shared" ref="N37:N40" si="11">L37+M37</f>
        <v>#VALUE!</v>
      </c>
      <c r="O37" s="400">
        <v>8.5</v>
      </c>
      <c r="P37" s="147" t="e">
        <f t="shared" ref="P37:P40" si="12">N37/O37</f>
        <v>#VALUE!</v>
      </c>
      <c r="S37" s="131" t="s">
        <v>227</v>
      </c>
      <c r="T37" s="132" t="s">
        <v>228</v>
      </c>
    </row>
    <row r="38" spans="2:28" ht="24.6" thickBot="1" x14ac:dyDescent="0.35">
      <c r="B38" s="160">
        <v>3</v>
      </c>
      <c r="C38" s="159"/>
      <c r="D38" s="147"/>
      <c r="E38" s="147"/>
      <c r="F38" s="147"/>
      <c r="G38" s="291"/>
      <c r="H38" s="147"/>
      <c r="J38" s="160">
        <v>3</v>
      </c>
      <c r="K38" s="159">
        <f>C38</f>
        <v>0</v>
      </c>
      <c r="L38" s="92"/>
      <c r="M38" s="147"/>
      <c r="N38" s="147"/>
      <c r="O38" s="400"/>
      <c r="P38" s="147"/>
      <c r="S38" s="131" t="s">
        <v>229</v>
      </c>
      <c r="T38" s="132" t="s">
        <v>230</v>
      </c>
    </row>
    <row r="39" spans="2:28" ht="15" thickBot="1" x14ac:dyDescent="0.35">
      <c r="B39" s="160">
        <v>4</v>
      </c>
      <c r="C39" s="159"/>
      <c r="D39" s="147"/>
      <c r="E39" s="147"/>
      <c r="F39" s="147">
        <f t="shared" si="10"/>
        <v>0</v>
      </c>
      <c r="G39" s="291">
        <v>3.2</v>
      </c>
      <c r="H39" s="147">
        <f>F39/G39</f>
        <v>0</v>
      </c>
      <c r="J39" s="160">
        <v>4</v>
      </c>
      <c r="K39" s="159"/>
      <c r="L39" s="92"/>
      <c r="M39" s="147">
        <v>0</v>
      </c>
      <c r="N39" s="147">
        <f t="shared" si="11"/>
        <v>0</v>
      </c>
      <c r="O39" s="400">
        <v>8.5</v>
      </c>
      <c r="P39" s="147">
        <f t="shared" si="12"/>
        <v>0</v>
      </c>
      <c r="S39" s="131" t="s">
        <v>231</v>
      </c>
      <c r="T39" s="132" t="s">
        <v>232</v>
      </c>
    </row>
    <row r="40" spans="2:28" ht="24.6" thickBot="1" x14ac:dyDescent="0.35">
      <c r="B40" s="160">
        <v>5</v>
      </c>
      <c r="C40" s="159"/>
      <c r="D40" s="147"/>
      <c r="E40" s="147"/>
      <c r="F40" s="147">
        <f t="shared" si="10"/>
        <v>0</v>
      </c>
      <c r="G40" s="291">
        <v>3.2</v>
      </c>
      <c r="H40" s="147">
        <f>F40/G40</f>
        <v>0</v>
      </c>
      <c r="J40" s="160">
        <v>5</v>
      </c>
      <c r="K40" s="159"/>
      <c r="L40" s="92"/>
      <c r="M40" s="147">
        <v>0</v>
      </c>
      <c r="N40" s="147">
        <f t="shared" si="11"/>
        <v>0</v>
      </c>
      <c r="O40" s="400">
        <v>8.5</v>
      </c>
      <c r="P40" s="147">
        <f t="shared" si="12"/>
        <v>0</v>
      </c>
      <c r="S40" s="131" t="s">
        <v>233</v>
      </c>
      <c r="T40" s="132" t="s">
        <v>234</v>
      </c>
    </row>
    <row r="41" spans="2:28" ht="15" thickBot="1" x14ac:dyDescent="0.35">
      <c r="B41" s="174" t="s">
        <v>752</v>
      </c>
      <c r="C41" s="175"/>
      <c r="D41" s="175"/>
      <c r="E41" s="175"/>
      <c r="F41" s="290">
        <f>SUM(F36:F40)</f>
        <v>26183.834999999999</v>
      </c>
      <c r="G41" s="175"/>
      <c r="H41" s="292">
        <f>SUM(H36:H40)</f>
        <v>8182.4484374999993</v>
      </c>
      <c r="J41" s="174" t="s">
        <v>752</v>
      </c>
      <c r="K41" s="175"/>
      <c r="L41" s="175"/>
      <c r="M41" s="175"/>
      <c r="N41" s="290" t="e">
        <f>SUM(N36:N40)</f>
        <v>#VALUE!</v>
      </c>
      <c r="O41" s="175"/>
      <c r="P41" s="292" t="e">
        <f>SUM(P36:P40)</f>
        <v>#VALUE!</v>
      </c>
      <c r="S41" s="131" t="s">
        <v>235</v>
      </c>
      <c r="T41" s="132" t="s">
        <v>228</v>
      </c>
    </row>
    <row r="43" spans="2:28" x14ac:dyDescent="0.3">
      <c r="N43" s="40" t="s">
        <v>400</v>
      </c>
      <c r="O43" s="280" t="e">
        <f>H41-P41</f>
        <v>#VALUE!</v>
      </c>
    </row>
    <row r="44" spans="2:28" x14ac:dyDescent="0.3">
      <c r="S44" s="255" t="s">
        <v>428</v>
      </c>
    </row>
    <row r="45" spans="2:28" x14ac:dyDescent="0.3">
      <c r="B45" t="s">
        <v>733</v>
      </c>
      <c r="S45" s="176" t="s">
        <v>841</v>
      </c>
    </row>
    <row r="46" spans="2:28" x14ac:dyDescent="0.3">
      <c r="S46" s="91" t="s">
        <v>1</v>
      </c>
      <c r="T46" s="91" t="s">
        <v>427</v>
      </c>
    </row>
    <row r="47" spans="2:28" ht="72" x14ac:dyDescent="0.3">
      <c r="B47" s="173" t="s">
        <v>2</v>
      </c>
      <c r="C47" s="173" t="s">
        <v>734</v>
      </c>
      <c r="D47" s="177" t="s">
        <v>165</v>
      </c>
      <c r="E47" s="177" t="s">
        <v>407</v>
      </c>
      <c r="F47" s="177" t="s">
        <v>735</v>
      </c>
      <c r="G47" s="91" t="s">
        <v>310</v>
      </c>
      <c r="H47" s="91"/>
      <c r="I47" s="375" t="s">
        <v>744</v>
      </c>
      <c r="S47" s="73" t="s">
        <v>568</v>
      </c>
      <c r="T47" s="366">
        <v>0</v>
      </c>
      <c r="U47" s="366" t="e">
        <f>(O37*(Building_data!E17-Building_data!E15))/('Heat gains Mec Vent'!L5*'Heat gains Mec Vent'!K5)</f>
        <v>#DIV/0!</v>
      </c>
    </row>
    <row r="48" spans="2:28" ht="60" x14ac:dyDescent="0.3">
      <c r="B48" s="160"/>
      <c r="C48" s="159"/>
      <c r="D48" s="160"/>
      <c r="E48" s="160"/>
      <c r="F48" s="160"/>
      <c r="G48" s="160"/>
      <c r="H48" s="160"/>
      <c r="I48" s="372"/>
      <c r="S48" s="73" t="s">
        <v>910</v>
      </c>
      <c r="T48" s="99">
        <v>340</v>
      </c>
    </row>
    <row r="49" spans="2:20" ht="60" x14ac:dyDescent="0.3">
      <c r="B49" s="160"/>
      <c r="C49" s="159"/>
      <c r="D49" s="160"/>
      <c r="E49" s="160"/>
      <c r="F49" s="160"/>
      <c r="G49" s="160"/>
      <c r="H49" s="160"/>
      <c r="I49" s="372"/>
      <c r="S49" s="73" t="s">
        <v>739</v>
      </c>
      <c r="T49" s="99">
        <f>T48*T47</f>
        <v>0</v>
      </c>
    </row>
    <row r="50" spans="2:20" x14ac:dyDescent="0.3">
      <c r="B50" s="160">
        <v>3</v>
      </c>
      <c r="C50" s="402" t="s">
        <v>743</v>
      </c>
      <c r="D50" s="160">
        <v>1.5</v>
      </c>
      <c r="E50" s="160">
        <v>14</v>
      </c>
      <c r="F50" s="160">
        <f>D50*E50</f>
        <v>21</v>
      </c>
      <c r="G50" s="160">
        <f>Equipment!H36</f>
        <v>0</v>
      </c>
      <c r="H50" s="160"/>
      <c r="I50" s="372">
        <f>Equipment!K36</f>
        <v>0</v>
      </c>
      <c r="S50" s="73" t="s">
        <v>429</v>
      </c>
      <c r="T50" s="99">
        <f>T49*0.2</f>
        <v>0</v>
      </c>
    </row>
    <row r="51" spans="2:20" x14ac:dyDescent="0.3">
      <c r="B51" s="789" t="s">
        <v>745</v>
      </c>
      <c r="C51" s="790"/>
      <c r="D51" s="790"/>
      <c r="E51" s="790"/>
      <c r="F51" s="790"/>
      <c r="G51" s="790"/>
      <c r="H51" s="791"/>
      <c r="I51" s="403">
        <f>SUM(I48:I50)</f>
        <v>0</v>
      </c>
      <c r="S51" s="254" t="s">
        <v>0</v>
      </c>
      <c r="T51" s="100">
        <f>SUM(T49:T50)</f>
        <v>0</v>
      </c>
    </row>
    <row r="61" spans="2:20" x14ac:dyDescent="0.3">
      <c r="B61" s="176"/>
    </row>
  </sheetData>
  <mergeCells count="18">
    <mergeCell ref="S34:S35"/>
    <mergeCell ref="C3:C5"/>
    <mergeCell ref="C14:N14"/>
    <mergeCell ref="O3:O5"/>
    <mergeCell ref="J3:N3"/>
    <mergeCell ref="J4:N4"/>
    <mergeCell ref="D3:D5"/>
    <mergeCell ref="E3:E5"/>
    <mergeCell ref="F3:F5"/>
    <mergeCell ref="G3:G5"/>
    <mergeCell ref="H3:H5"/>
    <mergeCell ref="I3:I5"/>
    <mergeCell ref="C23:N23"/>
    <mergeCell ref="B3:B5"/>
    <mergeCell ref="B24:N24"/>
    <mergeCell ref="B6:B14"/>
    <mergeCell ref="B15:B23"/>
    <mergeCell ref="B51:H51"/>
  </mergeCells>
  <phoneticPr fontId="82" type="noConversion"/>
  <dataValidations count="1">
    <dataValidation type="list" allowBlank="1" showInputMessage="1" showErrorMessage="1" sqref="F18:F22 F15 F6:F13" xr:uid="{00000000-0002-0000-1100-000000000000}">
      <formula1>$W$27:$W$35</formula1>
    </dataValidation>
  </dataValidation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B2:F29"/>
  <sheetViews>
    <sheetView topLeftCell="A13" zoomScale="115" zoomScaleNormal="115" workbookViewId="0">
      <selection activeCell="I22" sqref="I22"/>
    </sheetView>
  </sheetViews>
  <sheetFormatPr defaultRowHeight="14.4" x14ac:dyDescent="0.3"/>
  <cols>
    <col min="2" max="2" width="25.44140625" customWidth="1"/>
    <col min="3" max="3" width="13.5546875" customWidth="1"/>
  </cols>
  <sheetData>
    <row r="2" spans="2:6" x14ac:dyDescent="0.3">
      <c r="B2" s="212" t="s">
        <v>463</v>
      </c>
      <c r="F2" s="201" t="s">
        <v>424</v>
      </c>
    </row>
    <row r="3" spans="2:6" ht="24" x14ac:dyDescent="0.3">
      <c r="B3" s="29" t="s">
        <v>1</v>
      </c>
      <c r="C3" s="29" t="s">
        <v>452</v>
      </c>
    </row>
    <row r="4" spans="2:6" ht="24" x14ac:dyDescent="0.3">
      <c r="B4" s="207" t="s">
        <v>453</v>
      </c>
      <c r="C4" s="141">
        <f>SUM(Envelope!E86:E94)*0.4</f>
        <v>558.18200000000002</v>
      </c>
    </row>
    <row r="5" spans="2:6" ht="24" x14ac:dyDescent="0.3">
      <c r="B5" s="207" t="s">
        <v>456</v>
      </c>
      <c r="C5" s="136">
        <v>10</v>
      </c>
    </row>
    <row r="6" spans="2:6" ht="24" x14ac:dyDescent="0.3">
      <c r="B6" s="207" t="s">
        <v>455</v>
      </c>
      <c r="C6" s="141">
        <v>10</v>
      </c>
      <c r="D6" s="208" t="s">
        <v>461</v>
      </c>
    </row>
    <row r="7" spans="2:6" ht="24" x14ac:dyDescent="0.3">
      <c r="B7" s="207" t="s">
        <v>454</v>
      </c>
      <c r="C7" s="373">
        <f>IF(C4-(C5*C6)&gt;=0,C4-(C5*C6), "PV system does not fit the roof available area, reduce the installed capacity")</f>
        <v>458.18200000000002</v>
      </c>
    </row>
    <row r="11" spans="2:6" x14ac:dyDescent="0.3">
      <c r="B11" s="212" t="s">
        <v>462</v>
      </c>
    </row>
    <row r="12" spans="2:6" ht="48" x14ac:dyDescent="0.3">
      <c r="B12" s="28" t="s">
        <v>21</v>
      </c>
      <c r="C12" s="29" t="s">
        <v>408</v>
      </c>
    </row>
    <row r="13" spans="2:6" x14ac:dyDescent="0.3">
      <c r="B13" s="135" t="s">
        <v>409</v>
      </c>
      <c r="C13" s="141">
        <v>1023.37</v>
      </c>
      <c r="D13" s="541"/>
      <c r="E13" s="541"/>
    </row>
    <row r="14" spans="2:6" x14ac:dyDescent="0.3">
      <c r="B14" s="135" t="s">
        <v>410</v>
      </c>
      <c r="C14" s="141">
        <v>1042.1099999999999</v>
      </c>
      <c r="D14" s="541"/>
      <c r="E14" s="541"/>
    </row>
    <row r="15" spans="2:6" x14ac:dyDescent="0.3">
      <c r="B15" s="135" t="s">
        <v>411</v>
      </c>
      <c r="C15" s="141">
        <v>1307.3699999999999</v>
      </c>
      <c r="D15" s="541"/>
      <c r="E15" s="541"/>
    </row>
    <row r="16" spans="2:6" x14ac:dyDescent="0.3">
      <c r="B16" s="135" t="s">
        <v>412</v>
      </c>
      <c r="C16" s="141">
        <v>1414.05</v>
      </c>
      <c r="D16" s="541"/>
      <c r="E16" s="541"/>
    </row>
    <row r="17" spans="2:5" x14ac:dyDescent="0.3">
      <c r="B17" s="135" t="s">
        <v>413</v>
      </c>
      <c r="C17" s="141">
        <v>1470.9</v>
      </c>
      <c r="D17" s="541"/>
      <c r="E17" s="541"/>
    </row>
    <row r="18" spans="2:5" x14ac:dyDescent="0.3">
      <c r="B18" s="135" t="s">
        <v>414</v>
      </c>
      <c r="C18" s="141">
        <v>1464.09</v>
      </c>
      <c r="D18" s="541"/>
      <c r="E18" s="541"/>
    </row>
    <row r="19" spans="2:5" x14ac:dyDescent="0.3">
      <c r="B19" s="135" t="s">
        <v>415</v>
      </c>
      <c r="C19" s="141">
        <v>1583.16</v>
      </c>
      <c r="D19" s="541"/>
      <c r="E19" s="541"/>
    </row>
    <row r="20" spans="2:5" x14ac:dyDescent="0.3">
      <c r="B20" s="135" t="s">
        <v>45</v>
      </c>
      <c r="C20" s="141">
        <v>1622.82</v>
      </c>
      <c r="D20" s="541"/>
      <c r="E20" s="541"/>
    </row>
    <row r="21" spans="2:5" x14ac:dyDescent="0.3">
      <c r="B21" s="135" t="s">
        <v>416</v>
      </c>
      <c r="C21" s="141">
        <v>1534.55</v>
      </c>
      <c r="D21" s="541"/>
      <c r="E21" s="541"/>
    </row>
    <row r="22" spans="2:5" x14ac:dyDescent="0.3">
      <c r="B22" s="135" t="s">
        <v>417</v>
      </c>
      <c r="C22" s="141">
        <v>1266.93</v>
      </c>
      <c r="D22" s="541"/>
      <c r="E22" s="541"/>
    </row>
    <row r="23" spans="2:5" x14ac:dyDescent="0.3">
      <c r="B23" s="135" t="s">
        <v>418</v>
      </c>
      <c r="C23" s="141">
        <v>967.54</v>
      </c>
      <c r="D23" s="541"/>
      <c r="E23" s="541"/>
    </row>
    <row r="24" spans="2:5" x14ac:dyDescent="0.3">
      <c r="B24" s="135" t="s">
        <v>419</v>
      </c>
      <c r="C24" s="141">
        <v>910.53</v>
      </c>
      <c r="D24" s="541"/>
      <c r="E24" s="541"/>
    </row>
    <row r="25" spans="2:5" x14ac:dyDescent="0.3">
      <c r="B25" s="41" t="s">
        <v>420</v>
      </c>
      <c r="C25" s="85">
        <f>SUM(C13:C24)</f>
        <v>15607.42</v>
      </c>
      <c r="D25" s="542"/>
      <c r="E25" s="542"/>
    </row>
    <row r="27" spans="2:5" x14ac:dyDescent="0.3">
      <c r="B27" s="212" t="s">
        <v>842</v>
      </c>
    </row>
    <row r="28" spans="2:5" ht="36" x14ac:dyDescent="0.3">
      <c r="B28" s="29" t="s">
        <v>1</v>
      </c>
      <c r="C28" s="29" t="s">
        <v>911</v>
      </c>
      <c r="D28" s="29" t="s">
        <v>442</v>
      </c>
      <c r="E28" s="29" t="s">
        <v>892</v>
      </c>
    </row>
    <row r="29" spans="2:5" ht="36" x14ac:dyDescent="0.3">
      <c r="B29" s="205" t="s">
        <v>443</v>
      </c>
      <c r="C29" s="86">
        <v>726.8</v>
      </c>
      <c r="D29" s="86">
        <v>10</v>
      </c>
      <c r="E29" s="13">
        <f>C29*D29</f>
        <v>7268</v>
      </c>
    </row>
  </sheetData>
  <hyperlinks>
    <hyperlink ref="F2" r:id="rId1" xr:uid="{00000000-0004-0000-12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B2:S26"/>
  <sheetViews>
    <sheetView topLeftCell="A16" zoomScaleNormal="100" workbookViewId="0">
      <selection activeCell="E27" sqref="E27"/>
    </sheetView>
  </sheetViews>
  <sheetFormatPr defaultRowHeight="14.4" x14ac:dyDescent="0.3"/>
  <cols>
    <col min="2" max="2" width="32.44140625" customWidth="1"/>
    <col min="9" max="9" width="27.44140625" customWidth="1"/>
  </cols>
  <sheetData>
    <row r="2" spans="2:19" x14ac:dyDescent="0.3">
      <c r="B2" s="212" t="s">
        <v>464</v>
      </c>
    </row>
    <row r="3" spans="2:19" ht="24" x14ac:dyDescent="0.3">
      <c r="B3" s="29" t="s">
        <v>1</v>
      </c>
      <c r="C3" s="29" t="s">
        <v>452</v>
      </c>
    </row>
    <row r="4" spans="2:19" ht="24" x14ac:dyDescent="0.3">
      <c r="B4" s="207" t="s">
        <v>457</v>
      </c>
      <c r="C4" s="210">
        <v>500</v>
      </c>
    </row>
    <row r="5" spans="2:19" ht="24" x14ac:dyDescent="0.3">
      <c r="B5" s="207" t="s">
        <v>459</v>
      </c>
      <c r="C5" s="136">
        <v>4</v>
      </c>
    </row>
    <row r="6" spans="2:19" ht="37.35" customHeight="1" x14ac:dyDescent="0.3">
      <c r="B6" s="207" t="s">
        <v>458</v>
      </c>
      <c r="C6" s="141">
        <v>4</v>
      </c>
      <c r="D6" s="7" t="str">
        <f>IF(I13&gt;('DHW generation'!K18*0.6),"Reduce number of Collectors!!!","")</f>
        <v>Reduce number of Collectors!!!</v>
      </c>
    </row>
    <row r="7" spans="2:19" ht="24" x14ac:dyDescent="0.3">
      <c r="B7" s="207" t="s">
        <v>460</v>
      </c>
      <c r="C7" s="210">
        <f>IF(C4-(C5*C6)&gt;=0,C4-(C5*C6), "Solar DHW does not fit the available roof area, reduce the installed number")</f>
        <v>484</v>
      </c>
    </row>
    <row r="10" spans="2:19" x14ac:dyDescent="0.3">
      <c r="B10" s="212" t="s">
        <v>466</v>
      </c>
    </row>
    <row r="11" spans="2:19" ht="72" x14ac:dyDescent="0.3">
      <c r="B11" s="29"/>
      <c r="C11" s="29" t="s">
        <v>407</v>
      </c>
      <c r="D11" s="29" t="s">
        <v>723</v>
      </c>
      <c r="E11" s="29" t="s">
        <v>719</v>
      </c>
      <c r="F11" s="29" t="s">
        <v>720</v>
      </c>
      <c r="G11" s="29" t="s">
        <v>721</v>
      </c>
      <c r="H11" s="29" t="s">
        <v>722</v>
      </c>
      <c r="I11" s="29" t="s">
        <v>451</v>
      </c>
      <c r="N11" t="s">
        <v>211</v>
      </c>
      <c r="O11" t="s">
        <v>763</v>
      </c>
      <c r="P11" t="s">
        <v>764</v>
      </c>
      <c r="Q11" t="s">
        <v>765</v>
      </c>
      <c r="R11" t="s">
        <v>767</v>
      </c>
      <c r="S11" t="s">
        <v>766</v>
      </c>
    </row>
    <row r="12" spans="2:19" x14ac:dyDescent="0.3">
      <c r="B12" s="209" t="s">
        <v>450</v>
      </c>
      <c r="C12" s="136">
        <v>0</v>
      </c>
      <c r="D12" s="136">
        <v>2.5</v>
      </c>
      <c r="E12" s="136">
        <v>0.78</v>
      </c>
      <c r="F12" s="136">
        <v>0.64</v>
      </c>
      <c r="G12" s="136">
        <v>1095</v>
      </c>
      <c r="H12" s="136">
        <v>730</v>
      </c>
      <c r="I12" s="147">
        <f>(C12*D12*E12*G12)+(C12*D12*F12*H12)</f>
        <v>0</v>
      </c>
      <c r="M12" t="s">
        <v>762</v>
      </c>
      <c r="N12">
        <v>2.5</v>
      </c>
      <c r="O12">
        <v>25</v>
      </c>
      <c r="P12">
        <v>1.95</v>
      </c>
      <c r="Q12">
        <v>1.6</v>
      </c>
      <c r="R12">
        <f>P12/N12</f>
        <v>0.78</v>
      </c>
      <c r="S12">
        <f>Q12/N12</f>
        <v>0.64</v>
      </c>
    </row>
    <row r="13" spans="2:19" x14ac:dyDescent="0.3">
      <c r="B13" s="211" t="s">
        <v>465</v>
      </c>
      <c r="C13" s="85">
        <f>C6</f>
        <v>4</v>
      </c>
      <c r="D13" s="136">
        <v>2.5</v>
      </c>
      <c r="E13" s="136">
        <v>0.78</v>
      </c>
      <c r="F13" s="136">
        <v>0.64</v>
      </c>
      <c r="G13" s="136">
        <v>1095</v>
      </c>
      <c r="H13" s="136">
        <v>730</v>
      </c>
      <c r="I13" s="85">
        <f>((C13*D13*E13*G13)+(C13*D13*F13*H13))*0.6</f>
        <v>7927.7999999999993</v>
      </c>
    </row>
    <row r="16" spans="2:19" x14ac:dyDescent="0.3">
      <c r="B16" s="212" t="s">
        <v>560</v>
      </c>
    </row>
    <row r="17" spans="2:7" ht="36" x14ac:dyDescent="0.3">
      <c r="B17" s="29" t="s">
        <v>244</v>
      </c>
      <c r="C17" s="29" t="s">
        <v>407</v>
      </c>
      <c r="D17" s="29" t="s">
        <v>893</v>
      </c>
      <c r="E17" s="29" t="s">
        <v>894</v>
      </c>
    </row>
    <row r="18" spans="2:7" ht="36" x14ac:dyDescent="0.3">
      <c r="B18" s="205" t="s">
        <v>444</v>
      </c>
      <c r="C18" s="13">
        <f>IF(C19/12&lt;1,1,C19/12)</f>
        <v>1</v>
      </c>
      <c r="D18" s="546">
        <v>6900</v>
      </c>
      <c r="E18" s="13">
        <f>C18*D18</f>
        <v>6900</v>
      </c>
    </row>
    <row r="19" spans="2:7" x14ac:dyDescent="0.3">
      <c r="B19" s="205" t="s">
        <v>445</v>
      </c>
      <c r="C19" s="13">
        <f>C13</f>
        <v>4</v>
      </c>
      <c r="D19" s="546">
        <v>1800</v>
      </c>
      <c r="E19" s="13">
        <f>C19*D19</f>
        <v>7200</v>
      </c>
    </row>
    <row r="20" spans="2:7" x14ac:dyDescent="0.3">
      <c r="B20" s="205" t="s">
        <v>446</v>
      </c>
      <c r="C20" s="13">
        <v>1</v>
      </c>
      <c r="D20" s="546">
        <v>1800</v>
      </c>
      <c r="E20" s="13">
        <f>C20*D20</f>
        <v>1800</v>
      </c>
    </row>
    <row r="21" spans="2:7" x14ac:dyDescent="0.3">
      <c r="B21" s="205" t="s">
        <v>447</v>
      </c>
      <c r="C21" s="13">
        <v>1</v>
      </c>
      <c r="D21" s="546">
        <v>3000</v>
      </c>
      <c r="E21" s="13">
        <f>C21*D21</f>
        <v>3000</v>
      </c>
    </row>
    <row r="22" spans="2:7" x14ac:dyDescent="0.3">
      <c r="B22" s="205" t="s">
        <v>448</v>
      </c>
      <c r="C22" s="13">
        <v>2</v>
      </c>
      <c r="D22" s="546">
        <v>1600</v>
      </c>
      <c r="E22" s="13">
        <f>C22*D22</f>
        <v>3200</v>
      </c>
    </row>
    <row r="23" spans="2:7" ht="24" x14ac:dyDescent="0.3">
      <c r="B23" s="205" t="s">
        <v>724</v>
      </c>
      <c r="C23" s="13">
        <f>C19</f>
        <v>4</v>
      </c>
      <c r="D23" s="546">
        <v>715</v>
      </c>
      <c r="E23" s="13">
        <f>D23*C23</f>
        <v>2860</v>
      </c>
    </row>
    <row r="24" spans="2:7" x14ac:dyDescent="0.3">
      <c r="B24" s="205" t="s">
        <v>467</v>
      </c>
      <c r="C24" s="13"/>
      <c r="D24" s="13"/>
      <c r="E24" s="13">
        <f>SUM(E18:E23)</f>
        <v>24960</v>
      </c>
    </row>
    <row r="25" spans="2:7" x14ac:dyDescent="0.3">
      <c r="B25" s="205" t="s">
        <v>429</v>
      </c>
      <c r="C25" s="13"/>
      <c r="D25" s="13"/>
      <c r="E25" s="13">
        <f>E24*0.3</f>
        <v>7488</v>
      </c>
    </row>
    <row r="26" spans="2:7" ht="24" customHeight="1" x14ac:dyDescent="0.3">
      <c r="B26" s="799" t="s">
        <v>449</v>
      </c>
      <c r="C26" s="800"/>
      <c r="D26" s="800"/>
      <c r="E26" s="206">
        <v>4000</v>
      </c>
      <c r="G26" t="s">
        <v>718</v>
      </c>
    </row>
  </sheetData>
  <mergeCells count="1">
    <mergeCell ref="B26:D2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B3:AD54"/>
  <sheetViews>
    <sheetView topLeftCell="A34" zoomScaleNormal="100" workbookViewId="0">
      <selection activeCell="I15" sqref="I15"/>
    </sheetView>
  </sheetViews>
  <sheetFormatPr defaultColWidth="8.6640625" defaultRowHeight="14.4" x14ac:dyDescent="0.3"/>
  <cols>
    <col min="2" max="2" width="4.44140625" customWidth="1"/>
    <col min="3" max="3" width="12" customWidth="1"/>
    <col min="19" max="19" width="11.44140625" customWidth="1"/>
  </cols>
  <sheetData>
    <row r="3" spans="2:22" ht="14.7" customHeight="1" x14ac:dyDescent="0.3">
      <c r="B3" s="803"/>
      <c r="C3" s="599" t="s">
        <v>127</v>
      </c>
      <c r="D3" s="599" t="s">
        <v>97</v>
      </c>
      <c r="E3" s="599" t="s">
        <v>70</v>
      </c>
      <c r="F3" s="599" t="s">
        <v>170</v>
      </c>
      <c r="G3" s="599" t="s">
        <v>181</v>
      </c>
      <c r="H3" s="599" t="s">
        <v>237</v>
      </c>
      <c r="I3" s="599" t="s">
        <v>171</v>
      </c>
      <c r="J3" s="599" t="s">
        <v>172</v>
      </c>
      <c r="K3" s="599"/>
      <c r="L3" s="599"/>
      <c r="M3" s="599"/>
      <c r="N3" s="599"/>
      <c r="O3" s="595" t="s">
        <v>174</v>
      </c>
    </row>
    <row r="4" spans="2:22" x14ac:dyDescent="0.3">
      <c r="B4" s="803"/>
      <c r="C4" s="599"/>
      <c r="D4" s="599"/>
      <c r="E4" s="599"/>
      <c r="F4" s="599"/>
      <c r="G4" s="599"/>
      <c r="H4" s="599"/>
      <c r="I4" s="599"/>
      <c r="J4" s="599" t="s">
        <v>173</v>
      </c>
      <c r="K4" s="599"/>
      <c r="L4" s="599"/>
      <c r="M4" s="599"/>
      <c r="N4" s="599"/>
      <c r="O4" s="801"/>
    </row>
    <row r="5" spans="2:22" x14ac:dyDescent="0.3">
      <c r="B5" s="804"/>
      <c r="C5" s="599"/>
      <c r="D5" s="599"/>
      <c r="E5" s="599"/>
      <c r="F5" s="599"/>
      <c r="G5" s="599"/>
      <c r="H5" s="599"/>
      <c r="I5" s="599"/>
      <c r="J5" s="187" t="s">
        <v>220</v>
      </c>
      <c r="K5" s="187" t="s">
        <v>175</v>
      </c>
      <c r="L5" s="187" t="s">
        <v>176</v>
      </c>
      <c r="M5" s="187" t="s">
        <v>177</v>
      </c>
      <c r="N5" s="187" t="s">
        <v>221</v>
      </c>
      <c r="O5" s="596"/>
    </row>
    <row r="6" spans="2:22" ht="14.7" customHeight="1" x14ac:dyDescent="0.3">
      <c r="B6" s="684" t="s">
        <v>203</v>
      </c>
      <c r="C6" s="293"/>
      <c r="D6" s="293" t="str">
        <f>Cooling!D18</f>
        <v>Window</v>
      </c>
      <c r="E6" s="293">
        <f>Cooling!E18</f>
        <v>0</v>
      </c>
      <c r="F6" s="293" t="str">
        <f>Cooling!F6</f>
        <v>S</v>
      </c>
      <c r="G6" s="390">
        <f>Cooling!G6</f>
        <v>79.02</v>
      </c>
      <c r="H6" s="293">
        <f>Cooling!H18</f>
        <v>0.5</v>
      </c>
      <c r="I6" s="293">
        <f>Cooling!I18</f>
        <v>0.8</v>
      </c>
      <c r="J6" s="72">
        <f>IFERROR(VLOOKUP(F6,$W$20:$AB$28,2,FALSE),"")</f>
        <v>31.5</v>
      </c>
      <c r="K6" s="72">
        <f>IFERROR(VLOOKUP(F6,$W$20:$AB$28,3,FALSE),"")</f>
        <v>65</v>
      </c>
      <c r="L6" s="72">
        <f>IFERROR(VLOOKUP(F6,$W$20:$AB$28,4,FALSE),"")</f>
        <v>68</v>
      </c>
      <c r="M6" s="72">
        <f>IFERROR(VLOOKUP(F6,$W$20:$AB$28,5,FALSE),"")</f>
        <v>61</v>
      </c>
      <c r="N6" s="72">
        <f>IFERROR(VLOOKUP(F6,$W$20:$AB$28,6,FALSE),"")</f>
        <v>31</v>
      </c>
      <c r="O6" s="126">
        <f>(N6+M6+L6+K6+J6)*G6*H6*I6</f>
        <v>8107.4519999999993</v>
      </c>
      <c r="Q6" s="149"/>
    </row>
    <row r="7" spans="2:22" x14ac:dyDescent="0.3">
      <c r="B7" s="685"/>
      <c r="C7" s="293"/>
      <c r="D7" s="293" t="str">
        <f>Cooling!D19</f>
        <v>Window</v>
      </c>
      <c r="E7" s="293">
        <f>Cooling!E19</f>
        <v>0</v>
      </c>
      <c r="F7" s="293" t="str">
        <f>Cooling!F7</f>
        <v>E</v>
      </c>
      <c r="G7" s="390">
        <f>Cooling!G7</f>
        <v>10.8</v>
      </c>
      <c r="H7" s="293">
        <f>Cooling!H19</f>
        <v>0.5</v>
      </c>
      <c r="I7" s="293">
        <f>Cooling!I19</f>
        <v>0.8</v>
      </c>
      <c r="J7" s="72">
        <f>IFERROR(VLOOKUP(F7,$W$20:$AB$28,2,FALSE),"")</f>
        <v>59</v>
      </c>
      <c r="K7" s="72">
        <f>IFERROR(VLOOKUP(F7,$W$20:$AB$28,3,FALSE),"")</f>
        <v>125</v>
      </c>
      <c r="L7" s="72">
        <f>IFERROR(VLOOKUP(F7,$W$20:$AB$28,4,FALSE),"")</f>
        <v>135</v>
      </c>
      <c r="M7" s="72">
        <f>IFERROR(VLOOKUP(F7,$W$20:$AB$28,5,FALSE),"")</f>
        <v>106</v>
      </c>
      <c r="N7" s="72">
        <f>IFERROR(VLOOKUP(F7,$W$20:$AB$28,6,FALSE),"")</f>
        <v>39.5</v>
      </c>
      <c r="O7" s="126">
        <f t="shared" ref="O7:O8" si="0">(N7+M7+L7+K7+J7)*G7*H7*I7</f>
        <v>2006.6400000000003</v>
      </c>
    </row>
    <row r="8" spans="2:22" x14ac:dyDescent="0.3">
      <c r="B8" s="685"/>
      <c r="C8" s="293"/>
      <c r="D8" s="293" t="str">
        <f>Cooling!D20</f>
        <v>Window</v>
      </c>
      <c r="E8" s="293">
        <f>Cooling!E20</f>
        <v>0</v>
      </c>
      <c r="F8" s="293" t="str">
        <f>Cooling!F20</f>
        <v>NW</v>
      </c>
      <c r="G8" s="390">
        <f>Cooling!G20</f>
        <v>0</v>
      </c>
      <c r="H8" s="293">
        <f>Cooling!H20</f>
        <v>0.5</v>
      </c>
      <c r="I8" s="293">
        <f>Cooling!I20</f>
        <v>0.8</v>
      </c>
      <c r="J8" s="72">
        <f>IFERROR(VLOOKUP(F8,$W$20:$AB$28,2,FALSE),"")</f>
        <v>45</v>
      </c>
      <c r="K8" s="72">
        <f>IFERROR(VLOOKUP(F8,$W$20:$AB$28,3,FALSE),"")</f>
        <v>93</v>
      </c>
      <c r="L8" s="72">
        <f>IFERROR(VLOOKUP(F8,$W$20:$AB$28,4,FALSE),"")</f>
        <v>98</v>
      </c>
      <c r="M8" s="72">
        <f>IFERROR(VLOOKUP(F8,$W$20:$AB$28,5,FALSE),"")</f>
        <v>76</v>
      </c>
      <c r="N8" s="72">
        <f>IFERROR(VLOOKUP(F8,$W$20:$AB$28,6,FALSE),"")</f>
        <v>24.5</v>
      </c>
      <c r="O8" s="126">
        <f t="shared" si="0"/>
        <v>0</v>
      </c>
    </row>
    <row r="9" spans="2:22" ht="15" thickBot="1" x14ac:dyDescent="0.35">
      <c r="B9" s="685"/>
      <c r="C9" s="293"/>
      <c r="D9" s="293" t="str">
        <f>Cooling!D21</f>
        <v>Window</v>
      </c>
      <c r="E9" s="293">
        <f>Cooling!E21</f>
        <v>0</v>
      </c>
      <c r="F9" s="293">
        <f>Cooling!F21</f>
        <v>0</v>
      </c>
      <c r="G9" s="390">
        <f>Cooling!G21</f>
        <v>0</v>
      </c>
      <c r="H9" s="293">
        <f>Cooling!H21</f>
        <v>0</v>
      </c>
      <c r="I9" s="293">
        <f>Cooling!I21</f>
        <v>0</v>
      </c>
      <c r="J9" s="72" t="str">
        <f>IFERROR(VLOOKUP(F9,$W$20:$AB$28,2,FALSE),"")</f>
        <v/>
      </c>
      <c r="K9" s="72" t="str">
        <f>IFERROR(VLOOKUP(F9,$W$20:$AB$28,3,FALSE),"")</f>
        <v/>
      </c>
      <c r="L9" s="72" t="str">
        <f>IFERROR(VLOOKUP(F9,$W$20:$AB$28,4,FALSE),"")</f>
        <v/>
      </c>
      <c r="M9" s="72" t="str">
        <f>IFERROR(VLOOKUP(F9,$W$20:$AB$28,5,FALSE),"")</f>
        <v/>
      </c>
      <c r="N9" s="72" t="str">
        <f>IFERROR(VLOOKUP(F9,$W$20:$AB$28,6,FALSE),"")</f>
        <v/>
      </c>
      <c r="O9" s="126"/>
      <c r="S9" s="271" t="s">
        <v>562</v>
      </c>
    </row>
    <row r="10" spans="2:22" x14ac:dyDescent="0.3">
      <c r="B10" s="685"/>
      <c r="C10" s="293"/>
      <c r="D10" s="293" t="str">
        <f>Cooling!D22</f>
        <v>Window</v>
      </c>
      <c r="E10" s="293">
        <f>Cooling!E22</f>
        <v>0</v>
      </c>
      <c r="F10" s="293">
        <f>Cooling!F22</f>
        <v>0</v>
      </c>
      <c r="G10" s="390">
        <f>Cooling!G22</f>
        <v>0</v>
      </c>
      <c r="H10" s="293">
        <f>Cooling!H22</f>
        <v>0</v>
      </c>
      <c r="I10" s="293">
        <f>Cooling!I22</f>
        <v>0</v>
      </c>
      <c r="J10" s="72" t="str">
        <f>IFERROR(VLOOKUP(F10,$W$20:$AB$28,2,FALSE),"")</f>
        <v/>
      </c>
      <c r="K10" s="72" t="str">
        <f>IFERROR(VLOOKUP(F10,$W$20:$AB$28,3,FALSE),"")</f>
        <v/>
      </c>
      <c r="L10" s="72" t="str">
        <f>IFERROR(VLOOKUP(F10,$W$20:$AB$28,4,FALSE),"")</f>
        <v/>
      </c>
      <c r="M10" s="72" t="str">
        <f>IFERROR(VLOOKUP(F10,$W$20:$AB$28,5,FALSE),"")</f>
        <v/>
      </c>
      <c r="N10" s="72" t="str">
        <f>IFERROR(VLOOKUP(F10,$W$20:$AB$28,6,FALSE),"")</f>
        <v/>
      </c>
      <c r="O10" s="126"/>
      <c r="S10" s="272" t="s">
        <v>563</v>
      </c>
      <c r="T10" s="273"/>
      <c r="U10" s="273"/>
      <c r="V10" s="274" t="s">
        <v>564</v>
      </c>
    </row>
    <row r="11" spans="2:22" ht="20.100000000000001" customHeight="1" x14ac:dyDescent="0.3">
      <c r="B11" s="686"/>
      <c r="C11" s="802" t="s">
        <v>278</v>
      </c>
      <c r="D11" s="802"/>
      <c r="E11" s="802"/>
      <c r="F11" s="802"/>
      <c r="G11" s="802"/>
      <c r="H11" s="802"/>
      <c r="I11" s="802"/>
      <c r="J11" s="802"/>
      <c r="K11" s="802"/>
      <c r="L11" s="802"/>
      <c r="M11" s="802"/>
      <c r="N11" s="802"/>
      <c r="O11" s="116">
        <f>SUM(O6:O10)</f>
        <v>10114.092000000001</v>
      </c>
      <c r="Q11" t="s">
        <v>740</v>
      </c>
      <c r="S11" s="275" t="s">
        <v>565</v>
      </c>
      <c r="T11" s="276"/>
      <c r="U11" s="277"/>
      <c r="V11" s="278">
        <v>0.7</v>
      </c>
    </row>
    <row r="12" spans="2:22" ht="14.7" customHeight="1" x14ac:dyDescent="0.3">
      <c r="B12" s="684" t="s">
        <v>203</v>
      </c>
      <c r="C12" s="293"/>
      <c r="D12" s="293" t="str">
        <f t="shared" ref="D12:F12" si="1">D6</f>
        <v>Window</v>
      </c>
      <c r="E12" s="293">
        <f t="shared" si="1"/>
        <v>0</v>
      </c>
      <c r="F12" s="293" t="str">
        <f t="shared" si="1"/>
        <v>S</v>
      </c>
      <c r="G12" s="390">
        <f>G6</f>
        <v>79.02</v>
      </c>
      <c r="H12" s="293">
        <f>H6</f>
        <v>0.5</v>
      </c>
      <c r="I12" s="281">
        <v>0.8</v>
      </c>
      <c r="J12" s="72">
        <f>IFERROR(VLOOKUP(F12,$W$20:$AB$28,2,FALSE),"")</f>
        <v>31.5</v>
      </c>
      <c r="K12" s="72">
        <f>IFERROR(VLOOKUP(F12,$W$20:$AB$28,3,FALSE),"")</f>
        <v>65</v>
      </c>
      <c r="L12" s="72">
        <f>IFERROR(VLOOKUP(F12,$W$20:$AB$28,4,FALSE),"")</f>
        <v>68</v>
      </c>
      <c r="M12" s="72">
        <f>IFERROR(VLOOKUP(F12,$W$20:$AB$28,5,FALSE),"")</f>
        <v>61</v>
      </c>
      <c r="N12" s="72">
        <f>IFERROR(VLOOKUP(F12,$W$20:$AB$28,6,FALSE),"")</f>
        <v>31</v>
      </c>
      <c r="O12" s="126">
        <f>(N12+M12+L12+K12+J12)*G12*H12*I12</f>
        <v>8107.4519999999993</v>
      </c>
      <c r="Q12" s="45">
        <f>SUMIF(Envelope!C7:C73,F12,Envelope!N7:P73)</f>
        <v>0</v>
      </c>
    </row>
    <row r="13" spans="2:22" x14ac:dyDescent="0.3">
      <c r="B13" s="685"/>
      <c r="C13" s="293"/>
      <c r="D13" s="293" t="str">
        <f t="shared" ref="D13:F13" si="2">D7</f>
        <v>Window</v>
      </c>
      <c r="E13" s="293">
        <f t="shared" si="2"/>
        <v>0</v>
      </c>
      <c r="F13" s="293" t="str">
        <f t="shared" si="2"/>
        <v>E</v>
      </c>
      <c r="G13" s="390">
        <f t="shared" ref="G13:H16" si="3">G7</f>
        <v>10.8</v>
      </c>
      <c r="H13" s="293">
        <f t="shared" si="3"/>
        <v>0.5</v>
      </c>
      <c r="I13" s="281">
        <v>0.8</v>
      </c>
      <c r="J13" s="72">
        <f>IFERROR(VLOOKUP(F13,$W$20:$AB$28,2,FALSE),"")</f>
        <v>59</v>
      </c>
      <c r="K13" s="72">
        <f>IFERROR(VLOOKUP(F13,$W$20:$AB$28,3,FALSE),"")</f>
        <v>125</v>
      </c>
      <c r="L13" s="72">
        <f>IFERROR(VLOOKUP(F13,$W$20:$AB$28,4,FALSE),"")</f>
        <v>135</v>
      </c>
      <c r="M13" s="72">
        <f>IFERROR(VLOOKUP(F13,$W$20:$AB$28,5,FALSE),"")</f>
        <v>106</v>
      </c>
      <c r="N13" s="72">
        <f>IFERROR(VLOOKUP(F13,$W$20:$AB$28,6,FALSE),"")</f>
        <v>39.5</v>
      </c>
      <c r="O13" s="126">
        <f t="shared" ref="O13:O14" si="4">(N13+M13+L13+K13+J13)*G13*H13*I13</f>
        <v>2006.6400000000003</v>
      </c>
      <c r="Q13" s="45">
        <f>SUMIF(Envelope!C7:C73,F13,Envelope!N7:P73)</f>
        <v>0</v>
      </c>
    </row>
    <row r="14" spans="2:22" x14ac:dyDescent="0.3">
      <c r="B14" s="685"/>
      <c r="C14" s="293"/>
      <c r="D14" s="293" t="str">
        <f t="shared" ref="D14:F14" si="5">D8</f>
        <v>Window</v>
      </c>
      <c r="E14" s="293">
        <f t="shared" si="5"/>
        <v>0</v>
      </c>
      <c r="F14" s="293" t="str">
        <f t="shared" si="5"/>
        <v>NW</v>
      </c>
      <c r="G14" s="390">
        <f t="shared" si="3"/>
        <v>0</v>
      </c>
      <c r="H14" s="293">
        <f t="shared" si="3"/>
        <v>0.5</v>
      </c>
      <c r="I14" s="281">
        <v>0.8</v>
      </c>
      <c r="J14" s="72">
        <f>IFERROR(VLOOKUP(F14,$W$20:$AB$28,2,FALSE),"")</f>
        <v>45</v>
      </c>
      <c r="K14" s="72">
        <f>IFERROR(VLOOKUP(F14,$W$20:$AB$28,3,FALSE),"")</f>
        <v>93</v>
      </c>
      <c r="L14" s="72">
        <f>IFERROR(VLOOKUP(F14,$W$20:$AB$28,4,FALSE),"")</f>
        <v>98</v>
      </c>
      <c r="M14" s="72">
        <f>IFERROR(VLOOKUP(F14,$W$20:$AB$28,5,FALSE),"")</f>
        <v>76</v>
      </c>
      <c r="N14" s="72">
        <f>IFERROR(VLOOKUP(F14,$W$20:$AB$28,6,FALSE),"")</f>
        <v>24.5</v>
      </c>
      <c r="O14" s="126">
        <f t="shared" si="4"/>
        <v>0</v>
      </c>
      <c r="Q14" s="45">
        <f>SUMIF(Envelope!C7:C73,F14,Envelope!N7:P73)</f>
        <v>0</v>
      </c>
    </row>
    <row r="15" spans="2:22" x14ac:dyDescent="0.3">
      <c r="B15" s="685"/>
      <c r="C15" s="293"/>
      <c r="D15" s="293" t="str">
        <f t="shared" ref="D15:F15" si="6">D9</f>
        <v>Window</v>
      </c>
      <c r="E15" s="293">
        <f t="shared" si="6"/>
        <v>0</v>
      </c>
      <c r="F15" s="293">
        <f t="shared" si="6"/>
        <v>0</v>
      </c>
      <c r="G15" s="390">
        <f t="shared" si="3"/>
        <v>0</v>
      </c>
      <c r="H15" s="293">
        <f t="shared" si="3"/>
        <v>0</v>
      </c>
      <c r="I15" s="281">
        <v>0.8</v>
      </c>
      <c r="J15" s="72" t="str">
        <f>IFERROR(VLOOKUP(F15,$W$20:$AB$28,2,FALSE),"")</f>
        <v/>
      </c>
      <c r="K15" s="72" t="str">
        <f>IFERROR(VLOOKUP(F15,$W$20:$AB$28,3,FALSE),"")</f>
        <v/>
      </c>
      <c r="L15" s="72" t="str">
        <f>IFERROR(VLOOKUP(F15,$W$20:$AB$28,4,FALSE),"")</f>
        <v/>
      </c>
      <c r="M15" s="72" t="str">
        <f>IFERROR(VLOOKUP(F15,$W$20:$AB$28,5,FALSE),"")</f>
        <v/>
      </c>
      <c r="N15" s="72" t="str">
        <f>IFERROR(VLOOKUP(F15,$W$20:$AB$28,6,FALSE),"")</f>
        <v/>
      </c>
      <c r="O15" s="126"/>
      <c r="Q15" s="45">
        <f>SUMIF(Envelope!C7:C73,F15,Envelope!N7:P73)</f>
        <v>0</v>
      </c>
    </row>
    <row r="16" spans="2:22" ht="14.7" customHeight="1" x14ac:dyDescent="0.3">
      <c r="B16" s="685"/>
      <c r="C16" s="293"/>
      <c r="D16" s="293" t="str">
        <f t="shared" ref="D16:F16" si="7">D10</f>
        <v>Window</v>
      </c>
      <c r="E16" s="293">
        <f t="shared" si="7"/>
        <v>0</v>
      </c>
      <c r="F16" s="293">
        <f t="shared" si="7"/>
        <v>0</v>
      </c>
      <c r="G16" s="390">
        <f t="shared" si="3"/>
        <v>0</v>
      </c>
      <c r="H16" s="293">
        <f t="shared" si="3"/>
        <v>0</v>
      </c>
      <c r="I16" s="281">
        <v>0.8</v>
      </c>
      <c r="J16" s="72" t="str">
        <f>IFERROR(VLOOKUP(F16,$W$20:$AB$28,2,FALSE),"")</f>
        <v/>
      </c>
      <c r="K16" s="72" t="str">
        <f>IFERROR(VLOOKUP(F16,$W$20:$AB$28,3,FALSE),"")</f>
        <v/>
      </c>
      <c r="L16" s="72" t="str">
        <f>IFERROR(VLOOKUP(F16,$W$20:$AB$28,4,FALSE),"")</f>
        <v/>
      </c>
      <c r="M16" s="72" t="str">
        <f>IFERROR(VLOOKUP(F16,$W$20:$AB$28,5,FALSE),"")</f>
        <v/>
      </c>
      <c r="N16" s="72" t="str">
        <f>IFERROR(VLOOKUP(F16,$W$20:$AB$28,6,FALSE),"")</f>
        <v/>
      </c>
      <c r="O16" s="126"/>
      <c r="Q16" s="45">
        <f>SUMIF(Envelope!C7:C73,F16,Envelope!N7:P73)</f>
        <v>0</v>
      </c>
    </row>
    <row r="17" spans="2:30" ht="14.7" customHeight="1" x14ac:dyDescent="0.3">
      <c r="B17" s="686"/>
      <c r="C17" s="802" t="s">
        <v>569</v>
      </c>
      <c r="D17" s="802"/>
      <c r="E17" s="802"/>
      <c r="F17" s="802"/>
      <c r="G17" s="802"/>
      <c r="H17" s="802"/>
      <c r="I17" s="802"/>
      <c r="J17" s="802"/>
      <c r="K17" s="802"/>
      <c r="L17" s="802"/>
      <c r="M17" s="802"/>
      <c r="N17" s="802"/>
      <c r="O17" s="116">
        <f>SUM(O12:O16)</f>
        <v>10114.092000000001</v>
      </c>
    </row>
    <row r="18" spans="2:30" ht="20.100000000000001" customHeight="1" x14ac:dyDescent="0.3">
      <c r="B18" s="805" t="s">
        <v>571</v>
      </c>
      <c r="C18" s="806"/>
      <c r="D18" s="806"/>
      <c r="E18" s="806"/>
      <c r="F18" s="806"/>
      <c r="G18" s="806"/>
      <c r="H18" s="806"/>
      <c r="I18" s="806"/>
      <c r="J18" s="806"/>
      <c r="K18" s="806"/>
      <c r="L18" s="806"/>
      <c r="M18" s="806"/>
      <c r="N18" s="806"/>
      <c r="O18" s="116">
        <f>O11-O17</f>
        <v>0</v>
      </c>
    </row>
    <row r="19" spans="2:30" ht="14.7" customHeight="1" x14ac:dyDescent="0.3">
      <c r="W19" s="90"/>
      <c r="X19" s="90" t="s">
        <v>220</v>
      </c>
      <c r="Y19" s="79" t="s">
        <v>208</v>
      </c>
      <c r="Z19" s="90" t="s">
        <v>209</v>
      </c>
      <c r="AA19" s="79" t="s">
        <v>210</v>
      </c>
      <c r="AB19" s="90" t="s">
        <v>221</v>
      </c>
    </row>
    <row r="20" spans="2:30" ht="14.7" customHeight="1" x14ac:dyDescent="0.3">
      <c r="B20" s="146"/>
      <c r="C20" s="146"/>
      <c r="D20" s="146"/>
      <c r="E20" s="146"/>
      <c r="F20" s="146"/>
      <c r="G20" s="146"/>
      <c r="I20" s="146"/>
      <c r="J20" s="146"/>
      <c r="L20" s="146"/>
      <c r="M20" s="146"/>
      <c r="N20" s="146"/>
      <c r="W20" s="127" t="s">
        <v>211</v>
      </c>
      <c r="X20" s="79">
        <f>63/2</f>
        <v>31.5</v>
      </c>
      <c r="Y20" s="79">
        <v>65</v>
      </c>
      <c r="Z20" s="79">
        <v>68</v>
      </c>
      <c r="AA20" s="79">
        <v>61</v>
      </c>
      <c r="AB20" s="79">
        <f>62/2</f>
        <v>31</v>
      </c>
    </row>
    <row r="21" spans="2:30" ht="14.7" customHeight="1" x14ac:dyDescent="0.3">
      <c r="B21" s="807" t="s">
        <v>1</v>
      </c>
      <c r="C21" s="808"/>
      <c r="D21" s="808"/>
      <c r="E21" s="808"/>
      <c r="F21" s="809"/>
      <c r="G21" s="187" t="s">
        <v>3</v>
      </c>
      <c r="W21" s="127" t="s">
        <v>212</v>
      </c>
      <c r="X21" s="79">
        <f>53/2</f>
        <v>26.5</v>
      </c>
      <c r="Y21" s="79">
        <v>54</v>
      </c>
      <c r="Z21" s="79">
        <v>53</v>
      </c>
      <c r="AA21" s="79">
        <v>44</v>
      </c>
      <c r="AB21" s="79">
        <f>34/2</f>
        <v>17</v>
      </c>
    </row>
    <row r="22" spans="2:30" ht="27" customHeight="1" x14ac:dyDescent="0.3">
      <c r="B22" s="810" t="s">
        <v>573</v>
      </c>
      <c r="C22" s="811"/>
      <c r="D22" s="811"/>
      <c r="E22" s="811"/>
      <c r="F22" s="812"/>
      <c r="G22" s="292">
        <f>Cooling!H41</f>
        <v>8182.4484374999993</v>
      </c>
      <c r="W22" s="127" t="s">
        <v>214</v>
      </c>
      <c r="X22" s="79">
        <f>118/2</f>
        <v>59</v>
      </c>
      <c r="Y22" s="79">
        <v>125</v>
      </c>
      <c r="Z22" s="79">
        <v>135</v>
      </c>
      <c r="AA22" s="79">
        <v>106</v>
      </c>
      <c r="AB22" s="79">
        <f>79/2</f>
        <v>39.5</v>
      </c>
    </row>
    <row r="23" spans="2:30" ht="25.35" customHeight="1" x14ac:dyDescent="0.3">
      <c r="B23" s="810" t="s">
        <v>574</v>
      </c>
      <c r="C23" s="811"/>
      <c r="D23" s="811"/>
      <c r="E23" s="811"/>
      <c r="F23" s="812"/>
      <c r="G23" s="290">
        <f>O18</f>
        <v>0</v>
      </c>
      <c r="I23" s="146"/>
      <c r="J23" s="146"/>
      <c r="K23" s="146"/>
      <c r="L23" s="146"/>
      <c r="M23" s="146"/>
      <c r="N23" s="146"/>
      <c r="W23" s="127" t="s">
        <v>215</v>
      </c>
      <c r="X23" s="79">
        <f>118/2</f>
        <v>59</v>
      </c>
      <c r="Y23" s="79">
        <v>125</v>
      </c>
      <c r="Z23" s="79">
        <v>135</v>
      </c>
      <c r="AA23" s="79">
        <v>106</v>
      </c>
      <c r="AB23" s="79">
        <f>79/2</f>
        <v>39.5</v>
      </c>
    </row>
    <row r="24" spans="2:30" ht="14.7" customHeight="1" x14ac:dyDescent="0.3">
      <c r="B24" s="813" t="s">
        <v>754</v>
      </c>
      <c r="C24" s="814"/>
      <c r="D24" s="814"/>
      <c r="E24" s="814"/>
      <c r="F24" s="815"/>
      <c r="G24" s="294">
        <f>Cooling!O37</f>
        <v>8.5</v>
      </c>
      <c r="W24" s="127" t="s">
        <v>216</v>
      </c>
      <c r="X24" s="79">
        <f>105/2</f>
        <v>52.5</v>
      </c>
      <c r="Y24" s="79">
        <v>111</v>
      </c>
      <c r="Z24" s="79">
        <v>120</v>
      </c>
      <c r="AA24" s="79">
        <v>99</v>
      </c>
      <c r="AB24" s="79">
        <f>82/2</f>
        <v>41</v>
      </c>
    </row>
    <row r="25" spans="2:30" ht="27.6" customHeight="1" x14ac:dyDescent="0.3">
      <c r="B25" s="810" t="s">
        <v>572</v>
      </c>
      <c r="C25" s="811"/>
      <c r="D25" s="811"/>
      <c r="E25" s="811"/>
      <c r="F25" s="812"/>
      <c r="G25" s="290">
        <f>G23/G24</f>
        <v>0</v>
      </c>
      <c r="W25" s="127" t="s">
        <v>217</v>
      </c>
      <c r="X25" s="79">
        <f>105/2</f>
        <v>52.5</v>
      </c>
      <c r="Y25" s="79">
        <v>111</v>
      </c>
      <c r="Z25" s="79">
        <v>120</v>
      </c>
      <c r="AA25" s="79">
        <v>99</v>
      </c>
      <c r="AB25" s="79">
        <f>82/2</f>
        <v>41</v>
      </c>
    </row>
    <row r="26" spans="2:30" ht="24.6" customHeight="1" thickBot="1" x14ac:dyDescent="0.35">
      <c r="B26" s="816" t="s">
        <v>575</v>
      </c>
      <c r="C26" s="817"/>
      <c r="D26" s="817"/>
      <c r="E26" s="817"/>
      <c r="F26" s="818"/>
      <c r="G26" s="292">
        <f>G22-G25</f>
        <v>8182.4484374999993</v>
      </c>
      <c r="W26" s="127" t="s">
        <v>218</v>
      </c>
      <c r="X26" s="79">
        <f>90/2</f>
        <v>45</v>
      </c>
      <c r="Y26" s="79">
        <v>93</v>
      </c>
      <c r="Z26" s="79">
        <v>98</v>
      </c>
      <c r="AA26" s="79">
        <v>76</v>
      </c>
      <c r="AB26" s="79">
        <f>49/2</f>
        <v>24.5</v>
      </c>
    </row>
    <row r="27" spans="2:30" ht="72.599999999999994" customHeight="1" x14ac:dyDescent="0.3">
      <c r="S27" s="792" t="s">
        <v>223</v>
      </c>
      <c r="T27" s="129" t="s">
        <v>224</v>
      </c>
      <c r="W27" s="127" t="s">
        <v>219</v>
      </c>
      <c r="X27" s="79">
        <f>90/2</f>
        <v>45</v>
      </c>
      <c r="Y27" s="79">
        <v>93</v>
      </c>
      <c r="Z27" s="79">
        <v>98</v>
      </c>
      <c r="AA27" s="79">
        <v>76</v>
      </c>
      <c r="AB27" s="79">
        <f>49/2</f>
        <v>24.5</v>
      </c>
    </row>
    <row r="28" spans="2:30" ht="15" thickBot="1" x14ac:dyDescent="0.35">
      <c r="C28" s="255" t="s">
        <v>428</v>
      </c>
      <c r="S28" s="793"/>
      <c r="T28" s="130" t="s">
        <v>236</v>
      </c>
      <c r="W28" s="127" t="s">
        <v>213</v>
      </c>
      <c r="X28" s="79">
        <f>239.4/2</f>
        <v>119.7</v>
      </c>
      <c r="Y28" s="79">
        <v>244.7</v>
      </c>
      <c r="Z28" s="79">
        <v>243.6</v>
      </c>
      <c r="AA28" s="79">
        <v>204.4</v>
      </c>
      <c r="AB28" s="79">
        <f>163.6/2</f>
        <v>81.8</v>
      </c>
    </row>
    <row r="29" spans="2:30" ht="24.6" thickBot="1" x14ac:dyDescent="0.35">
      <c r="C29" s="176" t="s">
        <v>843</v>
      </c>
      <c r="S29" s="131" t="s">
        <v>225</v>
      </c>
      <c r="T29" s="132" t="s">
        <v>226</v>
      </c>
      <c r="W29" s="128" t="s">
        <v>222</v>
      </c>
      <c r="AD29" t="s">
        <v>566</v>
      </c>
    </row>
    <row r="30" spans="2:30" ht="15" thickBot="1" x14ac:dyDescent="0.35">
      <c r="C30" s="91" t="s">
        <v>1</v>
      </c>
      <c r="D30" s="91" t="s">
        <v>427</v>
      </c>
      <c r="S30" s="131" t="s">
        <v>227</v>
      </c>
      <c r="T30" s="132" t="s">
        <v>228</v>
      </c>
    </row>
    <row r="31" spans="2:30" ht="163.80000000000001" thickBot="1" x14ac:dyDescent="0.35">
      <c r="C31" s="77" t="s">
        <v>912</v>
      </c>
      <c r="D31" s="295">
        <v>140</v>
      </c>
      <c r="S31" s="131" t="s">
        <v>229</v>
      </c>
      <c r="T31" s="132" t="s">
        <v>230</v>
      </c>
    </row>
    <row r="32" spans="2:30" ht="31.2" thickBot="1" x14ac:dyDescent="0.35">
      <c r="C32" s="77" t="s">
        <v>576</v>
      </c>
      <c r="D32" s="101"/>
      <c r="E32" s="298" t="s">
        <v>578</v>
      </c>
      <c r="S32" s="131" t="s">
        <v>231</v>
      </c>
      <c r="T32" s="132" t="s">
        <v>232</v>
      </c>
    </row>
    <row r="33" spans="3:20" ht="48.6" thickBot="1" x14ac:dyDescent="0.35">
      <c r="C33" s="77" t="s">
        <v>0</v>
      </c>
      <c r="D33" s="295">
        <f>D32*D31</f>
        <v>0</v>
      </c>
      <c r="S33" s="131" t="s">
        <v>233</v>
      </c>
      <c r="T33" s="132" t="s">
        <v>234</v>
      </c>
    </row>
    <row r="34" spans="3:20" ht="24.6" thickBot="1" x14ac:dyDescent="0.35">
      <c r="C34" s="77" t="s">
        <v>429</v>
      </c>
      <c r="D34" s="295">
        <f>D33*0.2</f>
        <v>0</v>
      </c>
      <c r="S34" s="131" t="s">
        <v>235</v>
      </c>
      <c r="T34" s="132" t="s">
        <v>228</v>
      </c>
    </row>
    <row r="35" spans="3:20" ht="20.399999999999999" x14ac:dyDescent="0.3">
      <c r="C35" s="296" t="s">
        <v>577</v>
      </c>
      <c r="D35" s="297">
        <f>SUM(D33:D34)</f>
        <v>0</v>
      </c>
    </row>
    <row r="54" spans="2:2" x14ac:dyDescent="0.3">
      <c r="B54" s="176"/>
    </row>
  </sheetData>
  <mergeCells count="23">
    <mergeCell ref="S27:S28"/>
    <mergeCell ref="B22:F22"/>
    <mergeCell ref="B23:F23"/>
    <mergeCell ref="B24:F24"/>
    <mergeCell ref="B26:F26"/>
    <mergeCell ref="B25:F25"/>
    <mergeCell ref="B12:B17"/>
    <mergeCell ref="C17:N17"/>
    <mergeCell ref="B18:N18"/>
    <mergeCell ref="B21:F21"/>
    <mergeCell ref="H3:H5"/>
    <mergeCell ref="I3:I5"/>
    <mergeCell ref="J3:N3"/>
    <mergeCell ref="O3:O5"/>
    <mergeCell ref="J4:N4"/>
    <mergeCell ref="B6:B11"/>
    <mergeCell ref="C11:N11"/>
    <mergeCell ref="B3:B5"/>
    <mergeCell ref="C3:C5"/>
    <mergeCell ref="D3:D5"/>
    <mergeCell ref="E3:E5"/>
    <mergeCell ref="F3:F5"/>
    <mergeCell ref="G3:G5"/>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3:G14"/>
  <sheetViews>
    <sheetView topLeftCell="A4" zoomScale="130" zoomScaleNormal="130" workbookViewId="0">
      <selection activeCell="C14" sqref="C14"/>
    </sheetView>
  </sheetViews>
  <sheetFormatPr defaultRowHeight="14.4" x14ac:dyDescent="0.3"/>
  <cols>
    <col min="2" max="2" width="22.44140625" customWidth="1"/>
    <col min="3" max="3" width="9.5546875" customWidth="1"/>
    <col min="4" max="4" width="15.5546875" customWidth="1"/>
  </cols>
  <sheetData>
    <row r="3" spans="2:7" x14ac:dyDescent="0.3">
      <c r="B3" t="s">
        <v>586</v>
      </c>
    </row>
    <row r="4" spans="2:7" ht="53.7" customHeight="1" x14ac:dyDescent="0.3">
      <c r="B4" s="223" t="s">
        <v>581</v>
      </c>
      <c r="C4" s="91" t="s">
        <v>582</v>
      </c>
      <c r="D4" s="91" t="s">
        <v>583</v>
      </c>
    </row>
    <row r="5" spans="2:7" x14ac:dyDescent="0.3">
      <c r="B5" s="135" t="s">
        <v>247</v>
      </c>
      <c r="C5" s="147">
        <f>'Overall gener. &amp; distrib. eff.'!N7-IHS!C8</f>
        <v>149011.480548569</v>
      </c>
      <c r="D5" s="147">
        <f>C5*3%</f>
        <v>4470.3444164570701</v>
      </c>
    </row>
    <row r="6" spans="2:7" x14ac:dyDescent="0.3">
      <c r="B6" s="135" t="s">
        <v>246</v>
      </c>
      <c r="C6" s="147">
        <f>'Overall gener. &amp; distrib. eff.'!N10</f>
        <v>0</v>
      </c>
      <c r="D6" s="147">
        <f t="shared" ref="D6:D8" si="0">C6*3%</f>
        <v>0</v>
      </c>
    </row>
    <row r="7" spans="2:7" x14ac:dyDescent="0.3">
      <c r="B7" s="135" t="s">
        <v>245</v>
      </c>
      <c r="C7" s="147" t="str">
        <f>'Overall gener. &amp; distrib. eff.'!N15</f>
        <v>0</v>
      </c>
      <c r="D7" s="147">
        <f t="shared" si="0"/>
        <v>0</v>
      </c>
    </row>
    <row r="8" spans="2:7" x14ac:dyDescent="0.3">
      <c r="B8" s="135" t="s">
        <v>243</v>
      </c>
      <c r="C8" s="147">
        <f>Lighting!L16</f>
        <v>16687.514651500001</v>
      </c>
      <c r="D8" s="147">
        <f t="shared" si="0"/>
        <v>500.62543954500001</v>
      </c>
      <c r="F8" s="176"/>
      <c r="G8" s="176"/>
    </row>
    <row r="9" spans="2:7" x14ac:dyDescent="0.3">
      <c r="B9" s="819" t="s">
        <v>584</v>
      </c>
      <c r="C9" s="820"/>
      <c r="D9" s="85">
        <f>D5+D6</f>
        <v>4470.3444164570701</v>
      </c>
    </row>
    <row r="10" spans="2:7" x14ac:dyDescent="0.3">
      <c r="B10" s="821" t="s">
        <v>585</v>
      </c>
      <c r="C10" s="822"/>
      <c r="D10" s="85">
        <f>D7+D8</f>
        <v>500.62543954500001</v>
      </c>
    </row>
    <row r="12" spans="2:7" x14ac:dyDescent="0.3">
      <c r="B12" t="s">
        <v>428</v>
      </c>
    </row>
    <row r="13" spans="2:7" ht="24" x14ac:dyDescent="0.3">
      <c r="B13" s="91" t="s">
        <v>1</v>
      </c>
      <c r="C13" s="91" t="s">
        <v>895</v>
      </c>
    </row>
    <row r="14" spans="2:7" ht="81.599999999999994" x14ac:dyDescent="0.3">
      <c r="B14" s="77" t="s">
        <v>588</v>
      </c>
      <c r="C14" s="295"/>
    </row>
  </sheetData>
  <mergeCells count="2">
    <mergeCell ref="B9:C9"/>
    <mergeCell ref="B10:C10"/>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499984740745262"/>
  </sheetPr>
  <dimension ref="B1:Q27"/>
  <sheetViews>
    <sheetView topLeftCell="C2" zoomScale="136" zoomScaleNormal="100" workbookViewId="0">
      <selection activeCell="F8" sqref="F8:G8"/>
    </sheetView>
  </sheetViews>
  <sheetFormatPr defaultRowHeight="14.4" x14ac:dyDescent="0.3"/>
  <cols>
    <col min="3" max="3" width="27.5546875" customWidth="1"/>
    <col min="4" max="15" width="10.5546875" customWidth="1"/>
  </cols>
  <sheetData>
    <row r="1" spans="2:17" x14ac:dyDescent="0.3">
      <c r="D1" s="149"/>
    </row>
    <row r="3" spans="2:17" ht="25.2" customHeight="1" x14ac:dyDescent="0.3">
      <c r="B3" s="824"/>
      <c r="C3" s="824" t="s">
        <v>289</v>
      </c>
      <c r="D3" s="823" t="s">
        <v>294</v>
      </c>
      <c r="E3" s="823"/>
      <c r="F3" s="823"/>
      <c r="G3" s="823"/>
      <c r="H3" s="823"/>
      <c r="I3" s="823"/>
      <c r="J3" s="823" t="s">
        <v>295</v>
      </c>
      <c r="K3" s="823"/>
      <c r="L3" s="823"/>
      <c r="M3" s="823"/>
      <c r="N3" s="823"/>
      <c r="O3" s="823"/>
    </row>
    <row r="4" spans="2:17" ht="48" x14ac:dyDescent="0.3">
      <c r="B4" s="825"/>
      <c r="C4" s="825"/>
      <c r="D4" s="91" t="s">
        <v>290</v>
      </c>
      <c r="E4" s="91" t="s">
        <v>293</v>
      </c>
      <c r="F4" s="91" t="s">
        <v>291</v>
      </c>
      <c r="G4" s="91" t="s">
        <v>301</v>
      </c>
      <c r="H4" s="91" t="s">
        <v>292</v>
      </c>
      <c r="I4" s="91" t="s">
        <v>296</v>
      </c>
      <c r="J4" s="91" t="s">
        <v>290</v>
      </c>
      <c r="K4" s="91" t="s">
        <v>293</v>
      </c>
      <c r="L4" s="91" t="s">
        <v>291</v>
      </c>
      <c r="M4" s="91" t="s">
        <v>301</v>
      </c>
      <c r="N4" s="91" t="s">
        <v>292</v>
      </c>
      <c r="O4" s="91" t="s">
        <v>296</v>
      </c>
    </row>
    <row r="5" spans="2:17" x14ac:dyDescent="0.3">
      <c r="B5" s="652" t="s">
        <v>247</v>
      </c>
      <c r="C5" s="150"/>
      <c r="D5" s="141"/>
      <c r="E5" s="139">
        <f>D5/D$8</f>
        <v>0</v>
      </c>
      <c r="F5" s="141"/>
      <c r="G5" s="151">
        <v>1</v>
      </c>
      <c r="H5" s="147">
        <f t="shared" ref="H5:H12" si="0">((D5+F5)*(1-G5))+F5+D5</f>
        <v>0</v>
      </c>
      <c r="I5" s="826"/>
      <c r="J5" s="151"/>
      <c r="K5" s="139">
        <f>J5/J$8</f>
        <v>0</v>
      </c>
      <c r="L5" s="141"/>
      <c r="M5" s="151"/>
      <c r="N5" s="147">
        <f t="shared" ref="N5:N6" si="1">((J5+L5)*(1-M5))+L5+J5</f>
        <v>0</v>
      </c>
      <c r="O5" s="826"/>
    </row>
    <row r="6" spans="2:17" x14ac:dyDescent="0.3">
      <c r="B6" s="652"/>
      <c r="C6" s="150"/>
      <c r="D6" s="141"/>
      <c r="E6" s="139">
        <f t="shared" ref="E6:E7" si="2">D6/D$8</f>
        <v>0</v>
      </c>
      <c r="F6" s="151"/>
      <c r="G6" s="151">
        <v>1</v>
      </c>
      <c r="H6" s="147">
        <f t="shared" si="0"/>
        <v>0</v>
      </c>
      <c r="I6" s="827"/>
      <c r="J6" s="151"/>
      <c r="K6" s="139">
        <f t="shared" ref="K6:K7" si="3">J6/J$8</f>
        <v>0</v>
      </c>
      <c r="L6" s="142"/>
      <c r="M6" s="151"/>
      <c r="N6" s="147">
        <f t="shared" si="1"/>
        <v>0</v>
      </c>
      <c r="O6" s="827"/>
    </row>
    <row r="7" spans="2:17" x14ac:dyDescent="0.3">
      <c r="B7" s="652"/>
      <c r="C7" s="150" t="s">
        <v>942</v>
      </c>
      <c r="D7" s="141">
        <f>D8</f>
        <v>401152.93674449972</v>
      </c>
      <c r="E7" s="139">
        <f t="shared" si="2"/>
        <v>1</v>
      </c>
      <c r="F7" s="141">
        <f>'Heat distr. efficiency'!L12</f>
        <v>36772.800000000003</v>
      </c>
      <c r="G7" s="151">
        <v>0.57999999999999996</v>
      </c>
      <c r="H7" s="147">
        <f t="shared" si="0"/>
        <v>621854.54617718956</v>
      </c>
      <c r="I7" s="828"/>
      <c r="J7" s="141">
        <f>'Losses env. after'!G28+'Ventilation losses'!G14+'Ventilation losses'!I49</f>
        <v>136064.94033841649</v>
      </c>
      <c r="K7" s="139">
        <f t="shared" si="3"/>
        <v>1</v>
      </c>
      <c r="L7" s="141">
        <f>'Heat distr. efficiency'!L19</f>
        <v>8606.4</v>
      </c>
      <c r="M7" s="151">
        <v>0.97</v>
      </c>
      <c r="N7" s="147">
        <f>((J7+L7)*(1-M7))+L7+J7</f>
        <v>149011.480548569</v>
      </c>
      <c r="O7" s="828"/>
      <c r="Q7" s="149"/>
    </row>
    <row r="8" spans="2:17" x14ac:dyDescent="0.3">
      <c r="B8" s="652"/>
      <c r="C8" s="152" t="s">
        <v>0</v>
      </c>
      <c r="D8" s="85">
        <f>'Losses env. before'!G32+'Ventilation losses'!G9+'Ventilation losses'!I42</f>
        <v>401152.93674449972</v>
      </c>
      <c r="E8" s="143">
        <f>SUM(E5:E7)</f>
        <v>1</v>
      </c>
      <c r="F8" s="829"/>
      <c r="G8" s="830"/>
      <c r="H8" s="85">
        <f>SUM(H5:H7)+'Breakdown Baseline &amp; Balance'!D12</f>
        <v>562812.72529718955</v>
      </c>
      <c r="I8" s="85">
        <f>H8/Building_data!D$4</f>
        <v>223.74547551683901</v>
      </c>
      <c r="J8" s="85">
        <f>SUM(J5:J7)</f>
        <v>136064.94033841649</v>
      </c>
      <c r="K8" s="143">
        <f>SUM(K5:K7)</f>
        <v>1</v>
      </c>
      <c r="L8" s="829"/>
      <c r="M8" s="830"/>
      <c r="N8" s="85">
        <f>SUM(N5:N7)-IHS!C8-EMS!D5+'Breakdown Baseline &amp; Balance'!G12</f>
        <v>85499.315252111919</v>
      </c>
      <c r="O8" s="85">
        <f>N8/Building_data!D4</f>
        <v>33.990142879847625</v>
      </c>
    </row>
    <row r="9" spans="2:17" ht="6" customHeight="1" x14ac:dyDescent="0.3">
      <c r="B9" s="174"/>
      <c r="C9" s="175"/>
      <c r="D9" s="175"/>
      <c r="E9" s="175"/>
      <c r="F9" s="175"/>
      <c r="G9" s="175"/>
      <c r="H9" s="175"/>
      <c r="I9" s="175"/>
      <c r="J9" s="831"/>
      <c r="K9" s="831"/>
      <c r="L9" s="831"/>
      <c r="M9" s="831"/>
      <c r="N9" s="831"/>
      <c r="O9" s="832"/>
    </row>
    <row r="10" spans="2:17" x14ac:dyDescent="0.3">
      <c r="B10" s="652" t="s">
        <v>246</v>
      </c>
      <c r="C10" s="150"/>
      <c r="D10" s="141">
        <f>'DHW generation'!K17</f>
        <v>0</v>
      </c>
      <c r="E10" s="139">
        <f>D10/D$13</f>
        <v>0</v>
      </c>
      <c r="F10" s="141">
        <f>'DHW distr. efficiency'!L12</f>
        <v>0</v>
      </c>
      <c r="G10" s="151">
        <v>0.98</v>
      </c>
      <c r="H10" s="147">
        <f t="shared" si="0"/>
        <v>0</v>
      </c>
      <c r="I10" s="826"/>
      <c r="J10" s="141"/>
      <c r="K10" s="139">
        <f>J10/J$13</f>
        <v>0</v>
      </c>
      <c r="L10" s="141"/>
      <c r="M10" s="151">
        <v>0.98</v>
      </c>
      <c r="N10" s="147">
        <f t="shared" ref="N10:N12" si="4">((J10+L10)*(1-M10))+L10+J10</f>
        <v>0</v>
      </c>
      <c r="O10" s="826"/>
    </row>
    <row r="11" spans="2:17" x14ac:dyDescent="0.3">
      <c r="B11" s="652"/>
      <c r="C11" s="150" t="s">
        <v>385</v>
      </c>
      <c r="D11" s="141">
        <f>'DHW generation'!K16</f>
        <v>4094.6031750000002</v>
      </c>
      <c r="E11" s="139">
        <f t="shared" ref="E11:E12" si="5">D11/D$13</f>
        <v>1</v>
      </c>
      <c r="F11" s="141">
        <f>D11*(1-(0.98*0.85))</f>
        <v>683.79873022500021</v>
      </c>
      <c r="G11" s="151">
        <v>1</v>
      </c>
      <c r="H11" s="147">
        <f t="shared" si="0"/>
        <v>4778.4019052250005</v>
      </c>
      <c r="I11" s="827"/>
      <c r="J11" s="141"/>
      <c r="K11" s="139">
        <f t="shared" ref="K11" si="6">J11/J$13</f>
        <v>0</v>
      </c>
      <c r="L11" s="141">
        <f>J11*(1-(0.98*0.85))</f>
        <v>0</v>
      </c>
      <c r="M11" s="151">
        <v>1</v>
      </c>
      <c r="N11" s="147">
        <f t="shared" si="4"/>
        <v>0</v>
      </c>
      <c r="O11" s="827"/>
    </row>
    <row r="12" spans="2:17" x14ac:dyDescent="0.3">
      <c r="B12" s="652"/>
      <c r="C12" s="150" t="s">
        <v>468</v>
      </c>
      <c r="D12" s="142"/>
      <c r="E12" s="139">
        <f t="shared" si="5"/>
        <v>0</v>
      </c>
      <c r="F12" s="141"/>
      <c r="G12" s="151"/>
      <c r="H12" s="147">
        <f t="shared" si="0"/>
        <v>0</v>
      </c>
      <c r="I12" s="828"/>
      <c r="J12" s="141">
        <f>-'Solar DHW'!I13</f>
        <v>-7927.7999999999993</v>
      </c>
      <c r="K12" s="139">
        <f>-J12/J$13</f>
        <v>-1</v>
      </c>
      <c r="L12" s="141"/>
      <c r="M12" s="151">
        <v>1</v>
      </c>
      <c r="N12" s="147">
        <f t="shared" si="4"/>
        <v>-7927.7999999999993</v>
      </c>
      <c r="O12" s="828"/>
    </row>
    <row r="13" spans="2:17" x14ac:dyDescent="0.3">
      <c r="B13" s="652"/>
      <c r="C13" s="152" t="s">
        <v>0</v>
      </c>
      <c r="D13" s="85">
        <f>SUM(D10:D12)</f>
        <v>4094.6031750000002</v>
      </c>
      <c r="E13" s="143">
        <f>SUM(E10:E12)</f>
        <v>1</v>
      </c>
      <c r="F13" s="829"/>
      <c r="G13" s="830"/>
      <c r="H13" s="85">
        <f>SUM(H10:H12)</f>
        <v>4778.4019052250005</v>
      </c>
      <c r="I13" s="85">
        <f>H13/Building_data!D$4</f>
        <v>1.8996475353868052</v>
      </c>
      <c r="J13" s="85">
        <f>SUM(J10:J12)</f>
        <v>-7927.7999999999993</v>
      </c>
      <c r="K13" s="143">
        <f>SUM(K10:K12)</f>
        <v>-1</v>
      </c>
      <c r="L13" s="829"/>
      <c r="M13" s="830"/>
      <c r="N13" s="85">
        <f>SUM(N10:N12)-EMS!D6</f>
        <v>-7927.7999999999993</v>
      </c>
      <c r="O13" s="85">
        <f>N13/Building_data!D$4</f>
        <v>-3.1516866998089776</v>
      </c>
    </row>
    <row r="14" spans="2:17" ht="6" customHeight="1" x14ac:dyDescent="0.3">
      <c r="B14" s="174"/>
      <c r="C14" s="175"/>
      <c r="D14" s="175"/>
      <c r="E14" s="175"/>
      <c r="F14" s="175"/>
      <c r="G14" s="175"/>
      <c r="H14" s="175"/>
      <c r="I14" s="175"/>
      <c r="J14" s="831"/>
      <c r="K14" s="831"/>
      <c r="L14" s="831"/>
      <c r="M14" s="831"/>
      <c r="N14" s="831"/>
      <c r="O14" s="832"/>
    </row>
    <row r="15" spans="2:17" x14ac:dyDescent="0.3">
      <c r="B15" s="833" t="s">
        <v>245</v>
      </c>
      <c r="C15" s="150"/>
      <c r="D15" s="141">
        <v>0</v>
      </c>
      <c r="E15" s="139">
        <f>D15/D$18</f>
        <v>0</v>
      </c>
      <c r="F15" s="141">
        <f>D15*(1-96%)</f>
        <v>0</v>
      </c>
      <c r="G15" s="142">
        <v>3.2</v>
      </c>
      <c r="H15" s="147" t="str">
        <f>IF(D15&gt;0,(D15+F15)/G15,"0")</f>
        <v>0</v>
      </c>
      <c r="I15" s="136"/>
      <c r="J15" s="141"/>
      <c r="K15" s="139" t="e">
        <f>J15/J$18</f>
        <v>#DIV/0!</v>
      </c>
      <c r="L15" s="141">
        <f>J15*(1-96%)</f>
        <v>0</v>
      </c>
      <c r="M15" s="142">
        <v>8.5</v>
      </c>
      <c r="N15" s="147" t="str">
        <f>IF(J15&gt;0,(J15+L15)/M15,"0")</f>
        <v>0</v>
      </c>
      <c r="O15" s="136"/>
    </row>
    <row r="16" spans="2:17" x14ac:dyDescent="0.3">
      <c r="B16" s="834"/>
      <c r="C16" s="150"/>
      <c r="D16" s="142"/>
      <c r="E16" s="139">
        <f>D16/D$18</f>
        <v>0</v>
      </c>
      <c r="F16" s="142"/>
      <c r="G16" s="142"/>
      <c r="H16" s="147" t="str">
        <f>IF(D16&gt;0,(D16+F16)/G16,"0")</f>
        <v>0</v>
      </c>
      <c r="I16" s="136"/>
      <c r="J16" s="141"/>
      <c r="K16" s="139" t="e">
        <f>J16/J$18</f>
        <v>#DIV/0!</v>
      </c>
      <c r="L16" s="142"/>
      <c r="M16" s="142"/>
      <c r="N16" s="147" t="str">
        <f t="shared" ref="N16:N17" si="7">IF(J16&gt;0,(J16+L16)/M16,"0")</f>
        <v>0</v>
      </c>
      <c r="O16" s="136"/>
    </row>
    <row r="17" spans="2:15" x14ac:dyDescent="0.3">
      <c r="B17" s="834"/>
      <c r="C17" s="150"/>
      <c r="D17" s="142"/>
      <c r="E17" s="139">
        <f>D17/D$18</f>
        <v>0</v>
      </c>
      <c r="F17" s="142"/>
      <c r="G17" s="142"/>
      <c r="H17" s="147" t="str">
        <f>IF(D17&gt;0,(D17+F17)/G17,"0")</f>
        <v>0</v>
      </c>
      <c r="I17" s="136"/>
      <c r="J17" s="142"/>
      <c r="K17" s="139" t="e">
        <f>J17/J$18</f>
        <v>#DIV/0!</v>
      </c>
      <c r="L17" s="142"/>
      <c r="M17" s="142"/>
      <c r="N17" s="147" t="str">
        <f t="shared" si="7"/>
        <v>0</v>
      </c>
      <c r="O17" s="136"/>
    </row>
    <row r="18" spans="2:15" x14ac:dyDescent="0.3">
      <c r="B18" s="835"/>
      <c r="C18" s="153" t="s">
        <v>0</v>
      </c>
      <c r="D18" s="154">
        <f>Cooling!F41</f>
        <v>26183.834999999999</v>
      </c>
      <c r="E18" s="143">
        <f>SUM(E15:E17)</f>
        <v>0</v>
      </c>
      <c r="F18" s="155"/>
      <c r="G18" s="155"/>
      <c r="H18" s="85">
        <f>SUM(H15:H17)</f>
        <v>0</v>
      </c>
      <c r="I18" s="85" t="e">
        <f>H18/Building_data!D6</f>
        <v>#DIV/0!</v>
      </c>
      <c r="J18" s="154">
        <f>SUM(J15:J17)</f>
        <v>0</v>
      </c>
      <c r="K18" s="143" t="e">
        <f>SUM(K15:K17)</f>
        <v>#DIV/0!</v>
      </c>
      <c r="L18" s="155"/>
      <c r="M18" s="155"/>
      <c r="N18" s="85">
        <f>SUM(N15:N17)-EMS!D7</f>
        <v>0</v>
      </c>
      <c r="O18" s="85" t="e">
        <f>N18/Building_data!D$6</f>
        <v>#DIV/0!</v>
      </c>
    </row>
    <row r="19" spans="2:15" x14ac:dyDescent="0.3">
      <c r="L19" s="10"/>
    </row>
    <row r="20" spans="2:15" x14ac:dyDescent="0.3">
      <c r="J20" s="149"/>
      <c r="L20" s="149"/>
    </row>
    <row r="21" spans="2:15" x14ac:dyDescent="0.3">
      <c r="H21" s="149">
        <f>H13+H8</f>
        <v>567591.12720241456</v>
      </c>
      <c r="J21" s="149"/>
      <c r="K21" s="149">
        <f>H21-N21</f>
        <v>490019.61195030261</v>
      </c>
      <c r="L21" s="149"/>
      <c r="N21" s="149">
        <f>N13+N8</f>
        <v>77571.515252111916</v>
      </c>
    </row>
    <row r="22" spans="2:15" x14ac:dyDescent="0.3">
      <c r="J22" s="134"/>
    </row>
    <row r="24" spans="2:15" x14ac:dyDescent="0.3">
      <c r="D24" s="431"/>
      <c r="J24" s="149"/>
    </row>
    <row r="27" spans="2:15" x14ac:dyDescent="0.3">
      <c r="K27" s="134"/>
    </row>
  </sheetData>
  <mergeCells count="17">
    <mergeCell ref="J14:O14"/>
    <mergeCell ref="B15:B18"/>
    <mergeCell ref="F13:G13"/>
    <mergeCell ref="L13:M13"/>
    <mergeCell ref="D3:I3"/>
    <mergeCell ref="J3:O3"/>
    <mergeCell ref="B5:B8"/>
    <mergeCell ref="B10:B13"/>
    <mergeCell ref="C3:C4"/>
    <mergeCell ref="B3:B4"/>
    <mergeCell ref="I5:I7"/>
    <mergeCell ref="O5:O7"/>
    <mergeCell ref="F8:G8"/>
    <mergeCell ref="L8:M8"/>
    <mergeCell ref="J9:O9"/>
    <mergeCell ref="I10:I12"/>
    <mergeCell ref="O10:O12"/>
  </mergeCells>
  <pageMargins left="0.7" right="0.7" top="0.75" bottom="0.75" header="0.3" footer="0.3"/>
  <pageSetup paperSize="9" orientation="portrait" horizontalDpi="4294967293"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499984740745262"/>
  </sheetPr>
  <dimension ref="B2:W45"/>
  <sheetViews>
    <sheetView topLeftCell="A4" zoomScale="135" zoomScaleNormal="135" workbookViewId="0">
      <selection activeCell="D11" sqref="D11"/>
    </sheetView>
  </sheetViews>
  <sheetFormatPr defaultRowHeight="14.4" x14ac:dyDescent="0.3"/>
  <cols>
    <col min="2" max="2" width="6.33203125" customWidth="1"/>
    <col min="3" max="3" width="18.5546875" customWidth="1"/>
    <col min="4" max="4" width="10.5546875" customWidth="1"/>
    <col min="5" max="5" width="7.5546875" customWidth="1"/>
    <col min="6" max="9" width="10.5546875" customWidth="1"/>
  </cols>
  <sheetData>
    <row r="2" spans="2:11" ht="20.100000000000001" customHeight="1" x14ac:dyDescent="0.3">
      <c r="B2" s="654" t="s">
        <v>239</v>
      </c>
      <c r="C2" s="652" t="s">
        <v>241</v>
      </c>
      <c r="D2" s="652" t="s">
        <v>202</v>
      </c>
      <c r="E2" s="652"/>
      <c r="F2" s="652"/>
      <c r="G2" s="652" t="s">
        <v>203</v>
      </c>
      <c r="H2" s="652"/>
      <c r="I2" s="652"/>
    </row>
    <row r="3" spans="2:11" ht="84" x14ac:dyDescent="0.3">
      <c r="B3" s="654"/>
      <c r="C3" s="652"/>
      <c r="D3" s="29" t="s">
        <v>287</v>
      </c>
      <c r="E3" s="140" t="s">
        <v>267</v>
      </c>
      <c r="F3" s="29" t="s">
        <v>288</v>
      </c>
      <c r="G3" s="29" t="s">
        <v>306</v>
      </c>
      <c r="H3" s="29" t="s">
        <v>305</v>
      </c>
      <c r="I3" s="29" t="s">
        <v>307</v>
      </c>
    </row>
    <row r="4" spans="2:11" ht="14.7" customHeight="1" x14ac:dyDescent="0.3">
      <c r="B4" s="836" t="s">
        <v>238</v>
      </c>
      <c r="C4" s="135" t="s">
        <v>67</v>
      </c>
      <c r="D4" s="270">
        <f>'Losses env. before'!G13</f>
        <v>95776.559094885961</v>
      </c>
      <c r="E4" s="139">
        <f>D4/D$15</f>
        <v>0.17017482865958972</v>
      </c>
      <c r="F4" s="270">
        <f t="shared" ref="F4:F11" si="0">F$15*E4</f>
        <v>40904.214503119503</v>
      </c>
      <c r="G4" s="270">
        <f>'Losses env. after'!G13</f>
        <v>20512.709716444806</v>
      </c>
      <c r="H4" s="147">
        <f>D4-G4</f>
        <v>75263.849378441155</v>
      </c>
      <c r="I4" s="147">
        <f>F4-G4</f>
        <v>20391.504786674697</v>
      </c>
    </row>
    <row r="5" spans="2:11" x14ac:dyDescent="0.3">
      <c r="B5" s="837"/>
      <c r="C5" s="135" t="s">
        <v>136</v>
      </c>
      <c r="D5" s="270">
        <f>'Losses env. before'!G19</f>
        <v>123019.042303176</v>
      </c>
      <c r="E5" s="139">
        <f t="shared" ref="E5:E12" si="1">D5/D$15</f>
        <v>0.21857899932560446</v>
      </c>
      <c r="F5" s="270">
        <f t="shared" si="0"/>
        <v>52538.92332206502</v>
      </c>
      <c r="G5" s="270">
        <f>'Losses env. after'!G19</f>
        <v>18573.721488132695</v>
      </c>
      <c r="H5" s="147">
        <f t="shared" ref="H5:H11" si="2">D5-G5</f>
        <v>104445.32081504331</v>
      </c>
      <c r="I5" s="147">
        <f t="shared" ref="I5:I11" si="3">F5-G5</f>
        <v>33965.201833932326</v>
      </c>
      <c r="K5" s="149"/>
    </row>
    <row r="6" spans="2:11" x14ac:dyDescent="0.3">
      <c r="B6" s="837"/>
      <c r="C6" s="135" t="s">
        <v>139</v>
      </c>
      <c r="D6" s="270">
        <f>'Losses env. before'!G23</f>
        <v>14809.505287799559</v>
      </c>
      <c r="E6" s="139">
        <f t="shared" si="1"/>
        <v>2.6313380316657725E-2</v>
      </c>
      <c r="F6" s="270">
        <f t="shared" si="0"/>
        <v>6324.8375876303653</v>
      </c>
      <c r="G6" s="270">
        <f>'Losses env. after'!G23</f>
        <v>14809.505287799559</v>
      </c>
      <c r="H6" s="147">
        <f t="shared" si="2"/>
        <v>0</v>
      </c>
      <c r="I6" s="147">
        <f t="shared" si="3"/>
        <v>-8484.6677001691933</v>
      </c>
    </row>
    <row r="7" spans="2:11" x14ac:dyDescent="0.3">
      <c r="B7" s="837"/>
      <c r="C7" s="135" t="s">
        <v>146</v>
      </c>
      <c r="D7" s="270">
        <f>'Losses env. before'!G31</f>
        <v>26215.378779800005</v>
      </c>
      <c r="E7" s="139">
        <f t="shared" si="1"/>
        <v>4.657922182899675E-2</v>
      </c>
      <c r="F7" s="270">
        <f t="shared" si="0"/>
        <v>11196.053470944995</v>
      </c>
      <c r="G7" s="270">
        <f>'Losses env. after'!G27</f>
        <v>13398.923664</v>
      </c>
      <c r="H7" s="147">
        <f t="shared" si="2"/>
        <v>12816.455115800005</v>
      </c>
      <c r="I7" s="147">
        <f t="shared" si="3"/>
        <v>-2202.8701930550051</v>
      </c>
    </row>
    <row r="8" spans="2:11" x14ac:dyDescent="0.3">
      <c r="B8" s="837"/>
      <c r="C8" s="135" t="s">
        <v>240</v>
      </c>
      <c r="D8" s="270">
        <f>'Ventilation losses'!G9+'Ventilation losses'!I42</f>
        <v>141332.45127883821</v>
      </c>
      <c r="E8" s="139">
        <f>D8/D$15</f>
        <v>0.25111808053772866</v>
      </c>
      <c r="F8" s="270">
        <f>F$15*E8</f>
        <v>60360.206693518267</v>
      </c>
      <c r="G8" s="270">
        <f>'Ventilation losses'!G14+'Ventilation losses'!I49</f>
        <v>68770.080182039441</v>
      </c>
      <c r="H8" s="147">
        <f t="shared" si="2"/>
        <v>72562.371096798772</v>
      </c>
      <c r="I8" s="147">
        <f>F8-G8</f>
        <v>-8409.8734885211743</v>
      </c>
      <c r="K8" s="149"/>
    </row>
    <row r="9" spans="2:11" x14ac:dyDescent="0.3">
      <c r="B9" s="837"/>
      <c r="C9" s="135" t="s">
        <v>738</v>
      </c>
      <c r="D9" s="270">
        <f>'DHW distr. efficiency'!L12+'DHW generation'!K17</f>
        <v>0</v>
      </c>
      <c r="E9" s="139">
        <f t="shared" si="1"/>
        <v>0</v>
      </c>
      <c r="F9" s="270">
        <f t="shared" si="0"/>
        <v>0</v>
      </c>
      <c r="G9" s="270">
        <f>'DHW distr. efficiency'!L19+'DHW generation'!K36</f>
        <v>4094.6031750000002</v>
      </c>
      <c r="H9" s="147">
        <f t="shared" si="2"/>
        <v>-4094.6031750000002</v>
      </c>
      <c r="I9" s="147">
        <f t="shared" si="3"/>
        <v>-4094.6031750000002</v>
      </c>
    </row>
    <row r="10" spans="2:11" x14ac:dyDescent="0.3">
      <c r="B10" s="837"/>
      <c r="C10" s="135" t="s">
        <v>425</v>
      </c>
      <c r="D10" s="270">
        <f>'Heat distr. efficiency'!L12</f>
        <v>36772.800000000003</v>
      </c>
      <c r="E10" s="139">
        <f t="shared" si="1"/>
        <v>6.5337541862761486E-2</v>
      </c>
      <c r="F10" s="270">
        <f t="shared" si="0"/>
        <v>15704.912697794218</v>
      </c>
      <c r="G10" s="270">
        <f>'Heat distr. efficiency'!L19</f>
        <v>8606.4</v>
      </c>
      <c r="H10" s="147">
        <f t="shared" si="2"/>
        <v>28166.400000000001</v>
      </c>
      <c r="I10" s="147">
        <f t="shared" si="3"/>
        <v>7098.5126977942182</v>
      </c>
      <c r="K10" s="149"/>
    </row>
    <row r="11" spans="2:11" x14ac:dyDescent="0.3">
      <c r="B11" s="837"/>
      <c r="C11" s="135" t="s">
        <v>426</v>
      </c>
      <c r="D11" s="270">
        <f>(('Overall gener. &amp; distrib. eff.'!F7+'Overall gener. &amp; distrib. eff.'!D7)*(1-'Overall gener. &amp; distrib. eff.'!G7))+(('Overall gener. &amp; distrib. eff.'!F10+'Overall gener. &amp; distrib. eff.'!D10)*(1-'Overall gener. &amp; distrib. eff.'!G10))</f>
        <v>183928.80943268989</v>
      </c>
      <c r="E11" s="139">
        <f t="shared" si="1"/>
        <v>0.32680286206316228</v>
      </c>
      <c r="F11" s="270">
        <f t="shared" si="0"/>
        <v>78552.242275530385</v>
      </c>
      <c r="G11" s="270">
        <f>('Overall gener. &amp; distrib. eff.'!J7*(1-'Overall gener. &amp; distrib. eff.'!M7))+('Overall gener. &amp; distrib. eff.'!J10*(1-'Overall gener. &amp; distrib. eff.'!M10))-IHS!C8</f>
        <v>4081.9482101524982</v>
      </c>
      <c r="H11" s="147">
        <f t="shared" si="2"/>
        <v>179846.86122253738</v>
      </c>
      <c r="I11" s="147">
        <f t="shared" si="3"/>
        <v>74470.294065377893</v>
      </c>
      <c r="K11" s="149"/>
    </row>
    <row r="12" spans="2:11" x14ac:dyDescent="0.3">
      <c r="B12" s="837"/>
      <c r="C12" s="135" t="s">
        <v>736</v>
      </c>
      <c r="D12" s="270">
        <f>-D20-gains!E20</f>
        <v>-59041.820879999999</v>
      </c>
      <c r="E12" s="139">
        <f t="shared" si="1"/>
        <v>-0.10490491459450096</v>
      </c>
      <c r="F12" s="147"/>
      <c r="G12" s="147">
        <f>-gains!E41</f>
        <v>-59041.820879999999</v>
      </c>
      <c r="H12" s="147"/>
      <c r="I12" s="147"/>
      <c r="K12" s="149"/>
    </row>
    <row r="13" spans="2:11" x14ac:dyDescent="0.3">
      <c r="B13" s="837"/>
      <c r="C13" s="135" t="s">
        <v>468</v>
      </c>
      <c r="D13" s="139"/>
      <c r="E13" s="139"/>
      <c r="F13" s="147"/>
      <c r="G13" s="147">
        <f>-H13</f>
        <v>-7927.7999999999993</v>
      </c>
      <c r="H13" s="147">
        <f>'Solar DHW'!I13</f>
        <v>7927.7999999999993</v>
      </c>
      <c r="I13" s="147">
        <f>H13</f>
        <v>7927.7999999999993</v>
      </c>
      <c r="K13" s="149"/>
    </row>
    <row r="14" spans="2:11" x14ac:dyDescent="0.3">
      <c r="B14" s="838"/>
      <c r="C14" s="135" t="s">
        <v>587</v>
      </c>
      <c r="D14" s="139"/>
      <c r="E14" s="139"/>
      <c r="F14" s="147"/>
      <c r="G14" s="147">
        <f>-H14</f>
        <v>-4470.3444164570701</v>
      </c>
      <c r="H14" s="147">
        <f>EMS!D9</f>
        <v>4470.3444164570701</v>
      </c>
      <c r="I14" s="147">
        <f>H14</f>
        <v>4470.3444164570701</v>
      </c>
      <c r="K14" s="149"/>
    </row>
    <row r="15" spans="2:11" x14ac:dyDescent="0.3">
      <c r="B15" s="396" t="s">
        <v>0</v>
      </c>
      <c r="C15" s="397" t="s">
        <v>0</v>
      </c>
      <c r="D15" s="303">
        <f>SUM(D4:D12)</f>
        <v>562812.72529718955</v>
      </c>
      <c r="E15" s="143">
        <f>SUM(E4:E12)</f>
        <v>1.0000000000000002</v>
      </c>
      <c r="F15" s="303">
        <f>Consumption!M19+Consumption!M55</f>
        <v>240365.83333333334</v>
      </c>
      <c r="G15" s="303">
        <f>SUM(G4:G14)</f>
        <v>81407.926427111917</v>
      </c>
      <c r="H15" s="85">
        <f>SUM(H4:H14)</f>
        <v>481404.79887007771</v>
      </c>
      <c r="I15" s="85">
        <f>SUM(I4:I14)</f>
        <v>125131.64324349083</v>
      </c>
    </row>
    <row r="16" spans="2:11" ht="14.7" customHeight="1" x14ac:dyDescent="0.3">
      <c r="B16" s="836" t="s">
        <v>242</v>
      </c>
      <c r="C16" s="135" t="s">
        <v>243</v>
      </c>
      <c r="D16" s="270">
        <f>Lighting!L11</f>
        <v>40068.075719980006</v>
      </c>
      <c r="E16" s="139">
        <f>D16/D$25</f>
        <v>0.60254506302057642</v>
      </c>
      <c r="F16" s="147">
        <f>F$25*E16</f>
        <v>33769.638056988202</v>
      </c>
      <c r="G16" s="270">
        <f>Lighting!L16-EMS!D8</f>
        <v>16186.889211955002</v>
      </c>
      <c r="H16" s="147">
        <f t="shared" ref="H16:H21" si="4">D16-G16</f>
        <v>23881.186508025006</v>
      </c>
      <c r="I16" s="147">
        <f t="shared" ref="I16:I21" si="5">F16-G16</f>
        <v>17582.748845033202</v>
      </c>
    </row>
    <row r="17" spans="2:9" x14ac:dyDescent="0.3">
      <c r="B17" s="837"/>
      <c r="C17" s="135" t="s">
        <v>244</v>
      </c>
      <c r="D17" s="270">
        <f>Equipment!K49</f>
        <v>21651.579000000002</v>
      </c>
      <c r="E17" s="139">
        <f t="shared" ref="E17:E20" si="6">D17/D$25</f>
        <v>0.3255971692831896</v>
      </c>
      <c r="F17" s="147">
        <f t="shared" ref="F17:F20" si="7">F$25*E17</f>
        <v>18248.09335247636</v>
      </c>
      <c r="G17" s="270">
        <f>Equipment!K100</f>
        <v>15698.183199999999</v>
      </c>
      <c r="H17" s="147">
        <f t="shared" si="4"/>
        <v>5953.3958000000021</v>
      </c>
      <c r="I17" s="147">
        <f t="shared" si="5"/>
        <v>2549.910152476361</v>
      </c>
    </row>
    <row r="18" spans="2:9" x14ac:dyDescent="0.3">
      <c r="B18" s="837"/>
      <c r="C18" s="135" t="s">
        <v>245</v>
      </c>
      <c r="D18" s="147"/>
      <c r="E18" s="139"/>
      <c r="F18" s="147"/>
      <c r="G18" s="270"/>
      <c r="H18" s="147"/>
      <c r="I18" s="147"/>
    </row>
    <row r="19" spans="2:9" x14ac:dyDescent="0.3">
      <c r="B19" s="837"/>
      <c r="C19" s="135" t="s">
        <v>246</v>
      </c>
      <c r="D19" s="270">
        <f>'Overall gener. &amp; distrib. eff.'!H11</f>
        <v>4778.4019052250005</v>
      </c>
      <c r="E19" s="139">
        <f t="shared" si="6"/>
        <v>7.1857767696234073E-2</v>
      </c>
      <c r="F19" s="147">
        <f>D19</f>
        <v>4778.4019052250005</v>
      </c>
      <c r="G19" s="270">
        <f>'Overall gener. &amp; distrib. eff.'!N11</f>
        <v>0</v>
      </c>
      <c r="H19" s="147">
        <f t="shared" si="4"/>
        <v>4778.4019052250005</v>
      </c>
      <c r="I19" s="147">
        <f t="shared" si="5"/>
        <v>4778.4019052250005</v>
      </c>
    </row>
    <row r="20" spans="2:9" x14ac:dyDescent="0.3">
      <c r="B20" s="837"/>
      <c r="C20" s="135" t="s">
        <v>247</v>
      </c>
      <c r="D20" s="270">
        <f>'Overall gener. &amp; distrib. eff.'!H6</f>
        <v>0</v>
      </c>
      <c r="E20" s="139">
        <f t="shared" si="6"/>
        <v>0</v>
      </c>
      <c r="F20" s="147">
        <f t="shared" si="7"/>
        <v>0</v>
      </c>
      <c r="G20" s="269">
        <f>'Overall gener. &amp; distrib. eff.'!J6</f>
        <v>0</v>
      </c>
      <c r="H20" s="147">
        <f t="shared" si="4"/>
        <v>0</v>
      </c>
      <c r="I20" s="147">
        <f t="shared" si="5"/>
        <v>0</v>
      </c>
    </row>
    <row r="21" spans="2:9" x14ac:dyDescent="0.3">
      <c r="B21" s="837"/>
      <c r="C21" s="135" t="s">
        <v>240</v>
      </c>
      <c r="D21" s="270">
        <f>'Ventilation losses'!I43</f>
        <v>0</v>
      </c>
      <c r="E21" s="139">
        <f t="shared" ref="E21" si="8">D21/D$25</f>
        <v>0</v>
      </c>
      <c r="F21" s="147">
        <f t="shared" ref="F21" si="9">F$25*E21</f>
        <v>0</v>
      </c>
      <c r="G21" s="270">
        <f>'Ventilation losses'!I50</f>
        <v>3424.2560000000003</v>
      </c>
      <c r="H21" s="147">
        <f t="shared" si="4"/>
        <v>-3424.2560000000003</v>
      </c>
      <c r="I21" s="147">
        <f t="shared" si="5"/>
        <v>-3424.2560000000003</v>
      </c>
    </row>
    <row r="22" spans="2:9" x14ac:dyDescent="0.3">
      <c r="B22" s="837"/>
      <c r="C22" s="135" t="s">
        <v>561</v>
      </c>
      <c r="D22" s="270"/>
      <c r="E22" s="139"/>
      <c r="F22" s="147"/>
      <c r="G22" s="270">
        <f>-H22</f>
        <v>-15607.42</v>
      </c>
      <c r="H22" s="147">
        <f>PV!C25</f>
        <v>15607.42</v>
      </c>
      <c r="I22" s="147">
        <f>H22</f>
        <v>15607.42</v>
      </c>
    </row>
    <row r="23" spans="2:9" x14ac:dyDescent="0.3">
      <c r="B23" s="837"/>
      <c r="C23" s="135" t="s">
        <v>737</v>
      </c>
      <c r="D23" s="270"/>
      <c r="E23" s="139"/>
      <c r="F23" s="147"/>
      <c r="G23" s="270"/>
      <c r="H23" s="147"/>
      <c r="I23" s="147"/>
    </row>
    <row r="24" spans="2:9" x14ac:dyDescent="0.3">
      <c r="B24" s="838"/>
      <c r="C24" s="135" t="s">
        <v>587</v>
      </c>
      <c r="D24" s="270"/>
      <c r="E24" s="139"/>
      <c r="F24" s="147"/>
      <c r="G24" s="270">
        <f>-H24</f>
        <v>-500.62543954500001</v>
      </c>
      <c r="H24" s="147">
        <f>EMS!D10</f>
        <v>500.62543954500001</v>
      </c>
      <c r="I24" s="147">
        <f>H24</f>
        <v>500.62543954500001</v>
      </c>
    </row>
    <row r="25" spans="2:9" x14ac:dyDescent="0.3">
      <c r="B25" s="396" t="s">
        <v>0</v>
      </c>
      <c r="C25" s="397" t="s">
        <v>0</v>
      </c>
      <c r="D25" s="85">
        <f>SUM(D16:D21)</f>
        <v>66498.056625205005</v>
      </c>
      <c r="E25" s="143">
        <f>SUM(E16:E21)</f>
        <v>1</v>
      </c>
      <c r="F25" s="85">
        <f>Consumption!M37</f>
        <v>56045</v>
      </c>
      <c r="G25" s="85">
        <f>SUM(G16:G24)</f>
        <v>19201.282972410001</v>
      </c>
      <c r="H25" s="85">
        <f>SUM(H16:H24)</f>
        <v>47296.773652795004</v>
      </c>
      <c r="I25" s="85">
        <f>SUM(I16:I24)</f>
        <v>37594.850342279562</v>
      </c>
    </row>
    <row r="26" spans="2:9" x14ac:dyDescent="0.3">
      <c r="D26" s="149"/>
      <c r="G26" s="149"/>
      <c r="H26" s="149"/>
    </row>
    <row r="27" spans="2:9" x14ac:dyDescent="0.3">
      <c r="D27" s="149"/>
      <c r="H27" s="149"/>
    </row>
    <row r="28" spans="2:9" ht="30.6" x14ac:dyDescent="0.3">
      <c r="C28" s="391"/>
      <c r="D28" s="393" t="s">
        <v>730</v>
      </c>
      <c r="E28" s="393" t="s">
        <v>731</v>
      </c>
      <c r="F28" s="393" t="s">
        <v>732</v>
      </c>
      <c r="H28" s="149"/>
    </row>
    <row r="29" spans="2:9" ht="30.6" x14ac:dyDescent="0.3">
      <c r="C29" s="391" t="s">
        <v>728</v>
      </c>
      <c r="D29" s="392">
        <f>Consumption!M19/Building_data!D4</f>
        <v>95.557128081582306</v>
      </c>
      <c r="E29" s="392">
        <f>'Overall gener. &amp; distrib. eff.'!I8</f>
        <v>223.74547551683901</v>
      </c>
      <c r="F29" s="392">
        <f>'Overall gener. &amp; distrib. eff.'!O8</f>
        <v>33.990142879847625</v>
      </c>
      <c r="G29" s="149"/>
      <c r="H29" s="149"/>
    </row>
    <row r="30" spans="2:9" ht="30.6" x14ac:dyDescent="0.3">
      <c r="C30" s="391" t="s">
        <v>727</v>
      </c>
      <c r="D30" s="392">
        <f>Consumption!M55/Building_data!D4</f>
        <v>0</v>
      </c>
      <c r="E30" s="392">
        <f>'Overall gener. &amp; distrib. eff.'!I13</f>
        <v>1.8996475353868052</v>
      </c>
      <c r="F30" s="392">
        <f>'Overall gener. &amp; distrib. eff.'!O13</f>
        <v>-3.1516866998089776</v>
      </c>
      <c r="G30" s="149"/>
    </row>
    <row r="31" spans="2:9" ht="30.6" x14ac:dyDescent="0.3">
      <c r="C31" s="391" t="s">
        <v>729</v>
      </c>
      <c r="D31" s="392">
        <f>Consumption!M37/Building_data!D4</f>
        <v>22.280617711192786</v>
      </c>
      <c r="E31" s="392">
        <f>'Breakdown Baseline &amp; Balance'!D25/Building_data!D4</f>
        <v>26.436216936451839</v>
      </c>
      <c r="F31" s="392">
        <f>'Breakdown Baseline &amp; Balance'!G25/Building_data!D4</f>
        <v>7.6334453648443699</v>
      </c>
    </row>
    <row r="35" spans="18:23" x14ac:dyDescent="0.3">
      <c r="R35" t="s">
        <v>634</v>
      </c>
    </row>
    <row r="36" spans="18:23" x14ac:dyDescent="0.3">
      <c r="R36" s="306"/>
      <c r="S36" s="306" t="s">
        <v>774</v>
      </c>
      <c r="T36" s="306" t="s">
        <v>775</v>
      </c>
      <c r="U36" s="306" t="s">
        <v>776</v>
      </c>
      <c r="V36" s="306" t="s">
        <v>777</v>
      </c>
      <c r="W36" s="306" t="s">
        <v>778</v>
      </c>
    </row>
    <row r="37" spans="18:23" x14ac:dyDescent="0.3">
      <c r="R37" s="306" t="s">
        <v>779</v>
      </c>
      <c r="S37" s="425">
        <f>F15</f>
        <v>240365.83333333334</v>
      </c>
      <c r="T37" s="425"/>
      <c r="U37" s="425"/>
      <c r="V37" s="306"/>
      <c r="W37" s="306"/>
    </row>
    <row r="38" spans="18:23" x14ac:dyDescent="0.3">
      <c r="R38" s="306" t="s">
        <v>780</v>
      </c>
      <c r="S38" s="425">
        <f>D15</f>
        <v>562812.72529718955</v>
      </c>
      <c r="T38" s="425">
        <f>S37</f>
        <v>240365.83333333334</v>
      </c>
      <c r="U38" s="425">
        <f>S37-S39</f>
        <v>158957.90690622141</v>
      </c>
      <c r="V38" s="426">
        <f>1-(S39/S37)</f>
        <v>0.66131656359738344</v>
      </c>
      <c r="W38" s="306"/>
    </row>
    <row r="39" spans="18:23" x14ac:dyDescent="0.3">
      <c r="R39" s="306" t="s">
        <v>781</v>
      </c>
      <c r="S39" s="425">
        <f>G15</f>
        <v>81407.926427111917</v>
      </c>
      <c r="T39" s="425"/>
      <c r="U39" s="425"/>
      <c r="V39" s="306"/>
      <c r="W39" s="306"/>
    </row>
    <row r="41" spans="18:23" x14ac:dyDescent="0.3">
      <c r="R41" t="s">
        <v>635</v>
      </c>
    </row>
    <row r="42" spans="18:23" x14ac:dyDescent="0.3">
      <c r="R42" s="306"/>
      <c r="S42" s="306" t="s">
        <v>774</v>
      </c>
      <c r="T42" s="306" t="s">
        <v>775</v>
      </c>
      <c r="U42" s="306" t="s">
        <v>776</v>
      </c>
      <c r="V42" s="306" t="s">
        <v>777</v>
      </c>
      <c r="W42" s="306" t="s">
        <v>778</v>
      </c>
    </row>
    <row r="43" spans="18:23" x14ac:dyDescent="0.3">
      <c r="R43" s="306" t="s">
        <v>779</v>
      </c>
      <c r="S43" s="425">
        <f>F25</f>
        <v>56045</v>
      </c>
      <c r="T43" s="425"/>
      <c r="U43" s="425"/>
      <c r="V43" s="306"/>
      <c r="W43" s="306"/>
    </row>
    <row r="44" spans="18:23" x14ac:dyDescent="0.3">
      <c r="R44" s="306" t="s">
        <v>780</v>
      </c>
      <c r="S44" s="425">
        <f>D25</f>
        <v>66498.056625205005</v>
      </c>
      <c r="T44" s="425">
        <f>S43</f>
        <v>56045</v>
      </c>
      <c r="U44" s="425">
        <f>S43-S45</f>
        <v>36843.717027589999</v>
      </c>
      <c r="V44" s="426">
        <f>1-(S45/S43)</f>
        <v>0.65739525430618251</v>
      </c>
      <c r="W44" s="306"/>
    </row>
    <row r="45" spans="18:23" x14ac:dyDescent="0.3">
      <c r="R45" s="306" t="s">
        <v>781</v>
      </c>
      <c r="S45" s="425">
        <f>G25</f>
        <v>19201.282972410001</v>
      </c>
      <c r="T45" s="425"/>
      <c r="U45" s="306"/>
      <c r="V45" s="306"/>
      <c r="W45" s="306"/>
    </row>
  </sheetData>
  <mergeCells count="6">
    <mergeCell ref="D2:F2"/>
    <mergeCell ref="G2:I2"/>
    <mergeCell ref="C2:C3"/>
    <mergeCell ref="B2:B3"/>
    <mergeCell ref="B16:B24"/>
    <mergeCell ref="B4:B14"/>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B3:H16"/>
  <sheetViews>
    <sheetView topLeftCell="D1" zoomScale="160" zoomScaleNormal="85" workbookViewId="0">
      <selection activeCell="F5" sqref="F5"/>
    </sheetView>
  </sheetViews>
  <sheetFormatPr defaultRowHeight="14.4" x14ac:dyDescent="0.3"/>
  <cols>
    <col min="1" max="2" width="3.5546875" customWidth="1"/>
    <col min="3" max="3" width="17.44140625" customWidth="1"/>
    <col min="4" max="4" width="80.5546875" customWidth="1"/>
    <col min="5" max="5" width="8.44140625" customWidth="1"/>
  </cols>
  <sheetData>
    <row r="3" spans="2:8" ht="24" x14ac:dyDescent="0.3">
      <c r="B3" s="29" t="s">
        <v>474</v>
      </c>
      <c r="C3" s="29" t="s">
        <v>470</v>
      </c>
      <c r="D3" s="29" t="s">
        <v>1</v>
      </c>
      <c r="E3" s="29" t="s">
        <v>404</v>
      </c>
      <c r="F3" s="29" t="s">
        <v>407</v>
      </c>
      <c r="G3" s="29" t="s">
        <v>919</v>
      </c>
      <c r="H3" s="29" t="s">
        <v>920</v>
      </c>
    </row>
    <row r="4" spans="2:8" ht="36" x14ac:dyDescent="0.3">
      <c r="B4" s="221">
        <v>1</v>
      </c>
      <c r="C4" s="198" t="s">
        <v>947</v>
      </c>
      <c r="D4" s="198" t="s">
        <v>948</v>
      </c>
      <c r="E4" s="142" t="s">
        <v>405</v>
      </c>
      <c r="F4" s="141">
        <v>20</v>
      </c>
      <c r="G4" s="99">
        <v>200</v>
      </c>
      <c r="H4" s="99">
        <f>F4*G4</f>
        <v>4000</v>
      </c>
    </row>
    <row r="5" spans="2:8" ht="36" x14ac:dyDescent="0.3">
      <c r="B5" s="221">
        <v>2</v>
      </c>
      <c r="C5" s="198" t="s">
        <v>949</v>
      </c>
      <c r="D5" s="198" t="s">
        <v>950</v>
      </c>
      <c r="E5" s="142" t="s">
        <v>511</v>
      </c>
      <c r="F5" s="141">
        <v>500</v>
      </c>
      <c r="G5" s="99">
        <v>10</v>
      </c>
      <c r="H5" s="99">
        <f t="shared" ref="H5:H6" si="0">F5*G5</f>
        <v>5000</v>
      </c>
    </row>
    <row r="6" spans="2:8" ht="36" x14ac:dyDescent="0.3">
      <c r="B6" s="221">
        <v>3</v>
      </c>
      <c r="C6" s="198" t="s">
        <v>951</v>
      </c>
      <c r="D6" s="198" t="s">
        <v>952</v>
      </c>
      <c r="E6" s="142" t="s">
        <v>406</v>
      </c>
      <c r="F6" s="141">
        <v>50</v>
      </c>
      <c r="G6" s="99">
        <v>40</v>
      </c>
      <c r="H6" s="99">
        <f t="shared" si="0"/>
        <v>2000</v>
      </c>
    </row>
    <row r="7" spans="2:8" x14ac:dyDescent="0.3">
      <c r="B7" s="221">
        <v>4</v>
      </c>
      <c r="C7" s="198"/>
      <c r="D7" s="198"/>
      <c r="E7" s="142"/>
      <c r="F7" s="141"/>
      <c r="G7" s="99"/>
      <c r="H7" s="99"/>
    </row>
    <row r="8" spans="2:8" x14ac:dyDescent="0.3">
      <c r="B8" s="221">
        <v>5</v>
      </c>
      <c r="C8" s="198"/>
      <c r="D8" s="198"/>
      <c r="E8" s="142"/>
      <c r="F8" s="141"/>
      <c r="G8" s="99"/>
      <c r="H8" s="99"/>
    </row>
    <row r="9" spans="2:8" x14ac:dyDescent="0.3">
      <c r="B9" s="221">
        <v>6</v>
      </c>
      <c r="C9" s="486"/>
      <c r="D9" s="436"/>
      <c r="E9" s="142"/>
      <c r="F9" s="141"/>
      <c r="G9" s="99"/>
      <c r="H9" s="99"/>
    </row>
    <row r="10" spans="2:8" x14ac:dyDescent="0.3">
      <c r="B10" s="221">
        <v>7</v>
      </c>
      <c r="C10" s="198"/>
      <c r="D10" s="198"/>
      <c r="E10" s="142"/>
      <c r="F10" s="141"/>
      <c r="G10" s="99"/>
      <c r="H10" s="99"/>
    </row>
    <row r="11" spans="2:8" x14ac:dyDescent="0.3">
      <c r="B11" s="221">
        <v>8</v>
      </c>
      <c r="C11" s="198"/>
      <c r="D11" s="198"/>
      <c r="E11" s="142"/>
      <c r="F11" s="141"/>
      <c r="G11" s="99"/>
      <c r="H11" s="99"/>
    </row>
    <row r="12" spans="2:8" x14ac:dyDescent="0.3">
      <c r="B12" s="221">
        <v>9</v>
      </c>
      <c r="C12" s="199"/>
      <c r="D12" s="198"/>
      <c r="E12" s="142"/>
      <c r="F12" s="141"/>
      <c r="G12" s="99"/>
      <c r="H12" s="99"/>
    </row>
    <row r="13" spans="2:8" x14ac:dyDescent="0.3">
      <c r="B13" s="221">
        <v>10</v>
      </c>
      <c r="C13" s="199"/>
      <c r="D13" s="198"/>
      <c r="E13" s="142"/>
      <c r="F13" s="141"/>
      <c r="G13" s="99"/>
      <c r="H13" s="99"/>
    </row>
    <row r="14" spans="2:8" x14ac:dyDescent="0.3">
      <c r="B14" s="221">
        <v>11</v>
      </c>
      <c r="C14" s="198"/>
      <c r="D14" s="198"/>
      <c r="E14" s="142"/>
      <c r="F14" s="141"/>
      <c r="G14" s="99"/>
      <c r="H14" s="99"/>
    </row>
    <row r="15" spans="2:8" x14ac:dyDescent="0.3">
      <c r="B15" s="221">
        <v>12</v>
      </c>
      <c r="C15" s="198"/>
      <c r="D15" s="198"/>
      <c r="E15" s="142"/>
      <c r="F15" s="141"/>
      <c r="G15" s="99"/>
      <c r="H15" s="99"/>
    </row>
    <row r="16" spans="2:8" x14ac:dyDescent="0.3">
      <c r="B16" s="221">
        <v>13</v>
      </c>
      <c r="C16" s="198"/>
      <c r="D16" s="198"/>
      <c r="E16" s="142"/>
      <c r="F16" s="141"/>
      <c r="G16" s="99"/>
      <c r="H16" s="99"/>
    </row>
  </sheetData>
  <pageMargins left="0.25" right="0.25"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tint="-0.499984740745262"/>
  </sheetPr>
  <dimension ref="B2:AB407"/>
  <sheetViews>
    <sheetView zoomScale="166" zoomScaleNormal="85" workbookViewId="0">
      <selection activeCell="C13" sqref="C13"/>
    </sheetView>
  </sheetViews>
  <sheetFormatPr defaultRowHeight="14.4" x14ac:dyDescent="0.3"/>
  <cols>
    <col min="3" max="3" width="32" style="137" customWidth="1"/>
    <col min="4" max="25" width="10.5546875" style="137" customWidth="1"/>
    <col min="26" max="27" width="9.44140625" bestFit="1" customWidth="1"/>
  </cols>
  <sheetData>
    <row r="2" spans="2:25" s="137" customFormat="1" ht="30" customHeight="1" x14ac:dyDescent="0.25">
      <c r="B2" s="217" t="s">
        <v>471</v>
      </c>
      <c r="C2" s="703" t="str">
        <f>Measures_summary!C5</f>
        <v>Thermal insulation of walls</v>
      </c>
      <c r="D2" s="704"/>
      <c r="E2" s="704"/>
      <c r="F2" s="704"/>
      <c r="G2" s="704"/>
      <c r="H2" s="704"/>
      <c r="I2" s="704"/>
      <c r="J2" s="704"/>
      <c r="K2" s="704"/>
      <c r="L2" s="704"/>
      <c r="M2" s="704"/>
      <c r="N2" s="704"/>
      <c r="O2" s="704"/>
      <c r="P2" s="704"/>
      <c r="Q2" s="704"/>
      <c r="R2" s="704"/>
      <c r="S2" s="704"/>
      <c r="T2" s="704"/>
      <c r="U2" s="704"/>
      <c r="V2" s="704"/>
      <c r="W2" s="704"/>
      <c r="X2" s="705"/>
      <c r="Y2" s="138"/>
    </row>
    <row r="3" spans="2:25" s="137" customFormat="1" ht="30" customHeight="1" x14ac:dyDescent="0.25">
      <c r="B3" s="158" t="s">
        <v>42</v>
      </c>
      <c r="C3" s="28" t="s">
        <v>265</v>
      </c>
      <c r="D3" s="28">
        <v>2026</v>
      </c>
      <c r="E3" s="28">
        <v>2027</v>
      </c>
      <c r="F3" s="28">
        <v>2028</v>
      </c>
      <c r="G3" s="28">
        <v>2029</v>
      </c>
      <c r="H3" s="28">
        <v>2030</v>
      </c>
      <c r="I3" s="28">
        <v>2031</v>
      </c>
      <c r="J3" s="28">
        <v>2032</v>
      </c>
      <c r="K3" s="28">
        <v>2033</v>
      </c>
      <c r="L3" s="28">
        <v>2034</v>
      </c>
      <c r="M3" s="28">
        <v>2035</v>
      </c>
      <c r="N3" s="28">
        <v>2036</v>
      </c>
      <c r="O3" s="28">
        <v>2037</v>
      </c>
      <c r="P3" s="28">
        <v>2038</v>
      </c>
      <c r="Q3" s="28">
        <v>2039</v>
      </c>
      <c r="R3" s="28">
        <v>2040</v>
      </c>
      <c r="S3" s="28">
        <v>2041</v>
      </c>
      <c r="T3" s="28">
        <v>2042</v>
      </c>
      <c r="U3" s="28">
        <v>2043</v>
      </c>
      <c r="V3" s="28">
        <v>2044</v>
      </c>
      <c r="W3" s="28">
        <v>2045</v>
      </c>
      <c r="X3" s="28">
        <v>2046</v>
      </c>
      <c r="Y3" s="138"/>
    </row>
    <row r="4" spans="2:25" s="137" customFormat="1" ht="25.2" customHeight="1" x14ac:dyDescent="0.25">
      <c r="B4" s="161">
        <v>1</v>
      </c>
      <c r="C4" s="162" t="s">
        <v>302</v>
      </c>
      <c r="D4" s="163"/>
      <c r="E4" s="163"/>
      <c r="F4" s="163"/>
      <c r="G4" s="163"/>
      <c r="H4" s="163"/>
      <c r="I4" s="163"/>
      <c r="J4" s="163"/>
      <c r="K4" s="163"/>
      <c r="L4" s="163"/>
      <c r="M4" s="30"/>
      <c r="N4" s="30"/>
      <c r="O4" s="30"/>
      <c r="P4" s="30"/>
      <c r="Q4" s="30"/>
      <c r="R4" s="30"/>
      <c r="S4" s="30"/>
      <c r="T4" s="30"/>
      <c r="U4" s="30"/>
      <c r="V4" s="30"/>
      <c r="W4" s="30"/>
      <c r="X4" s="30"/>
      <c r="Y4" s="138"/>
    </row>
    <row r="5" spans="2:25" s="137" customFormat="1" ht="25.2" customHeight="1" x14ac:dyDescent="0.25">
      <c r="B5" s="164" t="s">
        <v>248</v>
      </c>
      <c r="C5" s="165" t="s">
        <v>896</v>
      </c>
      <c r="D5" s="166">
        <f>Measures_summary!D5</f>
        <v>76137.899999999994</v>
      </c>
      <c r="E5" s="163"/>
      <c r="F5" s="163"/>
      <c r="G5" s="163"/>
      <c r="H5" s="163"/>
      <c r="I5" s="163"/>
      <c r="J5" s="163"/>
      <c r="K5" s="163"/>
      <c r="L5" s="163"/>
      <c r="M5" s="163"/>
      <c r="N5" s="163"/>
      <c r="O5" s="163"/>
      <c r="P5" s="163"/>
      <c r="Q5" s="163"/>
      <c r="R5" s="163"/>
      <c r="S5" s="163"/>
      <c r="T5" s="163"/>
      <c r="U5" s="163"/>
      <c r="V5" s="163"/>
      <c r="W5" s="163"/>
      <c r="X5" s="163"/>
      <c r="Y5" s="138"/>
    </row>
    <row r="6" spans="2:25" s="137" customFormat="1" ht="25.2" customHeight="1" x14ac:dyDescent="0.25">
      <c r="B6" s="164" t="s">
        <v>249</v>
      </c>
      <c r="C6" s="165" t="s">
        <v>897</v>
      </c>
      <c r="D6" s="163"/>
      <c r="E6" s="558">
        <f>0.5%*$D$5</f>
        <v>380.68949999999995</v>
      </c>
      <c r="F6" s="558">
        <f t="shared" ref="F6:X6" si="0">0.5%*$D$5</f>
        <v>380.68949999999995</v>
      </c>
      <c r="G6" s="558">
        <f t="shared" si="0"/>
        <v>380.68949999999995</v>
      </c>
      <c r="H6" s="558">
        <f t="shared" si="0"/>
        <v>380.68949999999995</v>
      </c>
      <c r="I6" s="558">
        <f t="shared" si="0"/>
        <v>380.68949999999995</v>
      </c>
      <c r="J6" s="558">
        <f t="shared" si="0"/>
        <v>380.68949999999995</v>
      </c>
      <c r="K6" s="558">
        <f t="shared" si="0"/>
        <v>380.68949999999995</v>
      </c>
      <c r="L6" s="558">
        <f t="shared" si="0"/>
        <v>380.68949999999995</v>
      </c>
      <c r="M6" s="558">
        <f t="shared" si="0"/>
        <v>380.68949999999995</v>
      </c>
      <c r="N6" s="558">
        <f t="shared" si="0"/>
        <v>380.68949999999995</v>
      </c>
      <c r="O6" s="558">
        <f t="shared" si="0"/>
        <v>380.68949999999995</v>
      </c>
      <c r="P6" s="558">
        <f t="shared" si="0"/>
        <v>380.68949999999995</v>
      </c>
      <c r="Q6" s="558">
        <f t="shared" si="0"/>
        <v>380.68949999999995</v>
      </c>
      <c r="R6" s="558">
        <f t="shared" si="0"/>
        <v>380.68949999999995</v>
      </c>
      <c r="S6" s="558">
        <f t="shared" si="0"/>
        <v>380.68949999999995</v>
      </c>
      <c r="T6" s="558">
        <f t="shared" si="0"/>
        <v>380.68949999999995</v>
      </c>
      <c r="U6" s="558">
        <f t="shared" si="0"/>
        <v>380.68949999999995</v>
      </c>
      <c r="V6" s="558">
        <f t="shared" si="0"/>
        <v>380.68949999999995</v>
      </c>
      <c r="W6" s="558">
        <f t="shared" si="0"/>
        <v>380.68949999999995</v>
      </c>
      <c r="X6" s="558">
        <f t="shared" si="0"/>
        <v>380.68949999999995</v>
      </c>
      <c r="Y6" s="138"/>
    </row>
    <row r="7" spans="2:25" s="137" customFormat="1" ht="25.2" customHeight="1" x14ac:dyDescent="0.25">
      <c r="B7" s="161">
        <v>2</v>
      </c>
      <c r="C7" s="162" t="s">
        <v>303</v>
      </c>
      <c r="D7" s="163"/>
      <c r="E7" s="163"/>
      <c r="F7" s="163"/>
      <c r="G7" s="163"/>
      <c r="H7" s="163"/>
      <c r="I7" s="163"/>
      <c r="J7" s="163"/>
      <c r="K7" s="163"/>
      <c r="L7" s="163"/>
      <c r="M7" s="163"/>
      <c r="N7" s="163"/>
      <c r="O7" s="163"/>
      <c r="P7" s="163"/>
      <c r="Q7" s="163"/>
      <c r="R7" s="163"/>
      <c r="S7" s="163"/>
      <c r="T7" s="163"/>
      <c r="U7" s="163"/>
      <c r="V7" s="163"/>
      <c r="W7" s="163"/>
      <c r="X7" s="163"/>
      <c r="Y7" s="138"/>
    </row>
    <row r="8" spans="2:25" s="137" customFormat="1" ht="25.2" customHeight="1" x14ac:dyDescent="0.25">
      <c r="B8" s="167" t="s">
        <v>250</v>
      </c>
      <c r="C8" s="133" t="s">
        <v>898</v>
      </c>
      <c r="D8" s="163">
        <v>0</v>
      </c>
      <c r="E8" s="558">
        <f>Measures_summary!F5</f>
        <v>1647.2285555739652</v>
      </c>
      <c r="F8" s="166">
        <f>$E8*(1.08+0.08*(F3-$F$3))</f>
        <v>1779.0068400198825</v>
      </c>
      <c r="G8" s="166">
        <f t="shared" ref="G8:X8" si="1">$E8*(1.08+0.08*(G3-$F$3))</f>
        <v>1910.7851244657998</v>
      </c>
      <c r="H8" s="166">
        <f t="shared" si="1"/>
        <v>2042.5634089117168</v>
      </c>
      <c r="I8" s="166">
        <f t="shared" si="1"/>
        <v>2174.3416933576341</v>
      </c>
      <c r="J8" s="166">
        <f t="shared" si="1"/>
        <v>2306.1199778035516</v>
      </c>
      <c r="K8" s="166">
        <f t="shared" si="1"/>
        <v>2437.8982622494686</v>
      </c>
      <c r="L8" s="166">
        <f t="shared" si="1"/>
        <v>2569.6765466953857</v>
      </c>
      <c r="M8" s="166">
        <f t="shared" si="1"/>
        <v>2701.4548311413032</v>
      </c>
      <c r="N8" s="166">
        <f t="shared" si="1"/>
        <v>2833.2331155872203</v>
      </c>
      <c r="O8" s="166">
        <f t="shared" si="1"/>
        <v>2965.0114000331373</v>
      </c>
      <c r="P8" s="166">
        <f t="shared" si="1"/>
        <v>3096.7896844790548</v>
      </c>
      <c r="Q8" s="166">
        <f t="shared" si="1"/>
        <v>3228.5679689249719</v>
      </c>
      <c r="R8" s="166">
        <f t="shared" si="1"/>
        <v>3360.3462533708889</v>
      </c>
      <c r="S8" s="166">
        <f t="shared" si="1"/>
        <v>3492.1245378168064</v>
      </c>
      <c r="T8" s="166">
        <f t="shared" si="1"/>
        <v>3623.9028222627239</v>
      </c>
      <c r="U8" s="166">
        <f t="shared" si="1"/>
        <v>3755.681106708641</v>
      </c>
      <c r="V8" s="166">
        <f t="shared" si="1"/>
        <v>3887.4593911545585</v>
      </c>
      <c r="W8" s="166">
        <f t="shared" si="1"/>
        <v>4019.2376756004755</v>
      </c>
      <c r="X8" s="166">
        <f t="shared" si="1"/>
        <v>4151.0159600463921</v>
      </c>
      <c r="Y8" s="138"/>
    </row>
    <row r="9" spans="2:25" s="137" customFormat="1" ht="25.2" customHeight="1" x14ac:dyDescent="0.25">
      <c r="B9" s="167" t="s">
        <v>251</v>
      </c>
      <c r="C9" s="133" t="s">
        <v>899</v>
      </c>
      <c r="D9" s="163">
        <v>0</v>
      </c>
      <c r="E9" s="558">
        <f>Measures_summary!J5</f>
        <v>446.28954342794015</v>
      </c>
      <c r="F9" s="166">
        <f>$E9*(1.08+0.08*(F3-$F$3))</f>
        <v>481.99270690217537</v>
      </c>
      <c r="G9" s="166">
        <f t="shared" ref="G9:X9" si="2">$E9*(1.08+0.08*(G3-$F$3))</f>
        <v>517.69587037641065</v>
      </c>
      <c r="H9" s="166">
        <f t="shared" si="2"/>
        <v>553.39903385064576</v>
      </c>
      <c r="I9" s="166">
        <f t="shared" si="2"/>
        <v>589.10219732488099</v>
      </c>
      <c r="J9" s="166">
        <f t="shared" si="2"/>
        <v>624.80536079911622</v>
      </c>
      <c r="K9" s="166">
        <f t="shared" si="2"/>
        <v>660.50852427335144</v>
      </c>
      <c r="L9" s="166">
        <f t="shared" si="2"/>
        <v>696.21168774758667</v>
      </c>
      <c r="M9" s="166">
        <f t="shared" si="2"/>
        <v>731.91485122182189</v>
      </c>
      <c r="N9" s="166">
        <f t="shared" si="2"/>
        <v>767.61801469605712</v>
      </c>
      <c r="O9" s="166">
        <f t="shared" si="2"/>
        <v>803.32117817029223</v>
      </c>
      <c r="P9" s="166">
        <f t="shared" si="2"/>
        <v>839.02434164452757</v>
      </c>
      <c r="Q9" s="166">
        <f t="shared" si="2"/>
        <v>874.72750511876268</v>
      </c>
      <c r="R9" s="166">
        <f t="shared" si="2"/>
        <v>910.4306685929979</v>
      </c>
      <c r="S9" s="166">
        <f t="shared" si="2"/>
        <v>946.13383206723313</v>
      </c>
      <c r="T9" s="166">
        <f t="shared" si="2"/>
        <v>981.83699554146835</v>
      </c>
      <c r="U9" s="166">
        <f t="shared" si="2"/>
        <v>1017.5401590157037</v>
      </c>
      <c r="V9" s="166">
        <f t="shared" si="2"/>
        <v>1053.2433224899389</v>
      </c>
      <c r="W9" s="166">
        <f t="shared" si="2"/>
        <v>1088.9464859641741</v>
      </c>
      <c r="X9" s="166">
        <f t="shared" si="2"/>
        <v>1124.6496494384091</v>
      </c>
      <c r="Y9" s="138"/>
    </row>
    <row r="10" spans="2:25" s="137" customFormat="1" ht="25.2" customHeight="1" x14ac:dyDescent="0.25">
      <c r="B10" s="167" t="s">
        <v>252</v>
      </c>
      <c r="C10" s="133" t="s">
        <v>900</v>
      </c>
      <c r="D10" s="168">
        <f t="shared" ref="D10:X10" si="3">D8-(D5+D6)</f>
        <v>-76137.899999999994</v>
      </c>
      <c r="E10" s="168">
        <f>E8-(E5+E6)</f>
        <v>1266.5390555739652</v>
      </c>
      <c r="F10" s="168">
        <f t="shared" si="3"/>
        <v>1398.3173400198825</v>
      </c>
      <c r="G10" s="168">
        <f t="shared" si="3"/>
        <v>1530.0956244657998</v>
      </c>
      <c r="H10" s="168">
        <f t="shared" si="3"/>
        <v>1661.8739089117169</v>
      </c>
      <c r="I10" s="168">
        <f t="shared" si="3"/>
        <v>1793.6521933576341</v>
      </c>
      <c r="J10" s="168">
        <f t="shared" si="3"/>
        <v>1925.4304778035516</v>
      </c>
      <c r="K10" s="168">
        <f t="shared" si="3"/>
        <v>2057.2087622494687</v>
      </c>
      <c r="L10" s="168">
        <f t="shared" si="3"/>
        <v>2188.9870466953857</v>
      </c>
      <c r="M10" s="168">
        <f t="shared" si="3"/>
        <v>2320.7653311413032</v>
      </c>
      <c r="N10" s="168">
        <f t="shared" si="3"/>
        <v>2452.5436155872203</v>
      </c>
      <c r="O10" s="168">
        <f t="shared" si="3"/>
        <v>2584.3219000331374</v>
      </c>
      <c r="P10" s="168">
        <f t="shared" si="3"/>
        <v>2716.1001844790549</v>
      </c>
      <c r="Q10" s="168">
        <f t="shared" si="3"/>
        <v>2847.8784689249719</v>
      </c>
      <c r="R10" s="168">
        <f t="shared" si="3"/>
        <v>2979.656753370889</v>
      </c>
      <c r="S10" s="168">
        <f t="shared" si="3"/>
        <v>3111.4350378168065</v>
      </c>
      <c r="T10" s="168">
        <f t="shared" si="3"/>
        <v>3243.213322262724</v>
      </c>
      <c r="U10" s="168">
        <f t="shared" si="3"/>
        <v>3374.991606708641</v>
      </c>
      <c r="V10" s="168">
        <f t="shared" si="3"/>
        <v>3506.7698911545585</v>
      </c>
      <c r="W10" s="168">
        <f t="shared" si="3"/>
        <v>3638.5481756004756</v>
      </c>
      <c r="X10" s="168">
        <f t="shared" si="3"/>
        <v>3770.3264600463922</v>
      </c>
      <c r="Y10" s="138"/>
    </row>
    <row r="11" spans="2:25" s="567" customFormat="1" ht="25.2" customHeight="1" x14ac:dyDescent="0.25">
      <c r="B11" s="560" t="s">
        <v>253</v>
      </c>
      <c r="C11" s="561" t="s">
        <v>901</v>
      </c>
      <c r="D11" s="565">
        <f t="shared" ref="D11:X11" si="4">D9-(D5+D6)</f>
        <v>-76137.899999999994</v>
      </c>
      <c r="E11" s="565">
        <f t="shared" si="4"/>
        <v>65.600043427940193</v>
      </c>
      <c r="F11" s="565">
        <f t="shared" si="4"/>
        <v>101.30320690217542</v>
      </c>
      <c r="G11" s="565">
        <f t="shared" si="4"/>
        <v>137.0063703764107</v>
      </c>
      <c r="H11" s="565">
        <f t="shared" si="4"/>
        <v>172.70953385064581</v>
      </c>
      <c r="I11" s="565">
        <f t="shared" si="4"/>
        <v>208.41269732488104</v>
      </c>
      <c r="J11" s="565">
        <f t="shared" si="4"/>
        <v>244.11586079911626</v>
      </c>
      <c r="K11" s="565">
        <f t="shared" si="4"/>
        <v>279.81902427335149</v>
      </c>
      <c r="L11" s="565">
        <f t="shared" si="4"/>
        <v>315.52218774758671</v>
      </c>
      <c r="M11" s="565">
        <f t="shared" si="4"/>
        <v>351.22535122182194</v>
      </c>
      <c r="N11" s="565">
        <f t="shared" si="4"/>
        <v>386.92851469605716</v>
      </c>
      <c r="O11" s="565">
        <f t="shared" si="4"/>
        <v>422.63167817029228</v>
      </c>
      <c r="P11" s="565">
        <f t="shared" si="4"/>
        <v>458.33484164452761</v>
      </c>
      <c r="Q11" s="565">
        <f t="shared" si="4"/>
        <v>494.03800511876273</v>
      </c>
      <c r="R11" s="565">
        <f t="shared" si="4"/>
        <v>529.74116859299795</v>
      </c>
      <c r="S11" s="565">
        <f t="shared" si="4"/>
        <v>565.44433206723318</v>
      </c>
      <c r="T11" s="565">
        <f t="shared" si="4"/>
        <v>601.1474955414684</v>
      </c>
      <c r="U11" s="565">
        <f t="shared" si="4"/>
        <v>636.85065901570374</v>
      </c>
      <c r="V11" s="565">
        <f t="shared" si="4"/>
        <v>672.55382248993897</v>
      </c>
      <c r="W11" s="565">
        <f t="shared" si="4"/>
        <v>708.25698596417419</v>
      </c>
      <c r="X11" s="565">
        <f t="shared" si="4"/>
        <v>743.96014943840919</v>
      </c>
      <c r="Y11" s="566"/>
    </row>
    <row r="12" spans="2:25" s="137" customFormat="1" ht="25.2" customHeight="1" x14ac:dyDescent="0.25">
      <c r="B12" s="161" t="s">
        <v>254</v>
      </c>
      <c r="C12" s="169" t="s">
        <v>304</v>
      </c>
      <c r="D12" s="170"/>
      <c r="E12" s="170"/>
      <c r="F12" s="170"/>
      <c r="G12" s="170"/>
      <c r="H12" s="170"/>
      <c r="I12" s="170"/>
      <c r="J12" s="170"/>
      <c r="K12" s="170"/>
      <c r="L12" s="170"/>
      <c r="M12" s="170"/>
      <c r="N12" s="170"/>
      <c r="O12" s="170"/>
      <c r="P12" s="170"/>
      <c r="Q12" s="170"/>
      <c r="R12" s="170"/>
      <c r="S12" s="170"/>
      <c r="T12" s="170"/>
      <c r="U12" s="170"/>
      <c r="V12" s="170"/>
      <c r="W12" s="170"/>
      <c r="X12" s="170"/>
      <c r="Y12" s="138"/>
    </row>
    <row r="13" spans="2:25" s="137" customFormat="1" ht="25.2" customHeight="1" x14ac:dyDescent="0.25">
      <c r="B13" s="167" t="s">
        <v>255</v>
      </c>
      <c r="C13" s="133" t="s">
        <v>902</v>
      </c>
      <c r="D13" s="168">
        <f>D10</f>
        <v>-76137.899999999994</v>
      </c>
      <c r="E13" s="558">
        <f t="shared" ref="E13:X13" si="5">E8/POWER(1+0.04,E$3-$D$3)</f>
        <v>1583.8736111288126</v>
      </c>
      <c r="F13" s="178">
        <f t="shared" si="5"/>
        <v>1644.7918269414592</v>
      </c>
      <c r="G13" s="178">
        <f t="shared" si="5"/>
        <v>1698.6810178526466</v>
      </c>
      <c r="H13" s="178">
        <f t="shared" si="5"/>
        <v>1745.9917623816989</v>
      </c>
      <c r="I13" s="178">
        <f t="shared" si="5"/>
        <v>1787.1503771276693</v>
      </c>
      <c r="J13" s="178">
        <f t="shared" si="5"/>
        <v>1822.5601165346279</v>
      </c>
      <c r="K13" s="178">
        <f t="shared" si="5"/>
        <v>1852.6023162577264</v>
      </c>
      <c r="L13" s="178">
        <f t="shared" si="5"/>
        <v>1877.637482693641</v>
      </c>
      <c r="M13" s="178">
        <f t="shared" si="5"/>
        <v>1898.0063311252291</v>
      </c>
      <c r="N13" s="178">
        <f t="shared" si="5"/>
        <v>1914.0307748214082</v>
      </c>
      <c r="O13" s="178">
        <f t="shared" si="5"/>
        <v>1926.0148673292344</v>
      </c>
      <c r="P13" s="178">
        <f t="shared" si="5"/>
        <v>1934.2457000955985</v>
      </c>
      <c r="Q13" s="178">
        <f t="shared" si="5"/>
        <v>1938.9942574608085</v>
      </c>
      <c r="R13" s="178">
        <f t="shared" si="5"/>
        <v>1940.5162309752989</v>
      </c>
      <c r="S13" s="178">
        <f t="shared" si="5"/>
        <v>1939.0527949036737</v>
      </c>
      <c r="T13" s="178">
        <f t="shared" si="5"/>
        <v>1934.8313446970617</v>
      </c>
      <c r="U13" s="178">
        <f t="shared" si="5"/>
        <v>1928.0662001351836</v>
      </c>
      <c r="V13" s="178">
        <f t="shared" si="5"/>
        <v>1918.9592747634249</v>
      </c>
      <c r="W13" s="178">
        <f t="shared" si="5"/>
        <v>1907.7007131774596</v>
      </c>
      <c r="X13" s="178">
        <f t="shared" si="5"/>
        <v>1894.4694976383976</v>
      </c>
      <c r="Y13" s="138"/>
    </row>
    <row r="14" spans="2:25" s="137" customFormat="1" ht="25.2" customHeight="1" x14ac:dyDescent="0.25">
      <c r="B14" s="167" t="s">
        <v>256</v>
      </c>
      <c r="C14" s="133" t="s">
        <v>903</v>
      </c>
      <c r="D14" s="168">
        <f>D11</f>
        <v>-76137.899999999994</v>
      </c>
      <c r="E14" s="558">
        <f t="shared" ref="E14:X14" si="6">E9/POWER(1+0.04,E$3-$D$3)</f>
        <v>429.12456098840397</v>
      </c>
      <c r="F14" s="178">
        <f t="shared" si="6"/>
        <v>445.62935179565028</v>
      </c>
      <c r="G14" s="178">
        <f t="shared" si="6"/>
        <v>460.22974366359898</v>
      </c>
      <c r="H14" s="178">
        <f t="shared" si="6"/>
        <v>473.04781344733306</v>
      </c>
      <c r="I14" s="178">
        <f t="shared" si="6"/>
        <v>484.19906463281603</v>
      </c>
      <c r="J14" s="178">
        <f t="shared" si="6"/>
        <v>493.79275239360612</v>
      </c>
      <c r="K14" s="178">
        <f t="shared" si="6"/>
        <v>501.93219336712713</v>
      </c>
      <c r="L14" s="178">
        <f t="shared" si="6"/>
        <v>508.7150608450612</v>
      </c>
      <c r="M14" s="178">
        <f t="shared" si="6"/>
        <v>514.23366604160526</v>
      </c>
      <c r="N14" s="178">
        <f t="shared" si="6"/>
        <v>518.57522607385147</v>
      </c>
      <c r="O14" s="178">
        <f t="shared" si="6"/>
        <v>521.8221192603603</v>
      </c>
      <c r="P14" s="178">
        <f t="shared" si="6"/>
        <v>524.05212831702852</v>
      </c>
      <c r="Q14" s="178">
        <f t="shared" si="6"/>
        <v>525.33867200356781</v>
      </c>
      <c r="R14" s="178">
        <f t="shared" si="6"/>
        <v>525.75102574925347</v>
      </c>
      <c r="S14" s="178">
        <f t="shared" si="6"/>
        <v>525.35453176301723</v>
      </c>
      <c r="T14" s="178">
        <f t="shared" si="6"/>
        <v>524.21079911041261</v>
      </c>
      <c r="U14" s="178">
        <f t="shared" si="6"/>
        <v>522.37789421841819</v>
      </c>
      <c r="V14" s="178">
        <f t="shared" si="6"/>
        <v>519.91052224842565</v>
      </c>
      <c r="W14" s="178">
        <f t="shared" si="6"/>
        <v>516.86019975805027</v>
      </c>
      <c r="X14" s="178">
        <f t="shared" si="6"/>
        <v>513.27541905354917</v>
      </c>
      <c r="Y14" s="138"/>
    </row>
    <row r="15" spans="2:25" s="137" customFormat="1" ht="25.2" customHeight="1" x14ac:dyDescent="0.25">
      <c r="B15" s="167" t="s">
        <v>257</v>
      </c>
      <c r="C15" s="133" t="s">
        <v>904</v>
      </c>
      <c r="D15" s="558">
        <f>NPV(0.04,E10:X10)+D10</f>
        <v>-44223.418043061509</v>
      </c>
      <c r="E15" s="179"/>
      <c r="F15" s="171"/>
      <c r="G15" s="171"/>
      <c r="H15" s="171"/>
      <c r="I15" s="171"/>
      <c r="J15" s="171"/>
      <c r="K15" s="171"/>
      <c r="L15" s="171"/>
      <c r="M15" s="171"/>
      <c r="N15" s="171"/>
      <c r="O15" s="171"/>
      <c r="P15" s="171"/>
      <c r="Q15" s="171"/>
      <c r="R15" s="171"/>
      <c r="S15" s="171"/>
      <c r="T15" s="171"/>
      <c r="U15" s="171"/>
      <c r="V15" s="171"/>
      <c r="W15" s="171"/>
      <c r="X15" s="171"/>
      <c r="Y15" s="138"/>
    </row>
    <row r="16" spans="2:25" s="137" customFormat="1" ht="25.2" customHeight="1" x14ac:dyDescent="0.25">
      <c r="B16" s="560" t="s">
        <v>258</v>
      </c>
      <c r="C16" s="561" t="s">
        <v>905</v>
      </c>
      <c r="D16" s="564">
        <f>NPV(0.04,E11:X11)+D11</f>
        <v>-71263.161796371423</v>
      </c>
      <c r="E16" s="171"/>
      <c r="F16" s="171"/>
      <c r="G16" s="171"/>
      <c r="H16" s="171"/>
      <c r="I16" s="171"/>
      <c r="J16" s="171"/>
      <c r="K16" s="171"/>
      <c r="L16" s="171"/>
      <c r="M16" s="171"/>
      <c r="N16" s="171"/>
      <c r="O16" s="171"/>
      <c r="P16" s="171"/>
      <c r="Q16" s="171"/>
      <c r="R16" s="171"/>
      <c r="S16" s="171"/>
      <c r="T16" s="171"/>
      <c r="U16" s="171"/>
      <c r="V16" s="171"/>
      <c r="W16" s="171"/>
      <c r="X16" s="171"/>
      <c r="Y16" s="138"/>
    </row>
    <row r="17" spans="2:28" s="137" customFormat="1" ht="25.2" customHeight="1" x14ac:dyDescent="0.25">
      <c r="B17" s="167" t="s">
        <v>259</v>
      </c>
      <c r="C17" s="133" t="s">
        <v>906</v>
      </c>
      <c r="D17" s="168">
        <f>D8-(D5+D6)</f>
        <v>-76137.899999999994</v>
      </c>
      <c r="E17" s="178">
        <f>D17+E13</f>
        <v>-74554.026388871178</v>
      </c>
      <c r="F17" s="166">
        <f t="shared" ref="F17:X18" si="7">E17+F13</f>
        <v>-72909.234561929712</v>
      </c>
      <c r="G17" s="166">
        <f t="shared" si="7"/>
        <v>-71210.553544077062</v>
      </c>
      <c r="H17" s="166">
        <f t="shared" si="7"/>
        <v>-69464.56178169536</v>
      </c>
      <c r="I17" s="166">
        <f t="shared" si="7"/>
        <v>-67677.411404567683</v>
      </c>
      <c r="J17" s="166">
        <f t="shared" si="7"/>
        <v>-65854.851288033053</v>
      </c>
      <c r="K17" s="166">
        <f t="shared" si="7"/>
        <v>-64002.248971775327</v>
      </c>
      <c r="L17" s="166">
        <f t="shared" si="7"/>
        <v>-62124.611489081683</v>
      </c>
      <c r="M17" s="166">
        <f t="shared" si="7"/>
        <v>-60226.605157956452</v>
      </c>
      <c r="N17" s="166">
        <f t="shared" si="7"/>
        <v>-58312.574383135041</v>
      </c>
      <c r="O17" s="166">
        <f t="shared" si="7"/>
        <v>-56386.559515805806</v>
      </c>
      <c r="P17" s="166">
        <f t="shared" si="7"/>
        <v>-54452.313815710208</v>
      </c>
      <c r="Q17" s="166">
        <f t="shared" si="7"/>
        <v>-52513.319558249401</v>
      </c>
      <c r="R17" s="166">
        <f t="shared" si="7"/>
        <v>-50572.803327274101</v>
      </c>
      <c r="S17" s="166">
        <f t="shared" si="7"/>
        <v>-48633.750532370424</v>
      </c>
      <c r="T17" s="166">
        <f t="shared" si="7"/>
        <v>-46698.91918767336</v>
      </c>
      <c r="U17" s="166">
        <f t="shared" si="7"/>
        <v>-44770.852987538179</v>
      </c>
      <c r="V17" s="166">
        <f t="shared" si="7"/>
        <v>-42851.893712774756</v>
      </c>
      <c r="W17" s="166">
        <f t="shared" si="7"/>
        <v>-40944.192999597297</v>
      </c>
      <c r="X17" s="166">
        <f t="shared" si="7"/>
        <v>-39049.723501958899</v>
      </c>
      <c r="Y17" s="138"/>
      <c r="Z17" s="213"/>
      <c r="AA17" s="215"/>
      <c r="AB17" s="214"/>
    </row>
    <row r="18" spans="2:28" s="137" customFormat="1" ht="25.2" customHeight="1" x14ac:dyDescent="0.25">
      <c r="B18" s="167" t="s">
        <v>260</v>
      </c>
      <c r="C18" s="133" t="s">
        <v>907</v>
      </c>
      <c r="D18" s="168">
        <f>D9-(D5+D6)</f>
        <v>-76137.899999999994</v>
      </c>
      <c r="E18" s="178">
        <f>D18+E14</f>
        <v>-75708.775439011588</v>
      </c>
      <c r="F18" s="166">
        <f t="shared" si="7"/>
        <v>-75263.146087215937</v>
      </c>
      <c r="G18" s="166">
        <f t="shared" si="7"/>
        <v>-74802.916343552337</v>
      </c>
      <c r="H18" s="166">
        <f t="shared" si="7"/>
        <v>-74329.868530104999</v>
      </c>
      <c r="I18" s="166">
        <f t="shared" si="7"/>
        <v>-73845.66946547218</v>
      </c>
      <c r="J18" s="166">
        <f t="shared" si="7"/>
        <v>-73351.876713078571</v>
      </c>
      <c r="K18" s="166">
        <f t="shared" si="7"/>
        <v>-72849.94451971144</v>
      </c>
      <c r="L18" s="166">
        <f t="shared" si="7"/>
        <v>-72341.229458866379</v>
      </c>
      <c r="M18" s="166">
        <f t="shared" si="7"/>
        <v>-71826.995792824775</v>
      </c>
      <c r="N18" s="166">
        <f t="shared" si="7"/>
        <v>-71308.420566750923</v>
      </c>
      <c r="O18" s="166">
        <f t="shared" si="7"/>
        <v>-70786.598447490556</v>
      </c>
      <c r="P18" s="166">
        <f t="shared" si="7"/>
        <v>-70262.546319173533</v>
      </c>
      <c r="Q18" s="166">
        <f t="shared" si="7"/>
        <v>-69737.207647169969</v>
      </c>
      <c r="R18" s="166">
        <f t="shared" si="7"/>
        <v>-69211.456621420715</v>
      </c>
      <c r="S18" s="166">
        <f t="shared" si="7"/>
        <v>-68686.102089657696</v>
      </c>
      <c r="T18" s="166">
        <f t="shared" si="7"/>
        <v>-68161.891290547283</v>
      </c>
      <c r="U18" s="166">
        <f t="shared" si="7"/>
        <v>-67639.513396328868</v>
      </c>
      <c r="V18" s="166">
        <f t="shared" si="7"/>
        <v>-67119.602874080447</v>
      </c>
      <c r="W18" s="166">
        <f t="shared" si="7"/>
        <v>-66602.742674322391</v>
      </c>
      <c r="X18" s="166">
        <f t="shared" si="7"/>
        <v>-66089.467255268843</v>
      </c>
      <c r="Y18" s="138"/>
      <c r="Z18" s="213"/>
    </row>
    <row r="19" spans="2:28" s="137" customFormat="1" ht="25.2" customHeight="1" x14ac:dyDescent="0.25">
      <c r="B19" s="167" t="s">
        <v>261</v>
      </c>
      <c r="C19" s="133" t="s">
        <v>316</v>
      </c>
      <c r="D19" s="216" t="e">
        <f t="array" aca="1" ref="D19" ca="1">MATCH(TRUE,INDEX($E17:$X17&gt;0,0),0)+(-LOOKUP(9.99999999999999E+307, IF($E17:$X17&lt;0, $E17:$X17))/LOOKUP(9.99999999999999E+307, IF($E17:$X17&lt;0, OFFSET($E13:$X13,0,1))))</f>
        <v>#N/A</v>
      </c>
      <c r="E19" s="171"/>
      <c r="F19" s="171"/>
      <c r="G19" s="171"/>
      <c r="H19" s="171"/>
      <c r="I19" s="171"/>
      <c r="J19" s="171"/>
      <c r="K19" s="171"/>
      <c r="L19" s="171"/>
      <c r="M19" s="171"/>
      <c r="N19" s="171"/>
      <c r="O19" s="171"/>
      <c r="P19" s="171"/>
      <c r="Q19" s="171"/>
      <c r="R19" s="171"/>
      <c r="S19" s="171"/>
      <c r="T19" s="171"/>
      <c r="U19" s="171"/>
      <c r="V19" s="171"/>
      <c r="W19" s="171"/>
      <c r="X19" s="171"/>
      <c r="Y19" s="138"/>
    </row>
    <row r="20" spans="2:28" s="137" customFormat="1" ht="25.2" customHeight="1" x14ac:dyDescent="0.25">
      <c r="B20" s="560" t="s">
        <v>262</v>
      </c>
      <c r="C20" s="561" t="s">
        <v>317</v>
      </c>
      <c r="D20" s="568" t="e">
        <f t="array" aca="1" ref="D20" ca="1">MATCH(TRUE,INDEX($E18:$X18&gt;0,0),0)+(-LOOKUP(9.99999999999999E+307, IF($E18:$X18&lt;0, $E18:$X18))/LOOKUP(9.99999999999999E+307, IF($E18:$X18&lt;0, OFFSET($E14:$X14,0,1))))</f>
        <v>#N/A</v>
      </c>
      <c r="E20" s="171"/>
      <c r="F20" s="171"/>
      <c r="G20" s="171"/>
      <c r="H20" s="171"/>
      <c r="I20" s="171"/>
      <c r="J20" s="171"/>
      <c r="K20" s="171"/>
      <c r="L20" s="171"/>
      <c r="M20" s="171"/>
      <c r="N20" s="171"/>
      <c r="O20" s="171"/>
      <c r="P20" s="171"/>
      <c r="Q20" s="171"/>
      <c r="R20" s="171"/>
      <c r="S20" s="171"/>
      <c r="T20" s="171"/>
      <c r="U20" s="171"/>
      <c r="V20" s="171"/>
      <c r="W20" s="171"/>
      <c r="X20" s="171"/>
      <c r="Y20" s="138"/>
    </row>
    <row r="21" spans="2:28" s="137" customFormat="1" ht="25.2" customHeight="1" x14ac:dyDescent="0.25">
      <c r="B21" s="167" t="s">
        <v>263</v>
      </c>
      <c r="C21" s="133" t="s">
        <v>319</v>
      </c>
      <c r="D21" s="172">
        <f>IRR(D10:X10)</f>
        <v>-3.1962807348879019E-2</v>
      </c>
      <c r="E21" s="180"/>
      <c r="F21" s="171"/>
      <c r="G21" s="171"/>
      <c r="H21" s="171"/>
      <c r="I21" s="171"/>
      <c r="J21" s="171"/>
      <c r="K21" s="171"/>
      <c r="L21" s="171"/>
      <c r="M21" s="171"/>
      <c r="N21" s="171"/>
      <c r="O21" s="171"/>
      <c r="P21" s="171"/>
      <c r="Q21" s="171"/>
      <c r="R21" s="171"/>
      <c r="S21" s="171"/>
      <c r="T21" s="171"/>
      <c r="U21" s="171"/>
      <c r="V21" s="171"/>
      <c r="W21" s="171"/>
      <c r="X21" s="171"/>
      <c r="Y21" s="138"/>
    </row>
    <row r="22" spans="2:28" s="137" customFormat="1" ht="25.2" customHeight="1" x14ac:dyDescent="0.25">
      <c r="B22" s="560" t="s">
        <v>264</v>
      </c>
      <c r="C22" s="561" t="s">
        <v>943</v>
      </c>
      <c r="D22" s="562">
        <f>IRR(D11:X11)</f>
        <v>-0.13881081928049099</v>
      </c>
      <c r="E22" s="563"/>
      <c r="F22" s="171"/>
      <c r="G22" s="171"/>
      <c r="H22" s="171"/>
      <c r="I22" s="171"/>
      <c r="J22" s="171"/>
      <c r="K22" s="171"/>
      <c r="L22" s="171"/>
      <c r="M22" s="171"/>
      <c r="N22" s="171"/>
      <c r="O22" s="171"/>
      <c r="P22" s="171"/>
      <c r="Q22" s="171"/>
      <c r="R22" s="171"/>
      <c r="S22" s="171"/>
      <c r="T22" s="171"/>
      <c r="U22" s="171"/>
      <c r="V22" s="171"/>
      <c r="W22" s="171"/>
      <c r="X22" s="171"/>
      <c r="Y22" s="138"/>
    </row>
    <row r="23" spans="2:28" s="137" customFormat="1" ht="116.85" customHeight="1" x14ac:dyDescent="0.25">
      <c r="B23" s="839" t="s">
        <v>266</v>
      </c>
      <c r="C23" s="839"/>
      <c r="D23" s="839"/>
      <c r="E23" s="839"/>
      <c r="F23" s="839"/>
      <c r="G23" s="839"/>
      <c r="H23" s="839"/>
      <c r="I23" s="839"/>
      <c r="J23" s="839"/>
      <c r="K23" s="839"/>
      <c r="L23" s="839"/>
      <c r="M23" s="839"/>
      <c r="N23" s="839"/>
      <c r="O23" s="839"/>
      <c r="P23" s="839"/>
      <c r="Q23" s="839"/>
      <c r="R23" s="839"/>
      <c r="S23" s="839"/>
      <c r="T23" s="839"/>
      <c r="U23" s="839"/>
      <c r="V23" s="839"/>
      <c r="W23" s="839"/>
      <c r="X23" s="839"/>
      <c r="Y23" s="138"/>
    </row>
    <row r="26" spans="2:28" s="137" customFormat="1" ht="30" customHeight="1" x14ac:dyDescent="0.25">
      <c r="B26" s="217" t="s">
        <v>471</v>
      </c>
      <c r="C26" s="703" t="str">
        <f>Measures_summary!C6</f>
        <v>Replacement of windows and doors</v>
      </c>
      <c r="D26" s="704"/>
      <c r="E26" s="704"/>
      <c r="F26" s="704"/>
      <c r="G26" s="704"/>
      <c r="H26" s="704"/>
      <c r="I26" s="704"/>
      <c r="J26" s="704"/>
      <c r="K26" s="704"/>
      <c r="L26" s="704"/>
      <c r="M26" s="704"/>
      <c r="N26" s="704"/>
      <c r="O26" s="704"/>
      <c r="P26" s="704"/>
      <c r="Q26" s="704"/>
      <c r="R26" s="704"/>
      <c r="S26" s="704"/>
      <c r="T26" s="704"/>
      <c r="U26" s="704"/>
      <c r="V26" s="704"/>
      <c r="W26" s="704"/>
      <c r="X26" s="705"/>
      <c r="Y26" s="138"/>
    </row>
    <row r="27" spans="2:28" s="137" customFormat="1" ht="30" customHeight="1" x14ac:dyDescent="0.25">
      <c r="B27" s="158" t="s">
        <v>42</v>
      </c>
      <c r="C27" s="28" t="s">
        <v>265</v>
      </c>
      <c r="D27" s="28">
        <v>2023</v>
      </c>
      <c r="E27" s="28">
        <v>2024</v>
      </c>
      <c r="F27" s="28">
        <v>2025</v>
      </c>
      <c r="G27" s="28">
        <v>2026</v>
      </c>
      <c r="H27" s="28">
        <v>2027</v>
      </c>
      <c r="I27" s="28">
        <v>2028</v>
      </c>
      <c r="J27" s="28">
        <v>2029</v>
      </c>
      <c r="K27" s="28">
        <v>2030</v>
      </c>
      <c r="L27" s="28">
        <v>2031</v>
      </c>
      <c r="M27" s="28">
        <v>2032</v>
      </c>
      <c r="N27" s="28">
        <v>2033</v>
      </c>
      <c r="O27" s="28">
        <v>2034</v>
      </c>
      <c r="P27" s="28">
        <v>2035</v>
      </c>
      <c r="Q27" s="28">
        <v>2036</v>
      </c>
      <c r="R27" s="28">
        <v>2037</v>
      </c>
      <c r="S27" s="28">
        <v>2038</v>
      </c>
      <c r="T27" s="28">
        <v>2039</v>
      </c>
      <c r="U27" s="28">
        <v>2040</v>
      </c>
      <c r="V27" s="28">
        <v>2041</v>
      </c>
      <c r="W27" s="28">
        <v>2042</v>
      </c>
      <c r="X27" s="28">
        <v>2043</v>
      </c>
      <c r="Y27" s="138"/>
    </row>
    <row r="28" spans="2:28" s="137" customFormat="1" ht="25.2" customHeight="1" x14ac:dyDescent="0.25">
      <c r="B28" s="161">
        <v>1</v>
      </c>
      <c r="C28" s="162" t="s">
        <v>302</v>
      </c>
      <c r="D28" s="163"/>
      <c r="E28" s="163"/>
      <c r="F28" s="163"/>
      <c r="G28" s="163"/>
      <c r="H28" s="163"/>
      <c r="I28" s="163"/>
      <c r="J28" s="163"/>
      <c r="K28" s="163"/>
      <c r="L28" s="163"/>
      <c r="M28" s="30"/>
      <c r="N28" s="30"/>
      <c r="O28" s="30"/>
      <c r="P28" s="30"/>
      <c r="Q28" s="30"/>
      <c r="R28" s="30"/>
      <c r="S28" s="30"/>
      <c r="T28" s="30"/>
      <c r="U28" s="30"/>
      <c r="V28" s="30"/>
      <c r="W28" s="30"/>
      <c r="X28" s="30"/>
      <c r="Y28" s="138"/>
    </row>
    <row r="29" spans="2:28" s="137" customFormat="1" ht="25.2" customHeight="1" x14ac:dyDescent="0.25">
      <c r="B29" s="164" t="s">
        <v>248</v>
      </c>
      <c r="C29" s="165" t="s">
        <v>896</v>
      </c>
      <c r="D29" s="166">
        <f>Measures_summary!D6</f>
        <v>16623.75</v>
      </c>
      <c r="E29" s="163"/>
      <c r="F29" s="163"/>
      <c r="G29" s="163"/>
      <c r="H29" s="163"/>
      <c r="I29" s="163"/>
      <c r="J29" s="163"/>
      <c r="K29" s="163"/>
      <c r="L29" s="163"/>
      <c r="M29" s="163"/>
      <c r="N29" s="163"/>
      <c r="O29" s="163"/>
      <c r="P29" s="163"/>
      <c r="Q29" s="163"/>
      <c r="R29" s="163"/>
      <c r="S29" s="163"/>
      <c r="T29" s="163"/>
      <c r="U29" s="163"/>
      <c r="V29" s="163"/>
      <c r="W29" s="163"/>
      <c r="X29" s="163"/>
      <c r="Y29" s="138"/>
    </row>
    <row r="30" spans="2:28" s="137" customFormat="1" ht="25.2" customHeight="1" x14ac:dyDescent="0.25">
      <c r="B30" s="164" t="s">
        <v>249</v>
      </c>
      <c r="C30" s="165" t="s">
        <v>897</v>
      </c>
      <c r="D30" s="163"/>
      <c r="E30" s="166">
        <f>4%*$D$5</f>
        <v>3045.5159999999996</v>
      </c>
      <c r="F30" s="166">
        <f t="shared" ref="F30:X30" si="8">4%*$D$5</f>
        <v>3045.5159999999996</v>
      </c>
      <c r="G30" s="166">
        <f t="shared" si="8"/>
        <v>3045.5159999999996</v>
      </c>
      <c r="H30" s="166">
        <f t="shared" si="8"/>
        <v>3045.5159999999996</v>
      </c>
      <c r="I30" s="166">
        <f t="shared" si="8"/>
        <v>3045.5159999999996</v>
      </c>
      <c r="J30" s="166">
        <f t="shared" si="8"/>
        <v>3045.5159999999996</v>
      </c>
      <c r="K30" s="166">
        <f t="shared" si="8"/>
        <v>3045.5159999999996</v>
      </c>
      <c r="L30" s="166">
        <f t="shared" si="8"/>
        <v>3045.5159999999996</v>
      </c>
      <c r="M30" s="166">
        <f t="shared" si="8"/>
        <v>3045.5159999999996</v>
      </c>
      <c r="N30" s="166">
        <f t="shared" si="8"/>
        <v>3045.5159999999996</v>
      </c>
      <c r="O30" s="166">
        <f t="shared" si="8"/>
        <v>3045.5159999999996</v>
      </c>
      <c r="P30" s="166">
        <f t="shared" si="8"/>
        <v>3045.5159999999996</v>
      </c>
      <c r="Q30" s="166">
        <f t="shared" si="8"/>
        <v>3045.5159999999996</v>
      </c>
      <c r="R30" s="166">
        <f t="shared" si="8"/>
        <v>3045.5159999999996</v>
      </c>
      <c r="S30" s="166">
        <f t="shared" si="8"/>
        <v>3045.5159999999996</v>
      </c>
      <c r="T30" s="166">
        <f t="shared" si="8"/>
        <v>3045.5159999999996</v>
      </c>
      <c r="U30" s="166">
        <f t="shared" si="8"/>
        <v>3045.5159999999996</v>
      </c>
      <c r="V30" s="166">
        <f t="shared" si="8"/>
        <v>3045.5159999999996</v>
      </c>
      <c r="W30" s="166">
        <f t="shared" si="8"/>
        <v>3045.5159999999996</v>
      </c>
      <c r="X30" s="166">
        <f t="shared" si="8"/>
        <v>3045.5159999999996</v>
      </c>
      <c r="Y30" s="138"/>
    </row>
    <row r="31" spans="2:28" s="137" customFormat="1" ht="25.2" customHeight="1" x14ac:dyDescent="0.25">
      <c r="B31" s="161">
        <v>2</v>
      </c>
      <c r="C31" s="162" t="s">
        <v>303</v>
      </c>
      <c r="D31" s="163"/>
      <c r="E31" s="163"/>
      <c r="F31" s="163"/>
      <c r="G31" s="163"/>
      <c r="H31" s="163"/>
      <c r="I31" s="163"/>
      <c r="J31" s="163"/>
      <c r="K31" s="163"/>
      <c r="L31" s="163"/>
      <c r="M31" s="163"/>
      <c r="N31" s="163"/>
      <c r="O31" s="163"/>
      <c r="P31" s="163"/>
      <c r="Q31" s="163"/>
      <c r="R31" s="163"/>
      <c r="S31" s="163"/>
      <c r="T31" s="163"/>
      <c r="U31" s="163"/>
      <c r="V31" s="163"/>
      <c r="W31" s="163"/>
      <c r="X31" s="163"/>
      <c r="Y31" s="138"/>
    </row>
    <row r="32" spans="2:28" s="137" customFormat="1" ht="25.2" customHeight="1" x14ac:dyDescent="0.25">
      <c r="B32" s="167" t="s">
        <v>250</v>
      </c>
      <c r="C32" s="133" t="s">
        <v>898</v>
      </c>
      <c r="D32" s="163">
        <v>0</v>
      </c>
      <c r="E32" s="166">
        <f>Measures_summary!F6</f>
        <v>280.5016089706553</v>
      </c>
      <c r="F32" s="166">
        <f t="shared" ref="F32:X32" si="9">$E32*(1.028+0.028*(F27-$F$3))</f>
        <v>264.79351886829863</v>
      </c>
      <c r="G32" s="166">
        <f t="shared" si="9"/>
        <v>272.64756391947697</v>
      </c>
      <c r="H32" s="166">
        <f t="shared" si="9"/>
        <v>280.5016089706553</v>
      </c>
      <c r="I32" s="166">
        <f t="shared" si="9"/>
        <v>288.35565402183363</v>
      </c>
      <c r="J32" s="166">
        <f t="shared" si="9"/>
        <v>296.20969907301202</v>
      </c>
      <c r="K32" s="166">
        <f t="shared" si="9"/>
        <v>304.06374412419035</v>
      </c>
      <c r="L32" s="166">
        <f t="shared" si="9"/>
        <v>311.91778917536874</v>
      </c>
      <c r="M32" s="166">
        <f t="shared" si="9"/>
        <v>319.77183422654707</v>
      </c>
      <c r="N32" s="166">
        <f t="shared" si="9"/>
        <v>327.6258792777254</v>
      </c>
      <c r="O32" s="166">
        <f t="shared" si="9"/>
        <v>335.47992432890373</v>
      </c>
      <c r="P32" s="166">
        <f t="shared" si="9"/>
        <v>343.33396938008207</v>
      </c>
      <c r="Q32" s="166">
        <f t="shared" si="9"/>
        <v>351.18801443126046</v>
      </c>
      <c r="R32" s="166">
        <f t="shared" si="9"/>
        <v>359.04205948243879</v>
      </c>
      <c r="S32" s="166">
        <f t="shared" si="9"/>
        <v>366.89610453361712</v>
      </c>
      <c r="T32" s="166">
        <f t="shared" si="9"/>
        <v>374.75014958479551</v>
      </c>
      <c r="U32" s="166">
        <f t="shared" si="9"/>
        <v>382.60419463597384</v>
      </c>
      <c r="V32" s="166">
        <f t="shared" si="9"/>
        <v>390.45823968715217</v>
      </c>
      <c r="W32" s="166">
        <f t="shared" si="9"/>
        <v>398.3122847383305</v>
      </c>
      <c r="X32" s="166">
        <f t="shared" si="9"/>
        <v>406.16632978950884</v>
      </c>
      <c r="Y32" s="138"/>
    </row>
    <row r="33" spans="2:28" s="137" customFormat="1" ht="25.2" customHeight="1" x14ac:dyDescent="0.25">
      <c r="B33" s="167" t="s">
        <v>251</v>
      </c>
      <c r="C33" s="133" t="s">
        <v>899</v>
      </c>
      <c r="D33" s="163">
        <v>0</v>
      </c>
      <c r="E33" s="166">
        <f>Measures_summary!J6</f>
        <v>-48.212132600041258</v>
      </c>
      <c r="F33" s="166">
        <f t="shared" ref="F33:X33" si="10">$E33*(1.028+0.028*(F27-$F$3))</f>
        <v>-45.512253174438953</v>
      </c>
      <c r="G33" s="166">
        <f t="shared" si="10"/>
        <v>-46.862192887240099</v>
      </c>
      <c r="H33" s="166">
        <f t="shared" si="10"/>
        <v>-48.212132600041258</v>
      </c>
      <c r="I33" s="166">
        <f t="shared" si="10"/>
        <v>-49.562072312842417</v>
      </c>
      <c r="J33" s="166">
        <f t="shared" si="10"/>
        <v>-50.91201202564357</v>
      </c>
      <c r="K33" s="166">
        <f t="shared" si="10"/>
        <v>-52.261951738444729</v>
      </c>
      <c r="L33" s="166">
        <f t="shared" si="10"/>
        <v>-53.611891451245882</v>
      </c>
      <c r="M33" s="166">
        <f t="shared" si="10"/>
        <v>-54.961831164047041</v>
      </c>
      <c r="N33" s="166">
        <f t="shared" si="10"/>
        <v>-56.311770876848193</v>
      </c>
      <c r="O33" s="166">
        <f t="shared" si="10"/>
        <v>-57.661710589649346</v>
      </c>
      <c r="P33" s="166">
        <f t="shared" si="10"/>
        <v>-59.011650302450498</v>
      </c>
      <c r="Q33" s="166">
        <f t="shared" si="10"/>
        <v>-60.361590015251657</v>
      </c>
      <c r="R33" s="166">
        <f t="shared" si="10"/>
        <v>-61.71152972805281</v>
      </c>
      <c r="S33" s="166">
        <f t="shared" si="10"/>
        <v>-63.061469440853969</v>
      </c>
      <c r="T33" s="166">
        <f t="shared" si="10"/>
        <v>-64.411409153655129</v>
      </c>
      <c r="U33" s="166">
        <f t="shared" si="10"/>
        <v>-65.761348866456274</v>
      </c>
      <c r="V33" s="166">
        <f t="shared" si="10"/>
        <v>-67.111288579257433</v>
      </c>
      <c r="W33" s="166">
        <f t="shared" si="10"/>
        <v>-68.461228292058578</v>
      </c>
      <c r="X33" s="166">
        <f t="shared" si="10"/>
        <v>-69.811168004859738</v>
      </c>
      <c r="Y33" s="138"/>
    </row>
    <row r="34" spans="2:28" s="137" customFormat="1" ht="25.2" customHeight="1" x14ac:dyDescent="0.25">
      <c r="B34" s="167" t="s">
        <v>252</v>
      </c>
      <c r="C34" s="133" t="s">
        <v>900</v>
      </c>
      <c r="D34" s="168">
        <f>D32-(D29+D30)</f>
        <v>-16623.75</v>
      </c>
      <c r="E34" s="168">
        <f>E32-(E29+E30)</f>
        <v>-2765.0143910293446</v>
      </c>
      <c r="F34" s="168">
        <f t="shared" ref="F34:X34" si="11">F32-(F29+F30)</f>
        <v>-2780.722481131701</v>
      </c>
      <c r="G34" s="168">
        <f t="shared" si="11"/>
        <v>-2772.8684360805228</v>
      </c>
      <c r="H34" s="168">
        <f t="shared" si="11"/>
        <v>-2765.0143910293446</v>
      </c>
      <c r="I34" s="168">
        <f t="shared" si="11"/>
        <v>-2757.1603459781659</v>
      </c>
      <c r="J34" s="168">
        <f t="shared" si="11"/>
        <v>-2749.3063009269877</v>
      </c>
      <c r="K34" s="168">
        <f t="shared" si="11"/>
        <v>-2741.4522558758094</v>
      </c>
      <c r="L34" s="168">
        <f t="shared" si="11"/>
        <v>-2733.5982108246308</v>
      </c>
      <c r="M34" s="168">
        <f t="shared" si="11"/>
        <v>-2725.7441657734526</v>
      </c>
      <c r="N34" s="168">
        <f t="shared" si="11"/>
        <v>-2717.8901207222743</v>
      </c>
      <c r="O34" s="168">
        <f t="shared" si="11"/>
        <v>-2710.0360756710961</v>
      </c>
      <c r="P34" s="168">
        <f t="shared" si="11"/>
        <v>-2702.1820306199174</v>
      </c>
      <c r="Q34" s="168">
        <f t="shared" si="11"/>
        <v>-2694.3279855687392</v>
      </c>
      <c r="R34" s="168">
        <f t="shared" si="11"/>
        <v>-2686.473940517561</v>
      </c>
      <c r="S34" s="168">
        <f t="shared" si="11"/>
        <v>-2678.6198954663823</v>
      </c>
      <c r="T34" s="168">
        <f t="shared" si="11"/>
        <v>-2670.7658504152041</v>
      </c>
      <c r="U34" s="168">
        <f t="shared" si="11"/>
        <v>-2662.9118053640259</v>
      </c>
      <c r="V34" s="168">
        <f t="shared" si="11"/>
        <v>-2655.0577603128477</v>
      </c>
      <c r="W34" s="168">
        <f t="shared" si="11"/>
        <v>-2647.203715261669</v>
      </c>
      <c r="X34" s="168">
        <f t="shared" si="11"/>
        <v>-2639.3496702104908</v>
      </c>
      <c r="Y34" s="138"/>
    </row>
    <row r="35" spans="2:28" s="137" customFormat="1" ht="25.2" customHeight="1" x14ac:dyDescent="0.25">
      <c r="B35" s="167" t="s">
        <v>253</v>
      </c>
      <c r="C35" s="133" t="s">
        <v>901</v>
      </c>
      <c r="D35" s="168">
        <f>D33-(D29+D30)</f>
        <v>-16623.75</v>
      </c>
      <c r="E35" s="168">
        <f>E33-(E29+E30)</f>
        <v>-3093.7281326000407</v>
      </c>
      <c r="F35" s="168">
        <f t="shared" ref="F35:X35" si="12">F33-(F29+F30)</f>
        <v>-3091.0282531744388</v>
      </c>
      <c r="G35" s="168">
        <f t="shared" si="12"/>
        <v>-3092.3781928872395</v>
      </c>
      <c r="H35" s="168">
        <f t="shared" si="12"/>
        <v>-3093.7281326000407</v>
      </c>
      <c r="I35" s="168">
        <f t="shared" si="12"/>
        <v>-3095.0780723128419</v>
      </c>
      <c r="J35" s="168">
        <f t="shared" si="12"/>
        <v>-3096.4280120256431</v>
      </c>
      <c r="K35" s="168">
        <f t="shared" si="12"/>
        <v>-3097.7779517384442</v>
      </c>
      <c r="L35" s="168">
        <f t="shared" si="12"/>
        <v>-3099.1278914512454</v>
      </c>
      <c r="M35" s="168">
        <f t="shared" si="12"/>
        <v>-3100.4778311640466</v>
      </c>
      <c r="N35" s="168">
        <f t="shared" si="12"/>
        <v>-3101.8277708768478</v>
      </c>
      <c r="O35" s="168">
        <f t="shared" si="12"/>
        <v>-3103.177710589649</v>
      </c>
      <c r="P35" s="168">
        <f t="shared" si="12"/>
        <v>-3104.5276503024502</v>
      </c>
      <c r="Q35" s="168">
        <f t="shared" si="12"/>
        <v>-3105.8775900152514</v>
      </c>
      <c r="R35" s="168">
        <f t="shared" si="12"/>
        <v>-3107.2275297280526</v>
      </c>
      <c r="S35" s="168">
        <f t="shared" si="12"/>
        <v>-3108.5774694408537</v>
      </c>
      <c r="T35" s="168">
        <f t="shared" si="12"/>
        <v>-3109.9274091536549</v>
      </c>
      <c r="U35" s="168">
        <f t="shared" si="12"/>
        <v>-3111.2773488664561</v>
      </c>
      <c r="V35" s="168">
        <f t="shared" si="12"/>
        <v>-3112.6272885792569</v>
      </c>
      <c r="W35" s="168">
        <f t="shared" si="12"/>
        <v>-3113.977228292058</v>
      </c>
      <c r="X35" s="168">
        <f t="shared" si="12"/>
        <v>-3115.3271680048592</v>
      </c>
      <c r="Y35" s="138"/>
    </row>
    <row r="36" spans="2:28" s="137" customFormat="1" ht="25.2" customHeight="1" x14ac:dyDescent="0.25">
      <c r="B36" s="161" t="s">
        <v>254</v>
      </c>
      <c r="C36" s="169" t="s">
        <v>304</v>
      </c>
      <c r="D36" s="170"/>
      <c r="E36" s="170"/>
      <c r="F36" s="170"/>
      <c r="G36" s="170"/>
      <c r="H36" s="170"/>
      <c r="I36" s="170"/>
      <c r="J36" s="170"/>
      <c r="K36" s="170"/>
      <c r="L36" s="170"/>
      <c r="M36" s="170"/>
      <c r="N36" s="170"/>
      <c r="O36" s="170"/>
      <c r="P36" s="170"/>
      <c r="Q36" s="170"/>
      <c r="R36" s="170"/>
      <c r="S36" s="170"/>
      <c r="T36" s="170"/>
      <c r="U36" s="170"/>
      <c r="V36" s="170"/>
      <c r="W36" s="170"/>
      <c r="X36" s="170"/>
      <c r="Y36" s="138"/>
    </row>
    <row r="37" spans="2:28" s="137" customFormat="1" ht="25.2" customHeight="1" x14ac:dyDescent="0.25">
      <c r="B37" s="167" t="s">
        <v>255</v>
      </c>
      <c r="C37" s="133" t="s">
        <v>902</v>
      </c>
      <c r="D37" s="168">
        <f>D34</f>
        <v>-16623.75</v>
      </c>
      <c r="E37" s="178">
        <f t="shared" ref="E37:X37" si="13">E32/POWER(1+0.04,E$3-$D$3)</f>
        <v>269.713085548707</v>
      </c>
      <c r="F37" s="178">
        <f t="shared" si="13"/>
        <v>244.81649303651869</v>
      </c>
      <c r="G37" s="178">
        <f t="shared" si="13"/>
        <v>242.38269152491051</v>
      </c>
      <c r="H37" s="178">
        <f t="shared" si="13"/>
        <v>239.77395093869745</v>
      </c>
      <c r="I37" s="178">
        <f t="shared" si="13"/>
        <v>237.0073284278663</v>
      </c>
      <c r="J37" s="178">
        <f t="shared" si="13"/>
        <v>234.09882783955666</v>
      </c>
      <c r="K37" s="178">
        <f t="shared" si="13"/>
        <v>231.06345550888645</v>
      </c>
      <c r="L37" s="178">
        <f t="shared" si="13"/>
        <v>227.91527331631573</v>
      </c>
      <c r="M37" s="178">
        <f t="shared" si="13"/>
        <v>224.66744913928466</v>
      </c>
      <c r="N37" s="178">
        <f t="shared" si="13"/>
        <v>221.33230482007798</v>
      </c>
      <c r="O37" s="178">
        <f t="shared" si="13"/>
        <v>217.92136176634392</v>
      </c>
      <c r="P37" s="178">
        <f t="shared" si="13"/>
        <v>214.44538429541169</v>
      </c>
      <c r="Q37" s="178">
        <f t="shared" si="13"/>
        <v>210.91442082850637</v>
      </c>
      <c r="R37" s="178">
        <f t="shared" si="13"/>
        <v>207.33784303613305</v>
      </c>
      <c r="S37" s="178">
        <f t="shared" si="13"/>
        <v>203.72438303129661</v>
      </c>
      <c r="T37" s="178">
        <f t="shared" si="13"/>
        <v>200.08216870281422</v>
      </c>
      <c r="U37" s="178">
        <f t="shared" si="13"/>
        <v>196.41875727677234</v>
      </c>
      <c r="V37" s="178">
        <f t="shared" si="13"/>
        <v>192.74116719015555</v>
      </c>
      <c r="W37" s="178">
        <f t="shared" si="13"/>
        <v>189.05590835683361</v>
      </c>
      <c r="X37" s="178">
        <f t="shared" si="13"/>
        <v>185.36901090242083</v>
      </c>
      <c r="Y37" s="138"/>
    </row>
    <row r="38" spans="2:28" s="137" customFormat="1" ht="25.2" customHeight="1" x14ac:dyDescent="0.25">
      <c r="B38" s="167" t="s">
        <v>256</v>
      </c>
      <c r="C38" s="133" t="s">
        <v>903</v>
      </c>
      <c r="D38" s="168">
        <f>D35</f>
        <v>-16623.75</v>
      </c>
      <c r="E38" s="178">
        <f t="shared" ref="E38:X38" si="14">E33/POWER(1+0.04,E$3-$D$3)</f>
        <v>-46.357819807731978</v>
      </c>
      <c r="F38" s="178">
        <f t="shared" si="14"/>
        <v>-42.078636440864415</v>
      </c>
      <c r="G38" s="178">
        <f t="shared" si="14"/>
        <v>-41.660318836090489</v>
      </c>
      <c r="H38" s="178">
        <f t="shared" si="14"/>
        <v>-41.211933004996133</v>
      </c>
      <c r="I38" s="178">
        <f t="shared" si="14"/>
        <v>-40.736410701092332</v>
      </c>
      <c r="J38" s="178">
        <f t="shared" si="14"/>
        <v>-40.236502638013974</v>
      </c>
      <c r="K38" s="178">
        <f t="shared" si="14"/>
        <v>-39.714788078750686</v>
      </c>
      <c r="L38" s="178">
        <f t="shared" si="14"/>
        <v>-39.173683955054955</v>
      </c>
      <c r="M38" s="178">
        <f t="shared" si="14"/>
        <v>-38.615453538982642</v>
      </c>
      <c r="N38" s="178">
        <f t="shared" si="14"/>
        <v>-38.042214687526759</v>
      </c>
      <c r="O38" s="178">
        <f t="shared" si="14"/>
        <v>-37.455947680355969</v>
      </c>
      <c r="P38" s="178">
        <f t="shared" si="14"/>
        <v>-36.858502669761137</v>
      </c>
      <c r="Q38" s="178">
        <f t="shared" si="14"/>
        <v>-36.251606761045871</v>
      </c>
      <c r="R38" s="178">
        <f t="shared" si="14"/>
        <v>-35.636870740767627</v>
      </c>
      <c r="S38" s="178">
        <f t="shared" si="14"/>
        <v>-35.015795469444157</v>
      </c>
      <c r="T38" s="178">
        <f t="shared" si="14"/>
        <v>-34.389777954582293</v>
      </c>
      <c r="U38" s="178">
        <f t="shared" si="14"/>
        <v>-33.76011711916329</v>
      </c>
      <c r="V38" s="178">
        <f t="shared" si="14"/>
        <v>-33.128019280027139</v>
      </c>
      <c r="W38" s="178">
        <f t="shared" si="14"/>
        <v>-32.494603349938195</v>
      </c>
      <c r="X38" s="178">
        <f t="shared" si="14"/>
        <v>-31.860905776483282</v>
      </c>
      <c r="Y38" s="138"/>
    </row>
    <row r="39" spans="2:28" s="137" customFormat="1" ht="25.2" customHeight="1" x14ac:dyDescent="0.25">
      <c r="B39" s="167" t="s">
        <v>257</v>
      </c>
      <c r="C39" s="133" t="s">
        <v>904</v>
      </c>
      <c r="D39" s="166">
        <f>NPV(0.04,E34:X34)+D34</f>
        <v>-53622.525063333087</v>
      </c>
      <c r="E39" s="179"/>
      <c r="F39" s="171"/>
      <c r="G39" s="171"/>
      <c r="H39" s="171"/>
      <c r="I39" s="171"/>
      <c r="J39" s="171"/>
      <c r="K39" s="171"/>
      <c r="L39" s="171"/>
      <c r="M39" s="171"/>
      <c r="N39" s="171"/>
      <c r="O39" s="171"/>
      <c r="P39" s="171"/>
      <c r="Q39" s="171"/>
      <c r="R39" s="171"/>
      <c r="S39" s="171"/>
      <c r="T39" s="171"/>
      <c r="U39" s="171"/>
      <c r="V39" s="171"/>
      <c r="W39" s="171"/>
      <c r="X39" s="171"/>
      <c r="Y39" s="138"/>
    </row>
    <row r="40" spans="2:28" s="137" customFormat="1" ht="25.2" customHeight="1" x14ac:dyDescent="0.25">
      <c r="B40" s="167" t="s">
        <v>258</v>
      </c>
      <c r="C40" s="133" t="s">
        <v>905</v>
      </c>
      <c r="D40" s="166">
        <f>NPV(0.04,E35:X35)+D35</f>
        <v>-58767.986237311263</v>
      </c>
      <c r="E40" s="171"/>
      <c r="F40" s="171"/>
      <c r="G40" s="171"/>
      <c r="H40" s="171"/>
      <c r="I40" s="171"/>
      <c r="J40" s="171"/>
      <c r="K40" s="171"/>
      <c r="L40" s="171"/>
      <c r="M40" s="171"/>
      <c r="N40" s="171"/>
      <c r="O40" s="171"/>
      <c r="P40" s="171"/>
      <c r="Q40" s="171"/>
      <c r="R40" s="171"/>
      <c r="S40" s="171"/>
      <c r="T40" s="171"/>
      <c r="U40" s="171"/>
      <c r="V40" s="171"/>
      <c r="W40" s="171"/>
      <c r="X40" s="171"/>
      <c r="Y40" s="138"/>
    </row>
    <row r="41" spans="2:28" s="137" customFormat="1" ht="25.2" customHeight="1" x14ac:dyDescent="0.25">
      <c r="B41" s="167" t="s">
        <v>259</v>
      </c>
      <c r="C41" s="133" t="s">
        <v>906</v>
      </c>
      <c r="D41" s="168">
        <f>D32-(D29+D30)</f>
        <v>-16623.75</v>
      </c>
      <c r="E41" s="178">
        <f>D41+E37</f>
        <v>-16354.036914451293</v>
      </c>
      <c r="F41" s="166">
        <f t="shared" ref="F41:F42" si="15">E41+F37</f>
        <v>-16109.220421414775</v>
      </c>
      <c r="G41" s="166">
        <f t="shared" ref="G41:G42" si="16">F41+G37</f>
        <v>-15866.837729889865</v>
      </c>
      <c r="H41" s="166">
        <f t="shared" ref="H41:H42" si="17">G41+H37</f>
        <v>-15627.063778951167</v>
      </c>
      <c r="I41" s="166">
        <f t="shared" ref="I41:I42" si="18">H41+I37</f>
        <v>-15390.056450523301</v>
      </c>
      <c r="J41" s="166">
        <f t="shared" ref="J41:J42" si="19">I41+J37</f>
        <v>-15155.957622683745</v>
      </c>
      <c r="K41" s="166">
        <f t="shared" ref="K41:K42" si="20">J41+K37</f>
        <v>-14924.894167174858</v>
      </c>
      <c r="L41" s="166">
        <f t="shared" ref="L41:L42" si="21">K41+L37</f>
        <v>-14696.978893858543</v>
      </c>
      <c r="M41" s="166">
        <f t="shared" ref="M41:M42" si="22">L41+M37</f>
        <v>-14472.311444719258</v>
      </c>
      <c r="N41" s="166">
        <f t="shared" ref="N41:N42" si="23">M41+N37</f>
        <v>-14250.97913989918</v>
      </c>
      <c r="O41" s="166">
        <f t="shared" ref="O41:O42" si="24">N41+O37</f>
        <v>-14033.057778132836</v>
      </c>
      <c r="P41" s="166">
        <f t="shared" ref="P41:P42" si="25">O41+P37</f>
        <v>-13818.612393837424</v>
      </c>
      <c r="Q41" s="166">
        <f t="shared" ref="Q41:Q42" si="26">P41+Q37</f>
        <v>-13607.697973008917</v>
      </c>
      <c r="R41" s="166">
        <f t="shared" ref="R41:R42" si="27">Q41+R37</f>
        <v>-13400.360129972783</v>
      </c>
      <c r="S41" s="166">
        <f t="shared" ref="S41:S42" si="28">R41+S37</f>
        <v>-13196.635746941487</v>
      </c>
      <c r="T41" s="166">
        <f t="shared" ref="T41:T42" si="29">S41+T37</f>
        <v>-12996.553578238672</v>
      </c>
      <c r="U41" s="166">
        <f t="shared" ref="U41:U42" si="30">T41+U37</f>
        <v>-12800.134820961899</v>
      </c>
      <c r="V41" s="166">
        <f t="shared" ref="V41:V42" si="31">U41+V37</f>
        <v>-12607.393653771744</v>
      </c>
      <c r="W41" s="166">
        <f t="shared" ref="W41:W42" si="32">V41+W37</f>
        <v>-12418.33774541491</v>
      </c>
      <c r="X41" s="166">
        <f t="shared" ref="X41:X42" si="33">W41+X37</f>
        <v>-12232.968734512489</v>
      </c>
      <c r="Y41" s="138"/>
      <c r="Z41" s="213"/>
      <c r="AA41" s="215"/>
      <c r="AB41" s="214"/>
    </row>
    <row r="42" spans="2:28" s="137" customFormat="1" ht="25.2" customHeight="1" x14ac:dyDescent="0.25">
      <c r="B42" s="167" t="s">
        <v>260</v>
      </c>
      <c r="C42" s="133" t="s">
        <v>907</v>
      </c>
      <c r="D42" s="168">
        <f>D33-(D29+D30)</f>
        <v>-16623.75</v>
      </c>
      <c r="E42" s="178">
        <f>D42+E38</f>
        <v>-16670.10781980773</v>
      </c>
      <c r="F42" s="166">
        <f t="shared" si="15"/>
        <v>-16712.186456248593</v>
      </c>
      <c r="G42" s="166">
        <f t="shared" si="16"/>
        <v>-16753.846775084683</v>
      </c>
      <c r="H42" s="166">
        <f t="shared" si="17"/>
        <v>-16795.05870808968</v>
      </c>
      <c r="I42" s="166">
        <f t="shared" si="18"/>
        <v>-16835.795118790771</v>
      </c>
      <c r="J42" s="166">
        <f t="shared" si="19"/>
        <v>-16876.031621428785</v>
      </c>
      <c r="K42" s="166">
        <f t="shared" si="20"/>
        <v>-16915.746409507537</v>
      </c>
      <c r="L42" s="166">
        <f t="shared" si="21"/>
        <v>-16954.920093462591</v>
      </c>
      <c r="M42" s="166">
        <f t="shared" si="22"/>
        <v>-16993.535547001575</v>
      </c>
      <c r="N42" s="166">
        <f t="shared" si="23"/>
        <v>-17031.577761689103</v>
      </c>
      <c r="O42" s="166">
        <f t="shared" si="24"/>
        <v>-17069.033709369458</v>
      </c>
      <c r="P42" s="166">
        <f t="shared" si="25"/>
        <v>-17105.89221203922</v>
      </c>
      <c r="Q42" s="166">
        <f t="shared" si="26"/>
        <v>-17142.143818800265</v>
      </c>
      <c r="R42" s="166">
        <f t="shared" si="27"/>
        <v>-17177.780689541032</v>
      </c>
      <c r="S42" s="166">
        <f t="shared" si="28"/>
        <v>-17212.796485010476</v>
      </c>
      <c r="T42" s="166">
        <f t="shared" si="29"/>
        <v>-17247.186262965057</v>
      </c>
      <c r="U42" s="166">
        <f t="shared" si="30"/>
        <v>-17280.94638008422</v>
      </c>
      <c r="V42" s="166">
        <f t="shared" si="31"/>
        <v>-17314.074399364246</v>
      </c>
      <c r="W42" s="166">
        <f t="shared" si="32"/>
        <v>-17346.569002714186</v>
      </c>
      <c r="X42" s="166">
        <f t="shared" si="33"/>
        <v>-17378.429908490671</v>
      </c>
      <c r="Y42" s="138"/>
      <c r="Z42" s="213"/>
    </row>
    <row r="43" spans="2:28" s="137" customFormat="1" ht="25.2" customHeight="1" x14ac:dyDescent="0.25">
      <c r="B43" s="167" t="s">
        <v>261</v>
      </c>
      <c r="C43" s="133" t="s">
        <v>316</v>
      </c>
      <c r="D43" s="216" t="e">
        <f t="array" aca="1" ref="D43" ca="1">MATCH(TRUE,INDEX($E41:$X41&gt;0,0),0)+(-LOOKUP(9.99999999999999E+307, IF($E41:$X41&lt;0, $E41:$X41))/LOOKUP(9.99999999999999E+307, IF($E41:$X41&lt;0, OFFSET($E37:$X37,0,1))))</f>
        <v>#N/A</v>
      </c>
      <c r="E43" s="171"/>
      <c r="F43" s="171"/>
      <c r="G43" s="171"/>
      <c r="H43" s="171"/>
      <c r="I43" s="171"/>
      <c r="J43" s="171"/>
      <c r="K43" s="171"/>
      <c r="L43" s="171"/>
      <c r="M43" s="171"/>
      <c r="N43" s="171"/>
      <c r="O43" s="171"/>
      <c r="P43" s="171"/>
      <c r="Q43" s="171"/>
      <c r="R43" s="171"/>
      <c r="S43" s="171"/>
      <c r="T43" s="171"/>
      <c r="U43" s="171"/>
      <c r="V43" s="171"/>
      <c r="W43" s="171"/>
      <c r="X43" s="171"/>
      <c r="Y43" s="138"/>
    </row>
    <row r="44" spans="2:28" s="137" customFormat="1" ht="25.2" customHeight="1" x14ac:dyDescent="0.25">
      <c r="B44" s="167" t="s">
        <v>262</v>
      </c>
      <c r="C44" s="133" t="s">
        <v>317</v>
      </c>
      <c r="D44" s="216" t="e">
        <f t="array" aca="1" ref="D44" ca="1">MATCH(TRUE,INDEX($E42:$X42&gt;0,0),0)+(-LOOKUP(9.99999999999999E+307, IF($E42:$X42&lt;0, $E42:$X42))/LOOKUP(9.99999999999999E+307, IF($E42:$X42&lt;0, OFFSET($E38:$X38,0,1))))</f>
        <v>#N/A</v>
      </c>
      <c r="E44" s="171"/>
      <c r="F44" s="171"/>
      <c r="G44" s="171"/>
      <c r="H44" s="171"/>
      <c r="I44" s="171"/>
      <c r="J44" s="171"/>
      <c r="K44" s="171"/>
      <c r="L44" s="171"/>
      <c r="M44" s="171"/>
      <c r="N44" s="171"/>
      <c r="O44" s="171"/>
      <c r="P44" s="171"/>
      <c r="Q44" s="171"/>
      <c r="R44" s="171"/>
      <c r="S44" s="171"/>
      <c r="T44" s="171"/>
      <c r="U44" s="171"/>
      <c r="V44" s="171"/>
      <c r="W44" s="171"/>
      <c r="X44" s="171"/>
      <c r="Y44" s="138"/>
    </row>
    <row r="45" spans="2:28" s="137" customFormat="1" ht="25.2" customHeight="1" x14ac:dyDescent="0.25">
      <c r="B45" s="167" t="s">
        <v>263</v>
      </c>
      <c r="C45" s="133" t="s">
        <v>319</v>
      </c>
      <c r="D45" s="172" t="e">
        <f>IRR(D34:X34)</f>
        <v>#NUM!</v>
      </c>
      <c r="E45" s="180"/>
      <c r="F45" s="171"/>
      <c r="G45" s="171"/>
      <c r="H45" s="171"/>
      <c r="I45" s="171"/>
      <c r="J45" s="171"/>
      <c r="K45" s="171"/>
      <c r="L45" s="171"/>
      <c r="M45" s="171"/>
      <c r="N45" s="171"/>
      <c r="O45" s="171"/>
      <c r="P45" s="171"/>
      <c r="Q45" s="171"/>
      <c r="R45" s="171"/>
      <c r="S45" s="171"/>
      <c r="T45" s="171"/>
      <c r="U45" s="171"/>
      <c r="V45" s="171"/>
      <c r="W45" s="171"/>
      <c r="X45" s="171"/>
      <c r="Y45" s="138"/>
    </row>
    <row r="46" spans="2:28" s="137" customFormat="1" ht="25.2" customHeight="1" x14ac:dyDescent="0.25">
      <c r="B46" s="167" t="s">
        <v>264</v>
      </c>
      <c r="C46" s="133" t="s">
        <v>320</v>
      </c>
      <c r="D46" s="172" t="e">
        <f>IRR(D35:X35)</f>
        <v>#NUM!</v>
      </c>
      <c r="E46" s="171"/>
      <c r="F46" s="171"/>
      <c r="G46" s="171"/>
      <c r="H46" s="171"/>
      <c r="I46" s="171"/>
      <c r="J46" s="171"/>
      <c r="K46" s="171"/>
      <c r="L46" s="171"/>
      <c r="M46" s="171"/>
      <c r="N46" s="171"/>
      <c r="O46" s="171"/>
      <c r="P46" s="171"/>
      <c r="Q46" s="171"/>
      <c r="R46" s="171"/>
      <c r="S46" s="171"/>
      <c r="T46" s="171"/>
      <c r="U46" s="171"/>
      <c r="V46" s="171"/>
      <c r="W46" s="171"/>
      <c r="X46" s="171"/>
      <c r="Y46" s="138"/>
    </row>
    <row r="47" spans="2:28" s="137" customFormat="1" ht="116.85" customHeight="1" x14ac:dyDescent="0.25">
      <c r="B47" s="839" t="s">
        <v>266</v>
      </c>
      <c r="C47" s="839"/>
      <c r="D47" s="839"/>
      <c r="E47" s="839"/>
      <c r="F47" s="839"/>
      <c r="G47" s="839"/>
      <c r="H47" s="839"/>
      <c r="I47" s="839"/>
      <c r="J47" s="839"/>
      <c r="K47" s="839"/>
      <c r="L47" s="839"/>
      <c r="M47" s="839"/>
      <c r="N47" s="839"/>
      <c r="O47" s="839"/>
      <c r="P47" s="839"/>
      <c r="Q47" s="839"/>
      <c r="R47" s="839"/>
      <c r="S47" s="839"/>
      <c r="T47" s="839"/>
      <c r="U47" s="839"/>
      <c r="V47" s="839"/>
      <c r="W47" s="839"/>
      <c r="X47" s="839"/>
      <c r="Y47" s="138"/>
    </row>
    <row r="50" spans="2:25" s="137" customFormat="1" ht="30" customHeight="1" x14ac:dyDescent="0.25">
      <c r="B50" s="217" t="s">
        <v>471</v>
      </c>
      <c r="C50" s="703" t="str">
        <f>Measures_summary!C7</f>
        <v>Thermal insulation of the roof</v>
      </c>
      <c r="D50" s="704"/>
      <c r="E50" s="704"/>
      <c r="F50" s="704"/>
      <c r="G50" s="704"/>
      <c r="H50" s="704"/>
      <c r="I50" s="704"/>
      <c r="J50" s="704"/>
      <c r="K50" s="704"/>
      <c r="L50" s="704"/>
      <c r="M50" s="704"/>
      <c r="N50" s="704"/>
      <c r="O50" s="704"/>
      <c r="P50" s="704"/>
      <c r="Q50" s="704"/>
      <c r="R50" s="704"/>
      <c r="S50" s="704"/>
      <c r="T50" s="704"/>
      <c r="U50" s="704"/>
      <c r="V50" s="704"/>
      <c r="W50" s="704"/>
      <c r="X50" s="705"/>
      <c r="Y50" s="138"/>
    </row>
    <row r="51" spans="2:25" s="137" customFormat="1" ht="30" customHeight="1" x14ac:dyDescent="0.25">
      <c r="B51" s="158" t="s">
        <v>42</v>
      </c>
      <c r="C51" s="28" t="s">
        <v>265</v>
      </c>
      <c r="D51" s="28">
        <v>2023</v>
      </c>
      <c r="E51" s="28">
        <v>2024</v>
      </c>
      <c r="F51" s="28">
        <v>2025</v>
      </c>
      <c r="G51" s="28">
        <v>2026</v>
      </c>
      <c r="H51" s="28">
        <v>2027</v>
      </c>
      <c r="I51" s="28">
        <v>2028</v>
      </c>
      <c r="J51" s="28">
        <v>2029</v>
      </c>
      <c r="K51" s="28">
        <v>2030</v>
      </c>
      <c r="L51" s="28">
        <v>2031</v>
      </c>
      <c r="M51" s="28">
        <v>2032</v>
      </c>
      <c r="N51" s="28">
        <v>2033</v>
      </c>
      <c r="O51" s="28">
        <v>2034</v>
      </c>
      <c r="P51" s="28">
        <v>2035</v>
      </c>
      <c r="Q51" s="28">
        <v>2036</v>
      </c>
      <c r="R51" s="28">
        <v>2037</v>
      </c>
      <c r="S51" s="28">
        <v>2038</v>
      </c>
      <c r="T51" s="28">
        <v>2039</v>
      </c>
      <c r="U51" s="28">
        <v>2040</v>
      </c>
      <c r="V51" s="28">
        <v>2041</v>
      </c>
      <c r="W51" s="28">
        <v>2042</v>
      </c>
      <c r="X51" s="28">
        <v>2043</v>
      </c>
      <c r="Y51" s="138"/>
    </row>
    <row r="52" spans="2:25" s="137" customFormat="1" ht="25.2" customHeight="1" x14ac:dyDescent="0.25">
      <c r="B52" s="161">
        <v>1</v>
      </c>
      <c r="C52" s="162" t="s">
        <v>302</v>
      </c>
      <c r="D52" s="163"/>
      <c r="E52" s="163"/>
      <c r="F52" s="163"/>
      <c r="G52" s="163"/>
      <c r="H52" s="163"/>
      <c r="I52" s="163"/>
      <c r="J52" s="163"/>
      <c r="K52" s="163"/>
      <c r="L52" s="163"/>
      <c r="M52" s="30"/>
      <c r="N52" s="30"/>
      <c r="O52" s="30"/>
      <c r="P52" s="30"/>
      <c r="Q52" s="30"/>
      <c r="R52" s="30"/>
      <c r="S52" s="30"/>
      <c r="T52" s="30"/>
      <c r="U52" s="30"/>
      <c r="V52" s="30"/>
      <c r="W52" s="30"/>
      <c r="X52" s="30"/>
      <c r="Y52" s="138"/>
    </row>
    <row r="53" spans="2:25" s="137" customFormat="1" ht="25.2" customHeight="1" x14ac:dyDescent="0.25">
      <c r="B53" s="164" t="s">
        <v>248</v>
      </c>
      <c r="C53" s="165" t="s">
        <v>896</v>
      </c>
      <c r="D53" s="166">
        <f>Measures_summary!D7</f>
        <v>15350.099999999999</v>
      </c>
      <c r="E53" s="163"/>
      <c r="F53" s="163"/>
      <c r="G53" s="163"/>
      <c r="H53" s="163"/>
      <c r="I53" s="163"/>
      <c r="J53" s="163"/>
      <c r="K53" s="163"/>
      <c r="L53" s="163"/>
      <c r="M53" s="163"/>
      <c r="N53" s="163"/>
      <c r="O53" s="163"/>
      <c r="P53" s="163"/>
      <c r="Q53" s="163"/>
      <c r="R53" s="163"/>
      <c r="S53" s="163"/>
      <c r="T53" s="163"/>
      <c r="U53" s="163"/>
      <c r="V53" s="163"/>
      <c r="W53" s="163"/>
      <c r="X53" s="163"/>
      <c r="Y53" s="138"/>
    </row>
    <row r="54" spans="2:25" s="137" customFormat="1" ht="25.2" customHeight="1" x14ac:dyDescent="0.25">
      <c r="B54" s="164" t="s">
        <v>249</v>
      </c>
      <c r="C54" s="165" t="s">
        <v>897</v>
      </c>
      <c r="D54" s="163"/>
      <c r="E54" s="166">
        <f>4%*$D$5</f>
        <v>3045.5159999999996</v>
      </c>
      <c r="F54" s="166">
        <f t="shared" ref="F54:X54" si="34">4%*$D$5</f>
        <v>3045.5159999999996</v>
      </c>
      <c r="G54" s="166">
        <f t="shared" si="34"/>
        <v>3045.5159999999996</v>
      </c>
      <c r="H54" s="166">
        <f t="shared" si="34"/>
        <v>3045.5159999999996</v>
      </c>
      <c r="I54" s="166">
        <f t="shared" si="34"/>
        <v>3045.5159999999996</v>
      </c>
      <c r="J54" s="166">
        <f t="shared" si="34"/>
        <v>3045.5159999999996</v>
      </c>
      <c r="K54" s="166">
        <f t="shared" si="34"/>
        <v>3045.5159999999996</v>
      </c>
      <c r="L54" s="166">
        <f t="shared" si="34"/>
        <v>3045.5159999999996</v>
      </c>
      <c r="M54" s="166">
        <f t="shared" si="34"/>
        <v>3045.5159999999996</v>
      </c>
      <c r="N54" s="166">
        <f t="shared" si="34"/>
        <v>3045.5159999999996</v>
      </c>
      <c r="O54" s="166">
        <f t="shared" si="34"/>
        <v>3045.5159999999996</v>
      </c>
      <c r="P54" s="166">
        <f t="shared" si="34"/>
        <v>3045.5159999999996</v>
      </c>
      <c r="Q54" s="166">
        <f t="shared" si="34"/>
        <v>3045.5159999999996</v>
      </c>
      <c r="R54" s="166">
        <f t="shared" si="34"/>
        <v>3045.5159999999996</v>
      </c>
      <c r="S54" s="166">
        <f t="shared" si="34"/>
        <v>3045.5159999999996</v>
      </c>
      <c r="T54" s="166">
        <f t="shared" si="34"/>
        <v>3045.5159999999996</v>
      </c>
      <c r="U54" s="166">
        <f t="shared" si="34"/>
        <v>3045.5159999999996</v>
      </c>
      <c r="V54" s="166">
        <f t="shared" si="34"/>
        <v>3045.5159999999996</v>
      </c>
      <c r="W54" s="166">
        <f t="shared" si="34"/>
        <v>3045.5159999999996</v>
      </c>
      <c r="X54" s="166">
        <f t="shared" si="34"/>
        <v>3045.5159999999996</v>
      </c>
      <c r="Y54" s="138"/>
    </row>
    <row r="55" spans="2:25" s="137" customFormat="1" ht="25.2" customHeight="1" x14ac:dyDescent="0.25">
      <c r="B55" s="161">
        <v>2</v>
      </c>
      <c r="C55" s="162" t="s">
        <v>303</v>
      </c>
      <c r="D55" s="163"/>
      <c r="E55" s="163"/>
      <c r="F55" s="163"/>
      <c r="G55" s="163"/>
      <c r="H55" s="163"/>
      <c r="I55" s="163"/>
      <c r="J55" s="163"/>
      <c r="K55" s="163"/>
      <c r="L55" s="163"/>
      <c r="M55" s="163"/>
      <c r="N55" s="163"/>
      <c r="O55" s="163"/>
      <c r="P55" s="163"/>
      <c r="Q55" s="163"/>
      <c r="R55" s="163"/>
      <c r="S55" s="163"/>
      <c r="T55" s="163"/>
      <c r="U55" s="163"/>
      <c r="V55" s="163"/>
      <c r="W55" s="163"/>
      <c r="X55" s="163"/>
      <c r="Y55" s="138"/>
    </row>
    <row r="56" spans="2:25" s="137" customFormat="1" ht="25.2" customHeight="1" x14ac:dyDescent="0.25">
      <c r="B56" s="167" t="s">
        <v>250</v>
      </c>
      <c r="C56" s="133" t="s">
        <v>898</v>
      </c>
      <c r="D56" s="163">
        <v>0</v>
      </c>
      <c r="E56" s="166">
        <f>Measures_summary!F7</f>
        <v>2285.8957701930199</v>
      </c>
      <c r="F56" s="166">
        <f t="shared" ref="F56:X56" si="35">$E56*(1.028+0.028*(F51-$F$3))</f>
        <v>2157.885607062211</v>
      </c>
      <c r="G56" s="166">
        <f t="shared" si="35"/>
        <v>2221.8906886276154</v>
      </c>
      <c r="H56" s="166">
        <f t="shared" si="35"/>
        <v>2285.8957701930199</v>
      </c>
      <c r="I56" s="166">
        <f t="shared" si="35"/>
        <v>2349.9008517584243</v>
      </c>
      <c r="J56" s="166">
        <f t="shared" si="35"/>
        <v>2413.9059333238292</v>
      </c>
      <c r="K56" s="166">
        <f t="shared" si="35"/>
        <v>2477.9110148892337</v>
      </c>
      <c r="L56" s="166">
        <f t="shared" si="35"/>
        <v>2541.9160964546381</v>
      </c>
      <c r="M56" s="166">
        <f t="shared" si="35"/>
        <v>2605.921178020043</v>
      </c>
      <c r="N56" s="166">
        <f t="shared" si="35"/>
        <v>2669.9262595854475</v>
      </c>
      <c r="O56" s="166">
        <f t="shared" si="35"/>
        <v>2733.9313411508515</v>
      </c>
      <c r="P56" s="166">
        <f t="shared" si="35"/>
        <v>2797.9364227162564</v>
      </c>
      <c r="Q56" s="166">
        <f t="shared" si="35"/>
        <v>2861.9415042816609</v>
      </c>
      <c r="R56" s="166">
        <f t="shared" si="35"/>
        <v>2925.9465858470653</v>
      </c>
      <c r="S56" s="166">
        <f t="shared" si="35"/>
        <v>2989.9516674124702</v>
      </c>
      <c r="T56" s="166">
        <f t="shared" si="35"/>
        <v>3053.9567489778747</v>
      </c>
      <c r="U56" s="166">
        <f t="shared" si="35"/>
        <v>3117.9618305432791</v>
      </c>
      <c r="V56" s="166">
        <f t="shared" si="35"/>
        <v>3181.9669121086836</v>
      </c>
      <c r="W56" s="166">
        <f t="shared" si="35"/>
        <v>3245.971993674088</v>
      </c>
      <c r="X56" s="166">
        <f t="shared" si="35"/>
        <v>3309.9770752394925</v>
      </c>
      <c r="Y56" s="138"/>
    </row>
    <row r="57" spans="2:25" s="137" customFormat="1" ht="25.2" customHeight="1" x14ac:dyDescent="0.25">
      <c r="B57" s="167" t="s">
        <v>251</v>
      </c>
      <c r="C57" s="133" t="s">
        <v>899</v>
      </c>
      <c r="D57" s="163">
        <v>0</v>
      </c>
      <c r="E57" s="166">
        <f>Measures_summary!J7</f>
        <v>743.36418903273125</v>
      </c>
      <c r="F57" s="166">
        <f t="shared" ref="F57:X57" si="36">$E57*(1.028+0.028*(F51-$F$3))</f>
        <v>701.73579444689835</v>
      </c>
      <c r="G57" s="166">
        <f t="shared" si="36"/>
        <v>722.5499917398148</v>
      </c>
      <c r="H57" s="166">
        <f t="shared" si="36"/>
        <v>743.36418903273125</v>
      </c>
      <c r="I57" s="166">
        <f t="shared" si="36"/>
        <v>764.17838632564769</v>
      </c>
      <c r="J57" s="166">
        <f t="shared" si="36"/>
        <v>784.99258361856425</v>
      </c>
      <c r="K57" s="166">
        <f t="shared" si="36"/>
        <v>805.8067809114807</v>
      </c>
      <c r="L57" s="166">
        <f t="shared" si="36"/>
        <v>826.62097820439726</v>
      </c>
      <c r="M57" s="166">
        <f t="shared" si="36"/>
        <v>847.43517549731371</v>
      </c>
      <c r="N57" s="166">
        <f t="shared" si="36"/>
        <v>868.24937279023015</v>
      </c>
      <c r="O57" s="166">
        <f t="shared" si="36"/>
        <v>889.06357008314649</v>
      </c>
      <c r="P57" s="166">
        <f t="shared" si="36"/>
        <v>909.87776737606305</v>
      </c>
      <c r="Q57" s="166">
        <f t="shared" si="36"/>
        <v>930.69196466897949</v>
      </c>
      <c r="R57" s="166">
        <f t="shared" si="36"/>
        <v>951.50616196189605</v>
      </c>
      <c r="S57" s="166">
        <f t="shared" si="36"/>
        <v>972.3203592548125</v>
      </c>
      <c r="T57" s="166">
        <f t="shared" si="36"/>
        <v>993.13455654772895</v>
      </c>
      <c r="U57" s="166">
        <f t="shared" si="36"/>
        <v>1013.9487538406455</v>
      </c>
      <c r="V57" s="166">
        <f t="shared" si="36"/>
        <v>1034.7629511335617</v>
      </c>
      <c r="W57" s="166">
        <f t="shared" si="36"/>
        <v>1055.5771484264783</v>
      </c>
      <c r="X57" s="166">
        <f t="shared" si="36"/>
        <v>1076.3913457193948</v>
      </c>
      <c r="Y57" s="138"/>
    </row>
    <row r="58" spans="2:25" s="137" customFormat="1" ht="25.2" customHeight="1" x14ac:dyDescent="0.25">
      <c r="B58" s="167" t="s">
        <v>252</v>
      </c>
      <c r="C58" s="133" t="s">
        <v>900</v>
      </c>
      <c r="D58" s="168">
        <f t="shared" ref="D58" si="37">D56-(D53+D54)</f>
        <v>-15350.099999999999</v>
      </c>
      <c r="E58" s="168">
        <f>E56-(E53+E54)</f>
        <v>-759.62022980697975</v>
      </c>
      <c r="F58" s="168">
        <f t="shared" ref="F58:X58" si="38">F56-(F53+F54)</f>
        <v>-887.63039293778866</v>
      </c>
      <c r="G58" s="168">
        <f t="shared" si="38"/>
        <v>-823.6253113723842</v>
      </c>
      <c r="H58" s="168">
        <f t="shared" si="38"/>
        <v>-759.62022980697975</v>
      </c>
      <c r="I58" s="168">
        <f t="shared" si="38"/>
        <v>-695.6151482415753</v>
      </c>
      <c r="J58" s="168">
        <f t="shared" si="38"/>
        <v>-631.61006667617039</v>
      </c>
      <c r="K58" s="168">
        <f t="shared" si="38"/>
        <v>-567.60498511076594</v>
      </c>
      <c r="L58" s="168">
        <f t="shared" si="38"/>
        <v>-503.59990354536149</v>
      </c>
      <c r="M58" s="168">
        <f t="shared" si="38"/>
        <v>-439.59482197995658</v>
      </c>
      <c r="N58" s="168">
        <f t="shared" si="38"/>
        <v>-375.58974041455213</v>
      </c>
      <c r="O58" s="168">
        <f t="shared" si="38"/>
        <v>-311.58465884914813</v>
      </c>
      <c r="P58" s="168">
        <f t="shared" si="38"/>
        <v>-247.57957728374322</v>
      </c>
      <c r="Q58" s="168">
        <f t="shared" si="38"/>
        <v>-183.57449571833877</v>
      </c>
      <c r="R58" s="168">
        <f t="shared" si="38"/>
        <v>-119.56941415293431</v>
      </c>
      <c r="S58" s="168">
        <f t="shared" si="38"/>
        <v>-55.564332587529407</v>
      </c>
      <c r="T58" s="168">
        <f t="shared" si="38"/>
        <v>8.440748977875046</v>
      </c>
      <c r="U58" s="168">
        <f t="shared" si="38"/>
        <v>72.445830543279499</v>
      </c>
      <c r="V58" s="168">
        <f t="shared" si="38"/>
        <v>136.45091210868395</v>
      </c>
      <c r="W58" s="168">
        <f t="shared" si="38"/>
        <v>200.4559936740884</v>
      </c>
      <c r="X58" s="168">
        <f t="shared" si="38"/>
        <v>264.46107523949286</v>
      </c>
      <c r="Y58" s="138"/>
    </row>
    <row r="59" spans="2:25" s="137" customFormat="1" ht="25.2" customHeight="1" x14ac:dyDescent="0.25">
      <c r="B59" s="167" t="s">
        <v>253</v>
      </c>
      <c r="C59" s="133" t="s">
        <v>901</v>
      </c>
      <c r="D59" s="168">
        <f t="shared" ref="D59:X59" si="39">D57-(D53+D54)</f>
        <v>-15350.099999999999</v>
      </c>
      <c r="E59" s="168">
        <f t="shared" si="39"/>
        <v>-2302.1518109672684</v>
      </c>
      <c r="F59" s="168">
        <f t="shared" si="39"/>
        <v>-2343.780205553101</v>
      </c>
      <c r="G59" s="168">
        <f t="shared" si="39"/>
        <v>-2322.9660082601849</v>
      </c>
      <c r="H59" s="168">
        <f t="shared" si="39"/>
        <v>-2302.1518109672684</v>
      </c>
      <c r="I59" s="168">
        <f t="shared" si="39"/>
        <v>-2281.3376136743518</v>
      </c>
      <c r="J59" s="168">
        <f t="shared" si="39"/>
        <v>-2260.5234163814353</v>
      </c>
      <c r="K59" s="168">
        <f t="shared" si="39"/>
        <v>-2239.7092190885187</v>
      </c>
      <c r="L59" s="168">
        <f t="shared" si="39"/>
        <v>-2218.8950217956026</v>
      </c>
      <c r="M59" s="168">
        <f t="shared" si="39"/>
        <v>-2198.080824502686</v>
      </c>
      <c r="N59" s="168">
        <f t="shared" si="39"/>
        <v>-2177.2666272097695</v>
      </c>
      <c r="O59" s="168">
        <f t="shared" si="39"/>
        <v>-2156.4524299168534</v>
      </c>
      <c r="P59" s="168">
        <f t="shared" si="39"/>
        <v>-2135.6382326239363</v>
      </c>
      <c r="Q59" s="168">
        <f t="shared" si="39"/>
        <v>-2114.8240353310202</v>
      </c>
      <c r="R59" s="168">
        <f t="shared" si="39"/>
        <v>-2094.0098380381037</v>
      </c>
      <c r="S59" s="168">
        <f t="shared" si="39"/>
        <v>-2073.1956407451871</v>
      </c>
      <c r="T59" s="168">
        <f t="shared" si="39"/>
        <v>-2052.3814434522706</v>
      </c>
      <c r="U59" s="168">
        <f t="shared" si="39"/>
        <v>-2031.567246159354</v>
      </c>
      <c r="V59" s="168">
        <f t="shared" si="39"/>
        <v>-2010.7530488664379</v>
      </c>
      <c r="W59" s="168">
        <f t="shared" si="39"/>
        <v>-1989.9388515735213</v>
      </c>
      <c r="X59" s="168">
        <f t="shared" si="39"/>
        <v>-1969.1246542806048</v>
      </c>
      <c r="Y59" s="138"/>
    </row>
    <row r="60" spans="2:25" s="137" customFormat="1" ht="25.2" customHeight="1" x14ac:dyDescent="0.25">
      <c r="B60" s="161" t="s">
        <v>254</v>
      </c>
      <c r="C60" s="169" t="s">
        <v>304</v>
      </c>
      <c r="D60" s="170"/>
      <c r="E60" s="170"/>
      <c r="F60" s="170"/>
      <c r="G60" s="170"/>
      <c r="H60" s="170"/>
      <c r="I60" s="170"/>
      <c r="J60" s="170"/>
      <c r="K60" s="170"/>
      <c r="L60" s="170"/>
      <c r="M60" s="170"/>
      <c r="N60" s="170"/>
      <c r="O60" s="170"/>
      <c r="P60" s="170"/>
      <c r="Q60" s="170"/>
      <c r="R60" s="170"/>
      <c r="S60" s="170"/>
      <c r="T60" s="170"/>
      <c r="U60" s="170"/>
      <c r="V60" s="170"/>
      <c r="W60" s="170"/>
      <c r="X60" s="170"/>
      <c r="Y60" s="138"/>
    </row>
    <row r="61" spans="2:25" s="137" customFormat="1" ht="25.2" customHeight="1" x14ac:dyDescent="0.25">
      <c r="B61" s="167" t="s">
        <v>255</v>
      </c>
      <c r="C61" s="133" t="s">
        <v>902</v>
      </c>
      <c r="D61" s="168">
        <f>D58</f>
        <v>-15350.099999999999</v>
      </c>
      <c r="E61" s="178">
        <f t="shared" ref="E61:X61" si="40">E56/POWER(1+0.04,E$3-$D$3)</f>
        <v>2197.9767021086727</v>
      </c>
      <c r="F61" s="178">
        <f t="shared" si="40"/>
        <v>1995.0865449909493</v>
      </c>
      <c r="G61" s="178">
        <f t="shared" si="40"/>
        <v>1975.2527315547616</v>
      </c>
      <c r="H61" s="178">
        <f t="shared" si="40"/>
        <v>1953.9932846181161</v>
      </c>
      <c r="I61" s="178">
        <f t="shared" si="40"/>
        <v>1931.4472082571376</v>
      </c>
      <c r="J61" s="178">
        <f t="shared" si="40"/>
        <v>1907.7449228520068</v>
      </c>
      <c r="K61" s="178">
        <f t="shared" si="40"/>
        <v>1883.0087197439316</v>
      </c>
      <c r="L61" s="178">
        <f t="shared" si="40"/>
        <v>1857.3531936162819</v>
      </c>
      <c r="M61" s="178">
        <f t="shared" si="40"/>
        <v>1830.8856536408425</v>
      </c>
      <c r="N61" s="178">
        <f t="shared" si="40"/>
        <v>1803.7065143830162</v>
      </c>
      <c r="O61" s="178">
        <f t="shared" si="40"/>
        <v>1775.9096674147845</v>
      </c>
      <c r="P61" s="178">
        <f t="shared" si="40"/>
        <v>1747.5828345411758</v>
      </c>
      <c r="Q61" s="178">
        <f t="shared" si="40"/>
        <v>1718.807903504864</v>
      </c>
      <c r="R61" s="178">
        <f t="shared" si="40"/>
        <v>1689.6612469942138</v>
      </c>
      <c r="S61" s="178">
        <f t="shared" si="40"/>
        <v>1660.2140257425121</v>
      </c>
      <c r="T61" s="178">
        <f t="shared" si="40"/>
        <v>1630.5324764702391</v>
      </c>
      <c r="U61" s="178">
        <f t="shared" si="40"/>
        <v>1600.6781853879304</v>
      </c>
      <c r="V61" s="178">
        <f t="shared" si="40"/>
        <v>1570.7083479443934</v>
      </c>
      <c r="W61" s="178">
        <f t="shared" si="40"/>
        <v>1540.6760154737503</v>
      </c>
      <c r="X61" s="178">
        <f t="shared" si="40"/>
        <v>1510.6303293648364</v>
      </c>
      <c r="Y61" s="138"/>
    </row>
    <row r="62" spans="2:25" s="137" customFormat="1" ht="25.2" customHeight="1" x14ac:dyDescent="0.25">
      <c r="B62" s="167" t="s">
        <v>256</v>
      </c>
      <c r="C62" s="133" t="s">
        <v>903</v>
      </c>
      <c r="D62" s="168">
        <f>D59</f>
        <v>-15350.099999999999</v>
      </c>
      <c r="E62" s="178">
        <f t="shared" ref="E62:X62" si="41">E57/POWER(1+0.04,E$3-$D$3)</f>
        <v>714.77325868531852</v>
      </c>
      <c r="F62" s="178">
        <f t="shared" si="41"/>
        <v>648.79418865282753</v>
      </c>
      <c r="G62" s="178">
        <f t="shared" si="41"/>
        <v>642.34431161439488</v>
      </c>
      <c r="H62" s="178">
        <f t="shared" si="41"/>
        <v>635.4308242465919</v>
      </c>
      <c r="I62" s="178">
        <f t="shared" si="41"/>
        <v>628.09893012066959</v>
      </c>
      <c r="J62" s="178">
        <f t="shared" si="41"/>
        <v>620.39104142418739</v>
      </c>
      <c r="K62" s="178">
        <f t="shared" si="41"/>
        <v>612.34692681364652</v>
      </c>
      <c r="L62" s="178">
        <f t="shared" si="41"/>
        <v>604.00385202311145</v>
      </c>
      <c r="M62" s="178">
        <f t="shared" si="41"/>
        <v>595.39671356733095</v>
      </c>
      <c r="N62" s="178">
        <f t="shared" si="41"/>
        <v>586.55816586255276</v>
      </c>
      <c r="O62" s="178">
        <f t="shared" si="41"/>
        <v>577.51874207357503</v>
      </c>
      <c r="P62" s="178">
        <f t="shared" si="41"/>
        <v>568.30696898158578</v>
      </c>
      <c r="Q62" s="178">
        <f t="shared" si="41"/>
        <v>558.9494761539604</v>
      </c>
      <c r="R62" s="178">
        <f t="shared" si="41"/>
        <v>549.47109968440452</v>
      </c>
      <c r="S62" s="178">
        <f t="shared" si="41"/>
        <v>539.89498075961615</v>
      </c>
      <c r="T62" s="178">
        <f t="shared" si="41"/>
        <v>530.24265929696469</v>
      </c>
      <c r="U62" s="178">
        <f t="shared" si="41"/>
        <v>520.53416288652977</v>
      </c>
      <c r="V62" s="178">
        <f t="shared" si="41"/>
        <v>510.78809126018581</v>
      </c>
      <c r="W62" s="178">
        <f t="shared" si="41"/>
        <v>501.02169650023757</v>
      </c>
      <c r="X62" s="178">
        <f t="shared" si="41"/>
        <v>491.25095919037381</v>
      </c>
      <c r="Y62" s="138"/>
    </row>
    <row r="63" spans="2:25" s="137" customFormat="1" ht="25.2" customHeight="1" x14ac:dyDescent="0.25">
      <c r="B63" s="167" t="s">
        <v>257</v>
      </c>
      <c r="C63" s="133" t="s">
        <v>904</v>
      </c>
      <c r="D63" s="166">
        <f>NPV(0.04,E58:X58)+D58</f>
        <v>-20957.799820216176</v>
      </c>
      <c r="E63" s="179"/>
      <c r="F63" s="171"/>
      <c r="G63" s="171"/>
      <c r="H63" s="171"/>
      <c r="I63" s="171"/>
      <c r="J63" s="171"/>
      <c r="K63" s="171"/>
      <c r="L63" s="171"/>
      <c r="M63" s="171"/>
      <c r="N63" s="171"/>
      <c r="O63" s="171"/>
      <c r="P63" s="171"/>
      <c r="Q63" s="171"/>
      <c r="R63" s="171"/>
      <c r="S63" s="171"/>
      <c r="T63" s="171"/>
      <c r="U63" s="171"/>
      <c r="V63" s="171"/>
      <c r="W63" s="171"/>
      <c r="X63" s="171"/>
      <c r="Y63" s="138"/>
    </row>
    <row r="64" spans="2:25" s="137" customFormat="1" ht="25.2" customHeight="1" x14ac:dyDescent="0.25">
      <c r="B64" s="167" t="s">
        <v>258</v>
      </c>
      <c r="C64" s="133" t="s">
        <v>905</v>
      </c>
      <c r="D64" s="166">
        <f>NPV(0.04,E59:X59)+D59</f>
        <v>-45103.539279022531</v>
      </c>
      <c r="E64" s="171"/>
      <c r="F64" s="171"/>
      <c r="G64" s="171"/>
      <c r="H64" s="171"/>
      <c r="I64" s="171"/>
      <c r="J64" s="171"/>
      <c r="K64" s="171"/>
      <c r="L64" s="171"/>
      <c r="M64" s="171"/>
      <c r="N64" s="171"/>
      <c r="O64" s="171"/>
      <c r="P64" s="171"/>
      <c r="Q64" s="171"/>
      <c r="R64" s="171"/>
      <c r="S64" s="171"/>
      <c r="T64" s="171"/>
      <c r="U64" s="171"/>
      <c r="V64" s="171"/>
      <c r="W64" s="171"/>
      <c r="X64" s="171"/>
      <c r="Y64" s="138"/>
    </row>
    <row r="65" spans="2:28" s="137" customFormat="1" ht="25.2" customHeight="1" x14ac:dyDescent="0.25">
      <c r="B65" s="167" t="s">
        <v>259</v>
      </c>
      <c r="C65" s="133" t="s">
        <v>906</v>
      </c>
      <c r="D65" s="168">
        <f>D56-(D53+D54)</f>
        <v>-15350.099999999999</v>
      </c>
      <c r="E65" s="178">
        <f>D65+E61</f>
        <v>-13152.123297891325</v>
      </c>
      <c r="F65" s="166">
        <f t="shared" ref="F65:F66" si="42">E65+F61</f>
        <v>-11157.036752900376</v>
      </c>
      <c r="G65" s="166">
        <f t="shared" ref="G65:G66" si="43">F65+G61</f>
        <v>-9181.7840213456147</v>
      </c>
      <c r="H65" s="166">
        <f t="shared" ref="H65:H66" si="44">G65+H61</f>
        <v>-7227.7907367274984</v>
      </c>
      <c r="I65" s="166">
        <f t="shared" ref="I65:I66" si="45">H65+I61</f>
        <v>-5296.343528470361</v>
      </c>
      <c r="J65" s="166">
        <f t="shared" ref="J65:J66" si="46">I65+J61</f>
        <v>-3388.5986056183542</v>
      </c>
      <c r="K65" s="166">
        <f t="shared" ref="K65:K66" si="47">J65+K61</f>
        <v>-1505.5898858744226</v>
      </c>
      <c r="L65" s="166">
        <f t="shared" ref="L65:L66" si="48">K65+L61</f>
        <v>351.76330774185931</v>
      </c>
      <c r="M65" s="166">
        <f t="shared" ref="M65:M66" si="49">L65+M61</f>
        <v>2182.6489613827016</v>
      </c>
      <c r="N65" s="166">
        <f t="shared" ref="N65:N66" si="50">M65+N61</f>
        <v>3986.3554757657175</v>
      </c>
      <c r="O65" s="166">
        <f t="shared" ref="O65:O66" si="51">N65+O61</f>
        <v>5762.2651431805025</v>
      </c>
      <c r="P65" s="166">
        <f t="shared" ref="P65:P66" si="52">O65+P61</f>
        <v>7509.847977721678</v>
      </c>
      <c r="Q65" s="166">
        <f t="shared" ref="Q65:Q66" si="53">P65+Q61</f>
        <v>9228.655881226543</v>
      </c>
      <c r="R65" s="166">
        <f t="shared" ref="R65:R66" si="54">Q65+R61</f>
        <v>10918.317128220757</v>
      </c>
      <c r="S65" s="166">
        <f t="shared" ref="S65:S66" si="55">R65+S61</f>
        <v>12578.531153963269</v>
      </c>
      <c r="T65" s="166">
        <f t="shared" ref="T65:T66" si="56">S65+T61</f>
        <v>14209.063630433509</v>
      </c>
      <c r="U65" s="166">
        <f t="shared" ref="U65:U66" si="57">T65+U61</f>
        <v>15809.74181582144</v>
      </c>
      <c r="V65" s="166">
        <f t="shared" ref="V65:V66" si="58">U65+V61</f>
        <v>17380.450163765832</v>
      </c>
      <c r="W65" s="166">
        <f t="shared" ref="W65:W66" si="59">V65+W61</f>
        <v>18921.126179239582</v>
      </c>
      <c r="X65" s="166">
        <f t="shared" ref="X65:X66" si="60">W65+X61</f>
        <v>20431.75650860442</v>
      </c>
      <c r="Y65" s="138"/>
      <c r="Z65" s="213"/>
      <c r="AA65" s="215"/>
      <c r="AB65" s="214"/>
    </row>
    <row r="66" spans="2:28" s="137" customFormat="1" ht="25.2" customHeight="1" x14ac:dyDescent="0.25">
      <c r="B66" s="167" t="s">
        <v>260</v>
      </c>
      <c r="C66" s="133" t="s">
        <v>907</v>
      </c>
      <c r="D66" s="168">
        <f>D57-(D53+D54)</f>
        <v>-15350.099999999999</v>
      </c>
      <c r="E66" s="178">
        <f>D66+E62</f>
        <v>-14635.32674131468</v>
      </c>
      <c r="F66" s="166">
        <f t="shared" si="42"/>
        <v>-13986.532552661853</v>
      </c>
      <c r="G66" s="166">
        <f t="shared" si="43"/>
        <v>-13344.188241047457</v>
      </c>
      <c r="H66" s="166">
        <f t="shared" si="44"/>
        <v>-12708.757416800865</v>
      </c>
      <c r="I66" s="166">
        <f t="shared" si="45"/>
        <v>-12080.658486680195</v>
      </c>
      <c r="J66" s="166">
        <f t="shared" si="46"/>
        <v>-11460.267445256008</v>
      </c>
      <c r="K66" s="166">
        <f t="shared" si="47"/>
        <v>-10847.920518442361</v>
      </c>
      <c r="L66" s="166">
        <f t="shared" si="48"/>
        <v>-10243.916666419249</v>
      </c>
      <c r="M66" s="166">
        <f t="shared" si="49"/>
        <v>-9648.5199528519188</v>
      </c>
      <c r="N66" s="166">
        <f t="shared" si="50"/>
        <v>-9061.9617869893664</v>
      </c>
      <c r="O66" s="166">
        <f t="shared" si="51"/>
        <v>-8484.4430449157917</v>
      </c>
      <c r="P66" s="166">
        <f t="shared" si="52"/>
        <v>-7916.136075934206</v>
      </c>
      <c r="Q66" s="166">
        <f t="shared" si="53"/>
        <v>-7357.1865997802452</v>
      </c>
      <c r="R66" s="166">
        <f t="shared" si="54"/>
        <v>-6807.715500095841</v>
      </c>
      <c r="S66" s="166">
        <f t="shared" si="55"/>
        <v>-6267.8205193362246</v>
      </c>
      <c r="T66" s="166">
        <f t="shared" si="56"/>
        <v>-5737.5778600392596</v>
      </c>
      <c r="U66" s="166">
        <f t="shared" si="57"/>
        <v>-5217.0436971527297</v>
      </c>
      <c r="V66" s="166">
        <f t="shared" si="58"/>
        <v>-4706.2556058925438</v>
      </c>
      <c r="W66" s="166">
        <f t="shared" si="59"/>
        <v>-4205.2339093923065</v>
      </c>
      <c r="X66" s="166">
        <f t="shared" si="60"/>
        <v>-3713.9829502019329</v>
      </c>
      <c r="Y66" s="138"/>
      <c r="Z66" s="213"/>
    </row>
    <row r="67" spans="2:28" s="137" customFormat="1" ht="25.2" customHeight="1" x14ac:dyDescent="0.25">
      <c r="B67" s="167" t="s">
        <v>261</v>
      </c>
      <c r="C67" s="133" t="s">
        <v>316</v>
      </c>
      <c r="D67" s="216">
        <f t="array" aca="1" ref="D67" ca="1">MATCH(TRUE,INDEX($E65:$X65&gt;0,0),0)+(-LOOKUP(9.99999999999999E+307, IF($E65:$X65&lt;0, $E65:$X65))/LOOKUP(9.99999999999999E+307, IF($E65:$X65&lt;0, OFFSET($E61:$X61,0,1))))</f>
        <v>8.8106104380411505</v>
      </c>
      <c r="E67" s="171"/>
      <c r="F67" s="171"/>
      <c r="G67" s="171"/>
      <c r="H67" s="171"/>
      <c r="I67" s="171"/>
      <c r="J67" s="171"/>
      <c r="K67" s="171"/>
      <c r="L67" s="171"/>
      <c r="M67" s="171"/>
      <c r="N67" s="171"/>
      <c r="O67" s="171"/>
      <c r="P67" s="171"/>
      <c r="Q67" s="171"/>
      <c r="R67" s="171"/>
      <c r="S67" s="171"/>
      <c r="T67" s="171"/>
      <c r="U67" s="171"/>
      <c r="V67" s="171"/>
      <c r="W67" s="171"/>
      <c r="X67" s="171"/>
      <c r="Y67" s="138"/>
    </row>
    <row r="68" spans="2:28" s="137" customFormat="1" ht="25.2" customHeight="1" x14ac:dyDescent="0.25">
      <c r="B68" s="167" t="s">
        <v>262</v>
      </c>
      <c r="C68" s="133" t="s">
        <v>317</v>
      </c>
      <c r="D68" s="216" t="e">
        <f t="array" aca="1" ref="D68" ca="1">MATCH(TRUE,INDEX($E66:$X66&gt;0,0),0)+(-LOOKUP(9.99999999999999E+307, IF($E66:$X66&lt;0, $E66:$X66))/LOOKUP(9.99999999999999E+307, IF($E66:$X66&lt;0, OFFSET($E62:$X62,0,1))))</f>
        <v>#N/A</v>
      </c>
      <c r="E68" s="171"/>
      <c r="F68" s="171"/>
      <c r="G68" s="171"/>
      <c r="H68" s="171"/>
      <c r="I68" s="171"/>
      <c r="J68" s="171"/>
      <c r="K68" s="171"/>
      <c r="L68" s="171"/>
      <c r="M68" s="171"/>
      <c r="N68" s="171"/>
      <c r="O68" s="171"/>
      <c r="P68" s="171"/>
      <c r="Q68" s="171"/>
      <c r="R68" s="171"/>
      <c r="S68" s="171"/>
      <c r="T68" s="171"/>
      <c r="U68" s="171"/>
      <c r="V68" s="171"/>
      <c r="W68" s="171"/>
      <c r="X68" s="171"/>
      <c r="Y68" s="138"/>
    </row>
    <row r="69" spans="2:28" s="137" customFormat="1" ht="25.2" customHeight="1" x14ac:dyDescent="0.25">
      <c r="B69" s="167" t="s">
        <v>263</v>
      </c>
      <c r="C69" s="133" t="s">
        <v>319</v>
      </c>
      <c r="D69" s="172" t="e">
        <f>IRR(D58:X58)</f>
        <v>#NUM!</v>
      </c>
      <c r="E69" s="180"/>
      <c r="F69" s="171"/>
      <c r="G69" s="171"/>
      <c r="H69" s="171"/>
      <c r="I69" s="171"/>
      <c r="J69" s="171"/>
      <c r="K69" s="171"/>
      <c r="L69" s="171"/>
      <c r="M69" s="171"/>
      <c r="N69" s="171"/>
      <c r="O69" s="171"/>
      <c r="P69" s="171"/>
      <c r="Q69" s="171"/>
      <c r="R69" s="171"/>
      <c r="S69" s="171"/>
      <c r="T69" s="171"/>
      <c r="U69" s="171"/>
      <c r="V69" s="171"/>
      <c r="W69" s="171"/>
      <c r="X69" s="171"/>
      <c r="Y69" s="138"/>
    </row>
    <row r="70" spans="2:28" s="137" customFormat="1" ht="25.2" customHeight="1" x14ac:dyDescent="0.25">
      <c r="B70" s="167" t="s">
        <v>264</v>
      </c>
      <c r="C70" s="133" t="s">
        <v>320</v>
      </c>
      <c r="D70" s="172" t="e">
        <f>IRR(D59:X59)</f>
        <v>#NUM!</v>
      </c>
      <c r="E70" s="171"/>
      <c r="F70" s="171"/>
      <c r="G70" s="171"/>
      <c r="H70" s="171"/>
      <c r="I70" s="171"/>
      <c r="J70" s="171"/>
      <c r="K70" s="171"/>
      <c r="L70" s="171"/>
      <c r="M70" s="171"/>
      <c r="N70" s="171"/>
      <c r="O70" s="171"/>
      <c r="P70" s="171"/>
      <c r="Q70" s="171"/>
      <c r="R70" s="171"/>
      <c r="S70" s="171"/>
      <c r="T70" s="171"/>
      <c r="U70" s="171"/>
      <c r="V70" s="171"/>
      <c r="W70" s="171"/>
      <c r="X70" s="171"/>
      <c r="Y70" s="138"/>
    </row>
    <row r="71" spans="2:28" s="137" customFormat="1" ht="116.85" customHeight="1" x14ac:dyDescent="0.25">
      <c r="B71" s="839" t="s">
        <v>266</v>
      </c>
      <c r="C71" s="839"/>
      <c r="D71" s="839"/>
      <c r="E71" s="839"/>
      <c r="F71" s="839"/>
      <c r="G71" s="839"/>
      <c r="H71" s="839"/>
      <c r="I71" s="839"/>
      <c r="J71" s="839"/>
      <c r="K71" s="839"/>
      <c r="L71" s="839"/>
      <c r="M71" s="839"/>
      <c r="N71" s="839"/>
      <c r="O71" s="839"/>
      <c r="P71" s="839"/>
      <c r="Q71" s="839"/>
      <c r="R71" s="839"/>
      <c r="S71" s="839"/>
      <c r="T71" s="839"/>
      <c r="U71" s="839"/>
      <c r="V71" s="839"/>
      <c r="W71" s="839"/>
      <c r="X71" s="839"/>
      <c r="Y71" s="138"/>
    </row>
    <row r="74" spans="2:28" s="137" customFormat="1" ht="30" customHeight="1" x14ac:dyDescent="0.25">
      <c r="B74" s="217" t="s">
        <v>471</v>
      </c>
      <c r="C74" s="703" t="e">
        <f>Measures_summary!#REF!</f>
        <v>#REF!</v>
      </c>
      <c r="D74" s="704"/>
      <c r="E74" s="704"/>
      <c r="F74" s="704"/>
      <c r="G74" s="704"/>
      <c r="H74" s="704"/>
      <c r="I74" s="704"/>
      <c r="J74" s="704"/>
      <c r="K74" s="704"/>
      <c r="L74" s="704"/>
      <c r="M74" s="704"/>
      <c r="N74" s="704"/>
      <c r="O74" s="704"/>
      <c r="P74" s="704"/>
      <c r="Q74" s="704"/>
      <c r="R74" s="704"/>
      <c r="S74" s="704"/>
      <c r="T74" s="704"/>
      <c r="U74" s="704"/>
      <c r="V74" s="704"/>
      <c r="W74" s="704"/>
      <c r="X74" s="705"/>
      <c r="Y74" s="138"/>
    </row>
    <row r="75" spans="2:28" s="137" customFormat="1" ht="30" customHeight="1" x14ac:dyDescent="0.25">
      <c r="B75" s="158" t="s">
        <v>42</v>
      </c>
      <c r="C75" s="28" t="s">
        <v>265</v>
      </c>
      <c r="D75" s="28">
        <v>2023</v>
      </c>
      <c r="E75" s="28">
        <v>2024</v>
      </c>
      <c r="F75" s="28">
        <v>2025</v>
      </c>
      <c r="G75" s="28">
        <v>2026</v>
      </c>
      <c r="H75" s="28">
        <v>2027</v>
      </c>
      <c r="I75" s="28">
        <v>2028</v>
      </c>
      <c r="J75" s="28">
        <v>2029</v>
      </c>
      <c r="K75" s="28">
        <v>2030</v>
      </c>
      <c r="L75" s="28">
        <v>2031</v>
      </c>
      <c r="M75" s="28">
        <v>2032</v>
      </c>
      <c r="N75" s="28">
        <v>2033</v>
      </c>
      <c r="O75" s="28">
        <v>2034</v>
      </c>
      <c r="P75" s="28">
        <v>2035</v>
      </c>
      <c r="Q75" s="28">
        <v>2036</v>
      </c>
      <c r="R75" s="28">
        <v>2037</v>
      </c>
      <c r="S75" s="28">
        <v>2038</v>
      </c>
      <c r="T75" s="28">
        <v>2039</v>
      </c>
      <c r="U75" s="28">
        <v>2040</v>
      </c>
      <c r="V75" s="28">
        <v>2041</v>
      </c>
      <c r="W75" s="28">
        <v>2042</v>
      </c>
      <c r="X75" s="28">
        <v>2043</v>
      </c>
      <c r="Y75" s="138"/>
    </row>
    <row r="76" spans="2:28" s="137" customFormat="1" ht="25.2" customHeight="1" x14ac:dyDescent="0.25">
      <c r="B76" s="161">
        <v>1</v>
      </c>
      <c r="C76" s="162" t="s">
        <v>302</v>
      </c>
      <c r="D76" s="163"/>
      <c r="E76" s="163"/>
      <c r="F76" s="163"/>
      <c r="G76" s="163"/>
      <c r="H76" s="163"/>
      <c r="I76" s="163"/>
      <c r="J76" s="163"/>
      <c r="K76" s="163"/>
      <c r="L76" s="163"/>
      <c r="M76" s="30"/>
      <c r="N76" s="30"/>
      <c r="O76" s="30"/>
      <c r="P76" s="30"/>
      <c r="Q76" s="30"/>
      <c r="R76" s="30"/>
      <c r="S76" s="30"/>
      <c r="T76" s="30"/>
      <c r="U76" s="30"/>
      <c r="V76" s="30"/>
      <c r="W76" s="30"/>
      <c r="X76" s="30"/>
      <c r="Y76" s="138"/>
    </row>
    <row r="77" spans="2:28" s="137" customFormat="1" ht="25.2" customHeight="1" x14ac:dyDescent="0.25">
      <c r="B77" s="164" t="s">
        <v>248</v>
      </c>
      <c r="C77" s="165" t="s">
        <v>896</v>
      </c>
      <c r="D77" s="166" t="e">
        <f>Measures_summary!#REF!</f>
        <v>#REF!</v>
      </c>
      <c r="E77" s="163"/>
      <c r="F77" s="163"/>
      <c r="G77" s="163"/>
      <c r="H77" s="163"/>
      <c r="I77" s="163"/>
      <c r="J77" s="163"/>
      <c r="K77" s="163"/>
      <c r="L77" s="163"/>
      <c r="M77" s="163"/>
      <c r="N77" s="163"/>
      <c r="O77" s="163"/>
      <c r="P77" s="163"/>
      <c r="Q77" s="163"/>
      <c r="R77" s="163"/>
      <c r="S77" s="163"/>
      <c r="T77" s="163"/>
      <c r="U77" s="163"/>
      <c r="V77" s="163"/>
      <c r="W77" s="163"/>
      <c r="X77" s="163"/>
      <c r="Y77" s="138"/>
    </row>
    <row r="78" spans="2:28" s="137" customFormat="1" ht="25.2" customHeight="1" x14ac:dyDescent="0.25">
      <c r="B78" s="164" t="s">
        <v>249</v>
      </c>
      <c r="C78" s="165" t="s">
        <v>897</v>
      </c>
      <c r="D78" s="163"/>
      <c r="E78" s="166">
        <f>4%*$D$5</f>
        <v>3045.5159999999996</v>
      </c>
      <c r="F78" s="166">
        <f t="shared" ref="F78:X78" si="61">4%*$D$5</f>
        <v>3045.5159999999996</v>
      </c>
      <c r="G78" s="166">
        <f t="shared" si="61"/>
        <v>3045.5159999999996</v>
      </c>
      <c r="H78" s="166">
        <f t="shared" si="61"/>
        <v>3045.5159999999996</v>
      </c>
      <c r="I78" s="166">
        <f t="shared" si="61"/>
        <v>3045.5159999999996</v>
      </c>
      <c r="J78" s="166">
        <f t="shared" si="61"/>
        <v>3045.5159999999996</v>
      </c>
      <c r="K78" s="166">
        <f t="shared" si="61"/>
        <v>3045.5159999999996</v>
      </c>
      <c r="L78" s="166">
        <f t="shared" si="61"/>
        <v>3045.5159999999996</v>
      </c>
      <c r="M78" s="166">
        <f t="shared" si="61"/>
        <v>3045.5159999999996</v>
      </c>
      <c r="N78" s="166">
        <f t="shared" si="61"/>
        <v>3045.5159999999996</v>
      </c>
      <c r="O78" s="166">
        <f t="shared" si="61"/>
        <v>3045.5159999999996</v>
      </c>
      <c r="P78" s="166">
        <f t="shared" si="61"/>
        <v>3045.5159999999996</v>
      </c>
      <c r="Q78" s="166">
        <f t="shared" si="61"/>
        <v>3045.5159999999996</v>
      </c>
      <c r="R78" s="166">
        <f t="shared" si="61"/>
        <v>3045.5159999999996</v>
      </c>
      <c r="S78" s="166">
        <f t="shared" si="61"/>
        <v>3045.5159999999996</v>
      </c>
      <c r="T78" s="166">
        <f t="shared" si="61"/>
        <v>3045.5159999999996</v>
      </c>
      <c r="U78" s="166">
        <f t="shared" si="61"/>
        <v>3045.5159999999996</v>
      </c>
      <c r="V78" s="166">
        <f t="shared" si="61"/>
        <v>3045.5159999999996</v>
      </c>
      <c r="W78" s="166">
        <f t="shared" si="61"/>
        <v>3045.5159999999996</v>
      </c>
      <c r="X78" s="166">
        <f t="shared" si="61"/>
        <v>3045.5159999999996</v>
      </c>
      <c r="Y78" s="138"/>
    </row>
    <row r="79" spans="2:28" s="137" customFormat="1" ht="25.2" customHeight="1" x14ac:dyDescent="0.25">
      <c r="B79" s="161">
        <v>2</v>
      </c>
      <c r="C79" s="162" t="s">
        <v>303</v>
      </c>
      <c r="D79" s="163"/>
      <c r="E79" s="163"/>
      <c r="F79" s="163"/>
      <c r="G79" s="163"/>
      <c r="H79" s="163"/>
      <c r="I79" s="163"/>
      <c r="J79" s="163"/>
      <c r="K79" s="163"/>
      <c r="L79" s="163"/>
      <c r="M79" s="163"/>
      <c r="N79" s="163"/>
      <c r="O79" s="163"/>
      <c r="P79" s="163"/>
      <c r="Q79" s="163"/>
      <c r="R79" s="163"/>
      <c r="S79" s="163"/>
      <c r="T79" s="163"/>
      <c r="U79" s="163"/>
      <c r="V79" s="163"/>
      <c r="W79" s="163"/>
      <c r="X79" s="163"/>
      <c r="Y79" s="138"/>
    </row>
    <row r="80" spans="2:28" s="137" customFormat="1" ht="25.2" customHeight="1" x14ac:dyDescent="0.25">
      <c r="B80" s="167" t="s">
        <v>250</v>
      </c>
      <c r="C80" s="133" t="s">
        <v>898</v>
      </c>
      <c r="D80" s="163">
        <v>0</v>
      </c>
      <c r="E80" s="166" t="e">
        <f>Measures_summary!#REF!</f>
        <v>#REF!</v>
      </c>
      <c r="F80" s="166" t="e">
        <f t="shared" ref="F80:X80" si="62">$E80*(1.028+0.028*(F75-$F$3))</f>
        <v>#REF!</v>
      </c>
      <c r="G80" s="166" t="e">
        <f t="shared" si="62"/>
        <v>#REF!</v>
      </c>
      <c r="H80" s="166" t="e">
        <f t="shared" si="62"/>
        <v>#REF!</v>
      </c>
      <c r="I80" s="166" t="e">
        <f t="shared" si="62"/>
        <v>#REF!</v>
      </c>
      <c r="J80" s="166" t="e">
        <f t="shared" si="62"/>
        <v>#REF!</v>
      </c>
      <c r="K80" s="166" t="e">
        <f t="shared" si="62"/>
        <v>#REF!</v>
      </c>
      <c r="L80" s="166" t="e">
        <f t="shared" si="62"/>
        <v>#REF!</v>
      </c>
      <c r="M80" s="166" t="e">
        <f t="shared" si="62"/>
        <v>#REF!</v>
      </c>
      <c r="N80" s="166" t="e">
        <f t="shared" si="62"/>
        <v>#REF!</v>
      </c>
      <c r="O80" s="166" t="e">
        <f t="shared" si="62"/>
        <v>#REF!</v>
      </c>
      <c r="P80" s="166" t="e">
        <f t="shared" si="62"/>
        <v>#REF!</v>
      </c>
      <c r="Q80" s="166" t="e">
        <f t="shared" si="62"/>
        <v>#REF!</v>
      </c>
      <c r="R80" s="166" t="e">
        <f t="shared" si="62"/>
        <v>#REF!</v>
      </c>
      <c r="S80" s="166" t="e">
        <f t="shared" si="62"/>
        <v>#REF!</v>
      </c>
      <c r="T80" s="166" t="e">
        <f t="shared" si="62"/>
        <v>#REF!</v>
      </c>
      <c r="U80" s="166" t="e">
        <f t="shared" si="62"/>
        <v>#REF!</v>
      </c>
      <c r="V80" s="166" t="e">
        <f t="shared" si="62"/>
        <v>#REF!</v>
      </c>
      <c r="W80" s="166" t="e">
        <f t="shared" si="62"/>
        <v>#REF!</v>
      </c>
      <c r="X80" s="166" t="e">
        <f t="shared" si="62"/>
        <v>#REF!</v>
      </c>
      <c r="Y80" s="138"/>
    </row>
    <row r="81" spans="2:28" s="137" customFormat="1" ht="25.2" customHeight="1" x14ac:dyDescent="0.25">
      <c r="B81" s="167" t="s">
        <v>251</v>
      </c>
      <c r="C81" s="133" t="s">
        <v>899</v>
      </c>
      <c r="D81" s="163">
        <v>0</v>
      </c>
      <c r="E81" s="166" t="e">
        <f>Measures_summary!#REF!</f>
        <v>#REF!</v>
      </c>
      <c r="F81" s="166" t="e">
        <f t="shared" ref="F81:X81" si="63">$E81*(1.028+0.028*(F75-$F$3))</f>
        <v>#REF!</v>
      </c>
      <c r="G81" s="166" t="e">
        <f t="shared" si="63"/>
        <v>#REF!</v>
      </c>
      <c r="H81" s="166" t="e">
        <f t="shared" si="63"/>
        <v>#REF!</v>
      </c>
      <c r="I81" s="166" t="e">
        <f t="shared" si="63"/>
        <v>#REF!</v>
      </c>
      <c r="J81" s="166" t="e">
        <f t="shared" si="63"/>
        <v>#REF!</v>
      </c>
      <c r="K81" s="166" t="e">
        <f t="shared" si="63"/>
        <v>#REF!</v>
      </c>
      <c r="L81" s="166" t="e">
        <f t="shared" si="63"/>
        <v>#REF!</v>
      </c>
      <c r="M81" s="166" t="e">
        <f t="shared" si="63"/>
        <v>#REF!</v>
      </c>
      <c r="N81" s="166" t="e">
        <f t="shared" si="63"/>
        <v>#REF!</v>
      </c>
      <c r="O81" s="166" t="e">
        <f t="shared" si="63"/>
        <v>#REF!</v>
      </c>
      <c r="P81" s="166" t="e">
        <f t="shared" si="63"/>
        <v>#REF!</v>
      </c>
      <c r="Q81" s="166" t="e">
        <f t="shared" si="63"/>
        <v>#REF!</v>
      </c>
      <c r="R81" s="166" t="e">
        <f t="shared" si="63"/>
        <v>#REF!</v>
      </c>
      <c r="S81" s="166" t="e">
        <f t="shared" si="63"/>
        <v>#REF!</v>
      </c>
      <c r="T81" s="166" t="e">
        <f t="shared" si="63"/>
        <v>#REF!</v>
      </c>
      <c r="U81" s="166" t="e">
        <f t="shared" si="63"/>
        <v>#REF!</v>
      </c>
      <c r="V81" s="166" t="e">
        <f t="shared" si="63"/>
        <v>#REF!</v>
      </c>
      <c r="W81" s="166" t="e">
        <f t="shared" si="63"/>
        <v>#REF!</v>
      </c>
      <c r="X81" s="166" t="e">
        <f t="shared" si="63"/>
        <v>#REF!</v>
      </c>
      <c r="Y81" s="138"/>
    </row>
    <row r="82" spans="2:28" s="137" customFormat="1" ht="25.2" customHeight="1" x14ac:dyDescent="0.25">
      <c r="B82" s="167" t="s">
        <v>252</v>
      </c>
      <c r="C82" s="133" t="s">
        <v>900</v>
      </c>
      <c r="D82" s="168" t="e">
        <f t="shared" ref="D82" si="64">D80-(D77+D78)</f>
        <v>#REF!</v>
      </c>
      <c r="E82" s="168" t="e">
        <f>E80-(E77+E78)</f>
        <v>#REF!</v>
      </c>
      <c r="F82" s="168" t="e">
        <f t="shared" ref="F82:X82" si="65">F80-(F77+F78)</f>
        <v>#REF!</v>
      </c>
      <c r="G82" s="168" t="e">
        <f t="shared" si="65"/>
        <v>#REF!</v>
      </c>
      <c r="H82" s="168" t="e">
        <f t="shared" si="65"/>
        <v>#REF!</v>
      </c>
      <c r="I82" s="168" t="e">
        <f t="shared" si="65"/>
        <v>#REF!</v>
      </c>
      <c r="J82" s="168" t="e">
        <f t="shared" si="65"/>
        <v>#REF!</v>
      </c>
      <c r="K82" s="168" t="e">
        <f t="shared" si="65"/>
        <v>#REF!</v>
      </c>
      <c r="L82" s="168" t="e">
        <f t="shared" si="65"/>
        <v>#REF!</v>
      </c>
      <c r="M82" s="168" t="e">
        <f t="shared" si="65"/>
        <v>#REF!</v>
      </c>
      <c r="N82" s="168" t="e">
        <f t="shared" si="65"/>
        <v>#REF!</v>
      </c>
      <c r="O82" s="168" t="e">
        <f t="shared" si="65"/>
        <v>#REF!</v>
      </c>
      <c r="P82" s="168" t="e">
        <f t="shared" si="65"/>
        <v>#REF!</v>
      </c>
      <c r="Q82" s="168" t="e">
        <f t="shared" si="65"/>
        <v>#REF!</v>
      </c>
      <c r="R82" s="168" t="e">
        <f t="shared" si="65"/>
        <v>#REF!</v>
      </c>
      <c r="S82" s="168" t="e">
        <f t="shared" si="65"/>
        <v>#REF!</v>
      </c>
      <c r="T82" s="168" t="e">
        <f t="shared" si="65"/>
        <v>#REF!</v>
      </c>
      <c r="U82" s="168" t="e">
        <f t="shared" si="65"/>
        <v>#REF!</v>
      </c>
      <c r="V82" s="168" t="e">
        <f t="shared" si="65"/>
        <v>#REF!</v>
      </c>
      <c r="W82" s="168" t="e">
        <f t="shared" si="65"/>
        <v>#REF!</v>
      </c>
      <c r="X82" s="168" t="e">
        <f t="shared" si="65"/>
        <v>#REF!</v>
      </c>
      <c r="Y82" s="138"/>
    </row>
    <row r="83" spans="2:28" s="137" customFormat="1" ht="25.2" customHeight="1" x14ac:dyDescent="0.25">
      <c r="B83" s="167" t="s">
        <v>253</v>
      </c>
      <c r="C83" s="133" t="s">
        <v>901</v>
      </c>
      <c r="D83" s="168" t="e">
        <f t="shared" ref="D83:X83" si="66">D81-(D77+D78)</f>
        <v>#REF!</v>
      </c>
      <c r="E83" s="168" t="e">
        <f t="shared" si="66"/>
        <v>#REF!</v>
      </c>
      <c r="F83" s="168" t="e">
        <f t="shared" si="66"/>
        <v>#REF!</v>
      </c>
      <c r="G83" s="168" t="e">
        <f t="shared" si="66"/>
        <v>#REF!</v>
      </c>
      <c r="H83" s="168" t="e">
        <f t="shared" si="66"/>
        <v>#REF!</v>
      </c>
      <c r="I83" s="168" t="e">
        <f t="shared" si="66"/>
        <v>#REF!</v>
      </c>
      <c r="J83" s="168" t="e">
        <f t="shared" si="66"/>
        <v>#REF!</v>
      </c>
      <c r="K83" s="168" t="e">
        <f t="shared" si="66"/>
        <v>#REF!</v>
      </c>
      <c r="L83" s="168" t="e">
        <f t="shared" si="66"/>
        <v>#REF!</v>
      </c>
      <c r="M83" s="168" t="e">
        <f t="shared" si="66"/>
        <v>#REF!</v>
      </c>
      <c r="N83" s="168" t="e">
        <f t="shared" si="66"/>
        <v>#REF!</v>
      </c>
      <c r="O83" s="168" t="e">
        <f t="shared" si="66"/>
        <v>#REF!</v>
      </c>
      <c r="P83" s="168" t="e">
        <f t="shared" si="66"/>
        <v>#REF!</v>
      </c>
      <c r="Q83" s="168" t="e">
        <f t="shared" si="66"/>
        <v>#REF!</v>
      </c>
      <c r="R83" s="168" t="e">
        <f t="shared" si="66"/>
        <v>#REF!</v>
      </c>
      <c r="S83" s="168" t="e">
        <f t="shared" si="66"/>
        <v>#REF!</v>
      </c>
      <c r="T83" s="168" t="e">
        <f t="shared" si="66"/>
        <v>#REF!</v>
      </c>
      <c r="U83" s="168" t="e">
        <f t="shared" si="66"/>
        <v>#REF!</v>
      </c>
      <c r="V83" s="168" t="e">
        <f t="shared" si="66"/>
        <v>#REF!</v>
      </c>
      <c r="W83" s="168" t="e">
        <f t="shared" si="66"/>
        <v>#REF!</v>
      </c>
      <c r="X83" s="168" t="e">
        <f t="shared" si="66"/>
        <v>#REF!</v>
      </c>
      <c r="Y83" s="138"/>
    </row>
    <row r="84" spans="2:28" s="137" customFormat="1" ht="25.2" customHeight="1" x14ac:dyDescent="0.25">
      <c r="B84" s="161" t="s">
        <v>254</v>
      </c>
      <c r="C84" s="169" t="s">
        <v>304</v>
      </c>
      <c r="D84" s="170"/>
      <c r="E84" s="170"/>
      <c r="F84" s="170"/>
      <c r="G84" s="170"/>
      <c r="H84" s="170"/>
      <c r="I84" s="170"/>
      <c r="J84" s="170"/>
      <c r="K84" s="170"/>
      <c r="L84" s="170"/>
      <c r="M84" s="170"/>
      <c r="N84" s="170"/>
      <c r="O84" s="170"/>
      <c r="P84" s="170"/>
      <c r="Q84" s="170"/>
      <c r="R84" s="170"/>
      <c r="S84" s="170"/>
      <c r="T84" s="170"/>
      <c r="U84" s="170"/>
      <c r="V84" s="170"/>
      <c r="W84" s="170"/>
      <c r="X84" s="170"/>
      <c r="Y84" s="138"/>
    </row>
    <row r="85" spans="2:28" s="137" customFormat="1" ht="25.2" customHeight="1" x14ac:dyDescent="0.25">
      <c r="B85" s="167" t="s">
        <v>255</v>
      </c>
      <c r="C85" s="133" t="s">
        <v>902</v>
      </c>
      <c r="D85" s="168" t="e">
        <f>D82</f>
        <v>#REF!</v>
      </c>
      <c r="E85" s="178" t="e">
        <f t="shared" ref="E85:X85" si="67">E80/POWER(1+0.04,E$3-$D$3)</f>
        <v>#REF!</v>
      </c>
      <c r="F85" s="178" t="e">
        <f t="shared" si="67"/>
        <v>#REF!</v>
      </c>
      <c r="G85" s="178" t="e">
        <f t="shared" si="67"/>
        <v>#REF!</v>
      </c>
      <c r="H85" s="178" t="e">
        <f t="shared" si="67"/>
        <v>#REF!</v>
      </c>
      <c r="I85" s="178" t="e">
        <f t="shared" si="67"/>
        <v>#REF!</v>
      </c>
      <c r="J85" s="178" t="e">
        <f t="shared" si="67"/>
        <v>#REF!</v>
      </c>
      <c r="K85" s="178" t="e">
        <f t="shared" si="67"/>
        <v>#REF!</v>
      </c>
      <c r="L85" s="178" t="e">
        <f t="shared" si="67"/>
        <v>#REF!</v>
      </c>
      <c r="M85" s="178" t="e">
        <f t="shared" si="67"/>
        <v>#REF!</v>
      </c>
      <c r="N85" s="178" t="e">
        <f t="shared" si="67"/>
        <v>#REF!</v>
      </c>
      <c r="O85" s="178" t="e">
        <f t="shared" si="67"/>
        <v>#REF!</v>
      </c>
      <c r="P85" s="178" t="e">
        <f t="shared" si="67"/>
        <v>#REF!</v>
      </c>
      <c r="Q85" s="178" t="e">
        <f t="shared" si="67"/>
        <v>#REF!</v>
      </c>
      <c r="R85" s="178" t="e">
        <f t="shared" si="67"/>
        <v>#REF!</v>
      </c>
      <c r="S85" s="178" t="e">
        <f t="shared" si="67"/>
        <v>#REF!</v>
      </c>
      <c r="T85" s="178" t="e">
        <f t="shared" si="67"/>
        <v>#REF!</v>
      </c>
      <c r="U85" s="178" t="e">
        <f t="shared" si="67"/>
        <v>#REF!</v>
      </c>
      <c r="V85" s="178" t="e">
        <f t="shared" si="67"/>
        <v>#REF!</v>
      </c>
      <c r="W85" s="178" t="e">
        <f t="shared" si="67"/>
        <v>#REF!</v>
      </c>
      <c r="X85" s="178" t="e">
        <f t="shared" si="67"/>
        <v>#REF!</v>
      </c>
      <c r="Y85" s="138"/>
    </row>
    <row r="86" spans="2:28" s="137" customFormat="1" ht="25.2" customHeight="1" x14ac:dyDescent="0.25">
      <c r="B86" s="167" t="s">
        <v>256</v>
      </c>
      <c r="C86" s="133" t="s">
        <v>903</v>
      </c>
      <c r="D86" s="168" t="e">
        <f>D83</f>
        <v>#REF!</v>
      </c>
      <c r="E86" s="178" t="e">
        <f t="shared" ref="E86:X86" si="68">E81/POWER(1+0.04,E$3-$D$3)</f>
        <v>#REF!</v>
      </c>
      <c r="F86" s="178" t="e">
        <f t="shared" si="68"/>
        <v>#REF!</v>
      </c>
      <c r="G86" s="178" t="e">
        <f t="shared" si="68"/>
        <v>#REF!</v>
      </c>
      <c r="H86" s="178" t="e">
        <f t="shared" si="68"/>
        <v>#REF!</v>
      </c>
      <c r="I86" s="178" t="e">
        <f t="shared" si="68"/>
        <v>#REF!</v>
      </c>
      <c r="J86" s="178" t="e">
        <f t="shared" si="68"/>
        <v>#REF!</v>
      </c>
      <c r="K86" s="178" t="e">
        <f t="shared" si="68"/>
        <v>#REF!</v>
      </c>
      <c r="L86" s="178" t="e">
        <f t="shared" si="68"/>
        <v>#REF!</v>
      </c>
      <c r="M86" s="178" t="e">
        <f t="shared" si="68"/>
        <v>#REF!</v>
      </c>
      <c r="N86" s="178" t="e">
        <f t="shared" si="68"/>
        <v>#REF!</v>
      </c>
      <c r="O86" s="178" t="e">
        <f t="shared" si="68"/>
        <v>#REF!</v>
      </c>
      <c r="P86" s="178" t="e">
        <f t="shared" si="68"/>
        <v>#REF!</v>
      </c>
      <c r="Q86" s="178" t="e">
        <f t="shared" si="68"/>
        <v>#REF!</v>
      </c>
      <c r="R86" s="178" t="e">
        <f t="shared" si="68"/>
        <v>#REF!</v>
      </c>
      <c r="S86" s="178" t="e">
        <f t="shared" si="68"/>
        <v>#REF!</v>
      </c>
      <c r="T86" s="178" t="e">
        <f t="shared" si="68"/>
        <v>#REF!</v>
      </c>
      <c r="U86" s="178" t="e">
        <f t="shared" si="68"/>
        <v>#REF!</v>
      </c>
      <c r="V86" s="178" t="e">
        <f t="shared" si="68"/>
        <v>#REF!</v>
      </c>
      <c r="W86" s="178" t="e">
        <f t="shared" si="68"/>
        <v>#REF!</v>
      </c>
      <c r="X86" s="178" t="e">
        <f t="shared" si="68"/>
        <v>#REF!</v>
      </c>
      <c r="Y86" s="138"/>
    </row>
    <row r="87" spans="2:28" s="137" customFormat="1" ht="25.2" customHeight="1" x14ac:dyDescent="0.25">
      <c r="B87" s="167" t="s">
        <v>257</v>
      </c>
      <c r="C87" s="133" t="s">
        <v>904</v>
      </c>
      <c r="D87" s="166" t="e">
        <f>NPV(0.04,E82:X82)+D82</f>
        <v>#REF!</v>
      </c>
      <c r="E87" s="179"/>
      <c r="F87" s="171"/>
      <c r="G87" s="171"/>
      <c r="H87" s="171"/>
      <c r="I87" s="171"/>
      <c r="J87" s="171"/>
      <c r="K87" s="171"/>
      <c r="L87" s="171"/>
      <c r="M87" s="171"/>
      <c r="N87" s="171"/>
      <c r="O87" s="171"/>
      <c r="P87" s="171"/>
      <c r="Q87" s="171"/>
      <c r="R87" s="171"/>
      <c r="S87" s="171"/>
      <c r="T87" s="171"/>
      <c r="U87" s="171"/>
      <c r="V87" s="171"/>
      <c r="W87" s="171"/>
      <c r="X87" s="171"/>
      <c r="Y87" s="138"/>
    </row>
    <row r="88" spans="2:28" s="137" customFormat="1" ht="25.2" customHeight="1" x14ac:dyDescent="0.25">
      <c r="B88" s="167" t="s">
        <v>258</v>
      </c>
      <c r="C88" s="133" t="s">
        <v>905</v>
      </c>
      <c r="D88" s="166" t="e">
        <f>NPV(0.04,E83:X83)+D83</f>
        <v>#REF!</v>
      </c>
      <c r="E88" s="171"/>
      <c r="F88" s="171"/>
      <c r="G88" s="171"/>
      <c r="H88" s="171"/>
      <c r="I88" s="171"/>
      <c r="J88" s="171"/>
      <c r="K88" s="171"/>
      <c r="L88" s="171"/>
      <c r="M88" s="171"/>
      <c r="N88" s="171"/>
      <c r="O88" s="171"/>
      <c r="P88" s="171"/>
      <c r="Q88" s="171"/>
      <c r="R88" s="171"/>
      <c r="S88" s="171"/>
      <c r="T88" s="171"/>
      <c r="U88" s="171"/>
      <c r="V88" s="171"/>
      <c r="W88" s="171"/>
      <c r="X88" s="171"/>
      <c r="Y88" s="138"/>
    </row>
    <row r="89" spans="2:28" s="137" customFormat="1" ht="25.2" customHeight="1" x14ac:dyDescent="0.25">
      <c r="B89" s="167" t="s">
        <v>259</v>
      </c>
      <c r="C89" s="133" t="s">
        <v>906</v>
      </c>
      <c r="D89" s="168" t="e">
        <f>D80-(D77+D78)</f>
        <v>#REF!</v>
      </c>
      <c r="E89" s="178" t="e">
        <f>D89+E85</f>
        <v>#REF!</v>
      </c>
      <c r="F89" s="166" t="e">
        <f t="shared" ref="F89:F90" si="69">E89+F85</f>
        <v>#REF!</v>
      </c>
      <c r="G89" s="166" t="e">
        <f t="shared" ref="G89:G90" si="70">F89+G85</f>
        <v>#REF!</v>
      </c>
      <c r="H89" s="166" t="e">
        <f t="shared" ref="H89:H90" si="71">G89+H85</f>
        <v>#REF!</v>
      </c>
      <c r="I89" s="166" t="e">
        <f t="shared" ref="I89:I90" si="72">H89+I85</f>
        <v>#REF!</v>
      </c>
      <c r="J89" s="166" t="e">
        <f t="shared" ref="J89:J90" si="73">I89+J85</f>
        <v>#REF!</v>
      </c>
      <c r="K89" s="166" t="e">
        <f t="shared" ref="K89:K90" si="74">J89+K85</f>
        <v>#REF!</v>
      </c>
      <c r="L89" s="166" t="e">
        <f t="shared" ref="L89:L90" si="75">K89+L85</f>
        <v>#REF!</v>
      </c>
      <c r="M89" s="166" t="e">
        <f t="shared" ref="M89:M90" si="76">L89+M85</f>
        <v>#REF!</v>
      </c>
      <c r="N89" s="166" t="e">
        <f t="shared" ref="N89:N90" si="77">M89+N85</f>
        <v>#REF!</v>
      </c>
      <c r="O89" s="166" t="e">
        <f t="shared" ref="O89:O90" si="78">N89+O85</f>
        <v>#REF!</v>
      </c>
      <c r="P89" s="166" t="e">
        <f t="shared" ref="P89:P90" si="79">O89+P85</f>
        <v>#REF!</v>
      </c>
      <c r="Q89" s="166" t="e">
        <f t="shared" ref="Q89:Q90" si="80">P89+Q85</f>
        <v>#REF!</v>
      </c>
      <c r="R89" s="166" t="e">
        <f t="shared" ref="R89:R90" si="81">Q89+R85</f>
        <v>#REF!</v>
      </c>
      <c r="S89" s="166" t="e">
        <f t="shared" ref="S89:S90" si="82">R89+S85</f>
        <v>#REF!</v>
      </c>
      <c r="T89" s="166" t="e">
        <f t="shared" ref="T89:T90" si="83">S89+T85</f>
        <v>#REF!</v>
      </c>
      <c r="U89" s="166" t="e">
        <f t="shared" ref="U89:U90" si="84">T89+U85</f>
        <v>#REF!</v>
      </c>
      <c r="V89" s="166" t="e">
        <f t="shared" ref="V89:V90" si="85">U89+V85</f>
        <v>#REF!</v>
      </c>
      <c r="W89" s="166" t="e">
        <f t="shared" ref="W89:W90" si="86">V89+W85</f>
        <v>#REF!</v>
      </c>
      <c r="X89" s="166" t="e">
        <f t="shared" ref="X89:X90" si="87">W89+X85</f>
        <v>#REF!</v>
      </c>
      <c r="Y89" s="138"/>
      <c r="Z89" s="213"/>
      <c r="AA89" s="215"/>
      <c r="AB89" s="214"/>
    </row>
    <row r="90" spans="2:28" s="137" customFormat="1" ht="25.2" customHeight="1" x14ac:dyDescent="0.25">
      <c r="B90" s="167" t="s">
        <v>260</v>
      </c>
      <c r="C90" s="133" t="s">
        <v>907</v>
      </c>
      <c r="D90" s="168" t="e">
        <f>D81-(D77+D78)</f>
        <v>#REF!</v>
      </c>
      <c r="E90" s="178" t="e">
        <f>D90+E86</f>
        <v>#REF!</v>
      </c>
      <c r="F90" s="166" t="e">
        <f t="shared" si="69"/>
        <v>#REF!</v>
      </c>
      <c r="G90" s="166" t="e">
        <f t="shared" si="70"/>
        <v>#REF!</v>
      </c>
      <c r="H90" s="166" t="e">
        <f t="shared" si="71"/>
        <v>#REF!</v>
      </c>
      <c r="I90" s="166" t="e">
        <f t="shared" si="72"/>
        <v>#REF!</v>
      </c>
      <c r="J90" s="166" t="e">
        <f t="shared" si="73"/>
        <v>#REF!</v>
      </c>
      <c r="K90" s="166" t="e">
        <f t="shared" si="74"/>
        <v>#REF!</v>
      </c>
      <c r="L90" s="166" t="e">
        <f t="shared" si="75"/>
        <v>#REF!</v>
      </c>
      <c r="M90" s="166" t="e">
        <f t="shared" si="76"/>
        <v>#REF!</v>
      </c>
      <c r="N90" s="166" t="e">
        <f t="shared" si="77"/>
        <v>#REF!</v>
      </c>
      <c r="O90" s="166" t="e">
        <f t="shared" si="78"/>
        <v>#REF!</v>
      </c>
      <c r="P90" s="166" t="e">
        <f t="shared" si="79"/>
        <v>#REF!</v>
      </c>
      <c r="Q90" s="166" t="e">
        <f t="shared" si="80"/>
        <v>#REF!</v>
      </c>
      <c r="R90" s="166" t="e">
        <f t="shared" si="81"/>
        <v>#REF!</v>
      </c>
      <c r="S90" s="166" t="e">
        <f t="shared" si="82"/>
        <v>#REF!</v>
      </c>
      <c r="T90" s="166" t="e">
        <f t="shared" si="83"/>
        <v>#REF!</v>
      </c>
      <c r="U90" s="166" t="e">
        <f t="shared" si="84"/>
        <v>#REF!</v>
      </c>
      <c r="V90" s="166" t="e">
        <f t="shared" si="85"/>
        <v>#REF!</v>
      </c>
      <c r="W90" s="166" t="e">
        <f t="shared" si="86"/>
        <v>#REF!</v>
      </c>
      <c r="X90" s="166" t="e">
        <f t="shared" si="87"/>
        <v>#REF!</v>
      </c>
      <c r="Y90" s="138"/>
      <c r="Z90" s="213"/>
    </row>
    <row r="91" spans="2:28" s="137" customFormat="1" ht="25.2" customHeight="1" x14ac:dyDescent="0.25">
      <c r="B91" s="167" t="s">
        <v>261</v>
      </c>
      <c r="C91" s="133" t="s">
        <v>316</v>
      </c>
      <c r="D91" s="216" t="e">
        <f t="array" aca="1" ref="D91" ca="1">MATCH(TRUE,INDEX($E89:$X89&gt;0,0),0)+(-LOOKUP(9.99999999999999E+307, IF($E89:$X89&lt;0, $E89:$X89))/LOOKUP(9.99999999999999E+307, IF($E89:$X89&lt;0, OFFSET($E85:$X85,0,1))))</f>
        <v>#N/A</v>
      </c>
      <c r="E91" s="171"/>
      <c r="F91" s="171"/>
      <c r="G91" s="171"/>
      <c r="H91" s="171"/>
      <c r="I91" s="171"/>
      <c r="J91" s="171"/>
      <c r="K91" s="171"/>
      <c r="L91" s="171"/>
      <c r="M91" s="171"/>
      <c r="N91" s="171"/>
      <c r="O91" s="171"/>
      <c r="P91" s="171"/>
      <c r="Q91" s="171"/>
      <c r="R91" s="171"/>
      <c r="S91" s="171"/>
      <c r="T91" s="171"/>
      <c r="U91" s="171"/>
      <c r="V91" s="171"/>
      <c r="W91" s="171"/>
      <c r="X91" s="171"/>
      <c r="Y91" s="138"/>
    </row>
    <row r="92" spans="2:28" s="137" customFormat="1" ht="25.2" customHeight="1" x14ac:dyDescent="0.25">
      <c r="B92" s="167" t="s">
        <v>262</v>
      </c>
      <c r="C92" s="133" t="s">
        <v>317</v>
      </c>
      <c r="D92" s="216" t="e">
        <f t="array" aca="1" ref="D92" ca="1">MATCH(TRUE,INDEX($E90:$X90&gt;0,0),0)+(-LOOKUP(9.99999999999999E+307, IF($E90:$X90&lt;0, $E90:$X90))/LOOKUP(9.99999999999999E+307, IF($E90:$X90&lt;0, OFFSET($E86:$X86,0,1))))</f>
        <v>#N/A</v>
      </c>
      <c r="E92" s="171"/>
      <c r="F92" s="171"/>
      <c r="G92" s="171"/>
      <c r="H92" s="171"/>
      <c r="I92" s="171"/>
      <c r="J92" s="171"/>
      <c r="K92" s="171"/>
      <c r="L92" s="171"/>
      <c r="M92" s="171"/>
      <c r="N92" s="171"/>
      <c r="O92" s="171"/>
      <c r="P92" s="171"/>
      <c r="Q92" s="171"/>
      <c r="R92" s="171"/>
      <c r="S92" s="171"/>
      <c r="T92" s="171"/>
      <c r="U92" s="171"/>
      <c r="V92" s="171"/>
      <c r="W92" s="171"/>
      <c r="X92" s="171"/>
      <c r="Y92" s="138"/>
    </row>
    <row r="93" spans="2:28" s="137" customFormat="1" ht="25.2" customHeight="1" x14ac:dyDescent="0.25">
      <c r="B93" s="167" t="s">
        <v>263</v>
      </c>
      <c r="C93" s="133" t="s">
        <v>319</v>
      </c>
      <c r="D93" s="172" t="e">
        <f>IRR(D82:X82)</f>
        <v>#VALUE!</v>
      </c>
      <c r="E93" s="180"/>
      <c r="F93" s="171"/>
      <c r="G93" s="171"/>
      <c r="H93" s="171"/>
      <c r="I93" s="171"/>
      <c r="J93" s="171"/>
      <c r="K93" s="171"/>
      <c r="L93" s="171"/>
      <c r="M93" s="171"/>
      <c r="N93" s="171"/>
      <c r="O93" s="171"/>
      <c r="P93" s="171"/>
      <c r="Q93" s="171"/>
      <c r="R93" s="171"/>
      <c r="S93" s="171"/>
      <c r="T93" s="171"/>
      <c r="U93" s="171"/>
      <c r="V93" s="171"/>
      <c r="W93" s="171"/>
      <c r="X93" s="171"/>
      <c r="Y93" s="138"/>
    </row>
    <row r="94" spans="2:28" s="137" customFormat="1" ht="25.2" customHeight="1" x14ac:dyDescent="0.25">
      <c r="B94" s="167" t="s">
        <v>264</v>
      </c>
      <c r="C94" s="133" t="s">
        <v>320</v>
      </c>
      <c r="D94" s="172" t="e">
        <f>IRR(D83:X83)</f>
        <v>#VALUE!</v>
      </c>
      <c r="E94" s="171"/>
      <c r="F94" s="171"/>
      <c r="G94" s="171"/>
      <c r="H94" s="171"/>
      <c r="I94" s="171"/>
      <c r="J94" s="171"/>
      <c r="K94" s="171"/>
      <c r="L94" s="171"/>
      <c r="M94" s="171"/>
      <c r="N94" s="171"/>
      <c r="O94" s="171"/>
      <c r="P94" s="171"/>
      <c r="Q94" s="171"/>
      <c r="R94" s="171"/>
      <c r="S94" s="171"/>
      <c r="T94" s="171"/>
      <c r="U94" s="171"/>
      <c r="V94" s="171"/>
      <c r="W94" s="171"/>
      <c r="X94" s="171"/>
      <c r="Y94" s="138"/>
    </row>
    <row r="95" spans="2:28" s="137" customFormat="1" ht="116.85" customHeight="1" x14ac:dyDescent="0.25">
      <c r="B95" s="839" t="s">
        <v>266</v>
      </c>
      <c r="C95" s="839"/>
      <c r="D95" s="839"/>
      <c r="E95" s="839"/>
      <c r="F95" s="839"/>
      <c r="G95" s="839"/>
      <c r="H95" s="839"/>
      <c r="I95" s="839"/>
      <c r="J95" s="839"/>
      <c r="K95" s="839"/>
      <c r="L95" s="839"/>
      <c r="M95" s="839"/>
      <c r="N95" s="839"/>
      <c r="O95" s="839"/>
      <c r="P95" s="839"/>
      <c r="Q95" s="839"/>
      <c r="R95" s="839"/>
      <c r="S95" s="839"/>
      <c r="T95" s="839"/>
      <c r="U95" s="839"/>
      <c r="V95" s="839"/>
      <c r="W95" s="839"/>
      <c r="X95" s="839"/>
      <c r="Y95" s="138"/>
    </row>
    <row r="98" spans="2:25" s="137" customFormat="1" ht="30" customHeight="1" x14ac:dyDescent="0.25">
      <c r="B98" s="217" t="s">
        <v>471</v>
      </c>
      <c r="C98" s="703" t="str">
        <f>Measures_summary!C8</f>
        <v>Mechanical ventilation with heat recovery</v>
      </c>
      <c r="D98" s="704"/>
      <c r="E98" s="704"/>
      <c r="F98" s="704"/>
      <c r="G98" s="704"/>
      <c r="H98" s="704"/>
      <c r="I98" s="704"/>
      <c r="J98" s="704"/>
      <c r="K98" s="704"/>
      <c r="L98" s="704"/>
      <c r="M98" s="704"/>
      <c r="N98" s="704"/>
      <c r="O98" s="704"/>
      <c r="P98" s="704"/>
      <c r="Q98" s="704"/>
      <c r="R98" s="704"/>
      <c r="S98" s="704"/>
      <c r="T98" s="704"/>
      <c r="U98" s="704"/>
      <c r="V98" s="704"/>
      <c r="W98" s="704"/>
      <c r="X98" s="705"/>
      <c r="Y98" s="138"/>
    </row>
    <row r="99" spans="2:25" s="137" customFormat="1" ht="30" customHeight="1" x14ac:dyDescent="0.25">
      <c r="B99" s="158" t="s">
        <v>42</v>
      </c>
      <c r="C99" s="28" t="s">
        <v>265</v>
      </c>
      <c r="D99" s="28">
        <v>2023</v>
      </c>
      <c r="E99" s="28">
        <v>2024</v>
      </c>
      <c r="F99" s="28">
        <v>2025</v>
      </c>
      <c r="G99" s="28">
        <v>2026</v>
      </c>
      <c r="H99" s="28">
        <v>2027</v>
      </c>
      <c r="I99" s="28">
        <v>2028</v>
      </c>
      <c r="J99" s="28">
        <v>2029</v>
      </c>
      <c r="K99" s="28">
        <v>2030</v>
      </c>
      <c r="L99" s="28">
        <v>2031</v>
      </c>
      <c r="M99" s="28">
        <v>2032</v>
      </c>
      <c r="N99" s="28">
        <v>2033</v>
      </c>
      <c r="O99" s="28">
        <v>2034</v>
      </c>
      <c r="P99" s="28">
        <v>2035</v>
      </c>
      <c r="Q99" s="28">
        <v>2036</v>
      </c>
      <c r="R99" s="28">
        <v>2037</v>
      </c>
      <c r="S99" s="28">
        <v>2038</v>
      </c>
      <c r="T99" s="28">
        <v>2039</v>
      </c>
      <c r="U99" s="28">
        <v>2040</v>
      </c>
      <c r="V99" s="28">
        <v>2041</v>
      </c>
      <c r="W99" s="28">
        <v>2042</v>
      </c>
      <c r="X99" s="28">
        <v>2043</v>
      </c>
      <c r="Y99" s="138"/>
    </row>
    <row r="100" spans="2:25" s="137" customFormat="1" ht="25.2" customHeight="1" x14ac:dyDescent="0.25">
      <c r="B100" s="161">
        <v>1</v>
      </c>
      <c r="C100" s="162" t="s">
        <v>302</v>
      </c>
      <c r="D100" s="163"/>
      <c r="E100" s="163"/>
      <c r="F100" s="163"/>
      <c r="G100" s="163"/>
      <c r="H100" s="163"/>
      <c r="I100" s="163"/>
      <c r="J100" s="163"/>
      <c r="K100" s="163"/>
      <c r="L100" s="163"/>
      <c r="M100" s="30"/>
      <c r="N100" s="30"/>
      <c r="O100" s="30"/>
      <c r="P100" s="30"/>
      <c r="Q100" s="30"/>
      <c r="R100" s="30"/>
      <c r="S100" s="30"/>
      <c r="T100" s="30"/>
      <c r="U100" s="30"/>
      <c r="V100" s="30"/>
      <c r="W100" s="30"/>
      <c r="X100" s="30"/>
      <c r="Y100" s="138"/>
    </row>
    <row r="101" spans="2:25" s="137" customFormat="1" ht="25.2" customHeight="1" x14ac:dyDescent="0.25">
      <c r="B101" s="164" t="s">
        <v>248</v>
      </c>
      <c r="C101" s="165" t="s">
        <v>896</v>
      </c>
      <c r="D101" s="166">
        <f>Measures_summary!D8</f>
        <v>20139</v>
      </c>
      <c r="E101" s="163"/>
      <c r="F101" s="163"/>
      <c r="G101" s="163"/>
      <c r="H101" s="163"/>
      <c r="I101" s="163"/>
      <c r="J101" s="163"/>
      <c r="K101" s="163"/>
      <c r="L101" s="163"/>
      <c r="M101" s="163"/>
      <c r="N101" s="163"/>
      <c r="O101" s="163"/>
      <c r="P101" s="163"/>
      <c r="Q101" s="163"/>
      <c r="R101" s="163"/>
      <c r="S101" s="163"/>
      <c r="T101" s="163"/>
      <c r="U101" s="163"/>
      <c r="V101" s="163"/>
      <c r="W101" s="163"/>
      <c r="X101" s="163"/>
      <c r="Y101" s="138"/>
    </row>
    <row r="102" spans="2:25" s="137" customFormat="1" ht="25.2" customHeight="1" x14ac:dyDescent="0.25">
      <c r="B102" s="164" t="s">
        <v>249</v>
      </c>
      <c r="C102" s="165" t="s">
        <v>897</v>
      </c>
      <c r="D102" s="163"/>
      <c r="E102" s="166">
        <f>4%*$D$5</f>
        <v>3045.5159999999996</v>
      </c>
      <c r="F102" s="166">
        <f t="shared" ref="F102:X102" si="88">4%*$D$5</f>
        <v>3045.5159999999996</v>
      </c>
      <c r="G102" s="166">
        <f t="shared" si="88"/>
        <v>3045.5159999999996</v>
      </c>
      <c r="H102" s="166">
        <f t="shared" si="88"/>
        <v>3045.5159999999996</v>
      </c>
      <c r="I102" s="166">
        <f t="shared" si="88"/>
        <v>3045.5159999999996</v>
      </c>
      <c r="J102" s="166">
        <f t="shared" si="88"/>
        <v>3045.5159999999996</v>
      </c>
      <c r="K102" s="166">
        <f t="shared" si="88"/>
        <v>3045.5159999999996</v>
      </c>
      <c r="L102" s="166">
        <f t="shared" si="88"/>
        <v>3045.5159999999996</v>
      </c>
      <c r="M102" s="166">
        <f t="shared" si="88"/>
        <v>3045.5159999999996</v>
      </c>
      <c r="N102" s="166">
        <f t="shared" si="88"/>
        <v>3045.5159999999996</v>
      </c>
      <c r="O102" s="166">
        <f t="shared" si="88"/>
        <v>3045.5159999999996</v>
      </c>
      <c r="P102" s="166">
        <f t="shared" si="88"/>
        <v>3045.5159999999996</v>
      </c>
      <c r="Q102" s="166">
        <f t="shared" si="88"/>
        <v>3045.5159999999996</v>
      </c>
      <c r="R102" s="166">
        <f t="shared" si="88"/>
        <v>3045.5159999999996</v>
      </c>
      <c r="S102" s="166">
        <f t="shared" si="88"/>
        <v>3045.5159999999996</v>
      </c>
      <c r="T102" s="166">
        <f t="shared" si="88"/>
        <v>3045.5159999999996</v>
      </c>
      <c r="U102" s="166">
        <f t="shared" si="88"/>
        <v>3045.5159999999996</v>
      </c>
      <c r="V102" s="166">
        <f t="shared" si="88"/>
        <v>3045.5159999999996</v>
      </c>
      <c r="W102" s="166">
        <f t="shared" si="88"/>
        <v>3045.5159999999996</v>
      </c>
      <c r="X102" s="166">
        <f t="shared" si="88"/>
        <v>3045.5159999999996</v>
      </c>
      <c r="Y102" s="138"/>
    </row>
    <row r="103" spans="2:25" s="137" customFormat="1" ht="25.2" customHeight="1" x14ac:dyDescent="0.25">
      <c r="B103" s="161">
        <v>2</v>
      </c>
      <c r="C103" s="162" t="s">
        <v>303</v>
      </c>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38"/>
    </row>
    <row r="104" spans="2:25" s="137" customFormat="1" ht="25.2" customHeight="1" x14ac:dyDescent="0.25">
      <c r="B104" s="167" t="s">
        <v>250</v>
      </c>
      <c r="C104" s="133" t="s">
        <v>898</v>
      </c>
      <c r="D104" s="163">
        <v>0</v>
      </c>
      <c r="E104" s="166">
        <f>Measures_summary!F8</f>
        <v>1274.8402540707789</v>
      </c>
      <c r="F104" s="166">
        <f t="shared" ref="F104:X104" si="89">$E104*(1.028+0.028*(F99-$F$3))</f>
        <v>1203.4491998428152</v>
      </c>
      <c r="G104" s="166">
        <f t="shared" si="89"/>
        <v>1239.1447269567971</v>
      </c>
      <c r="H104" s="166">
        <f t="shared" si="89"/>
        <v>1274.8402540707789</v>
      </c>
      <c r="I104" s="166">
        <f t="shared" si="89"/>
        <v>1310.5357811847607</v>
      </c>
      <c r="J104" s="166">
        <f t="shared" si="89"/>
        <v>1346.2313082987425</v>
      </c>
      <c r="K104" s="166">
        <f t="shared" si="89"/>
        <v>1381.9268354127244</v>
      </c>
      <c r="L104" s="166">
        <f t="shared" si="89"/>
        <v>1417.6223625267062</v>
      </c>
      <c r="M104" s="166">
        <f t="shared" si="89"/>
        <v>1453.317889640688</v>
      </c>
      <c r="N104" s="166">
        <f t="shared" si="89"/>
        <v>1489.0134167546698</v>
      </c>
      <c r="O104" s="166">
        <f t="shared" si="89"/>
        <v>1524.7089438686514</v>
      </c>
      <c r="P104" s="166">
        <f t="shared" si="89"/>
        <v>1560.4044709826333</v>
      </c>
      <c r="Q104" s="166">
        <f t="shared" si="89"/>
        <v>1596.0999980966151</v>
      </c>
      <c r="R104" s="166">
        <f t="shared" si="89"/>
        <v>1631.7955252105969</v>
      </c>
      <c r="S104" s="166">
        <f t="shared" si="89"/>
        <v>1667.4910523245787</v>
      </c>
      <c r="T104" s="166">
        <f t="shared" si="89"/>
        <v>1703.1865794385608</v>
      </c>
      <c r="U104" s="166">
        <f t="shared" si="89"/>
        <v>1738.8821065525426</v>
      </c>
      <c r="V104" s="166">
        <f t="shared" si="89"/>
        <v>1774.577633666524</v>
      </c>
      <c r="W104" s="166">
        <f t="shared" si="89"/>
        <v>1810.273160780506</v>
      </c>
      <c r="X104" s="166">
        <f t="shared" si="89"/>
        <v>1845.9686878944879</v>
      </c>
      <c r="Y104" s="138"/>
    </row>
    <row r="105" spans="2:25" s="137" customFormat="1" ht="25.2" customHeight="1" x14ac:dyDescent="0.25">
      <c r="B105" s="167" t="s">
        <v>251</v>
      </c>
      <c r="C105" s="133" t="s">
        <v>899</v>
      </c>
      <c r="D105" s="163">
        <v>0</v>
      </c>
      <c r="E105" s="166">
        <f>Measures_summary!J8</f>
        <v>-497.32253844331461</v>
      </c>
      <c r="F105" s="166">
        <f t="shared" ref="F105:X105" si="90">$E105*(1.028+0.028*(F99-$F$3))</f>
        <v>-469.472476290489</v>
      </c>
      <c r="G105" s="166">
        <f t="shared" si="90"/>
        <v>-483.39750736690178</v>
      </c>
      <c r="H105" s="166">
        <f t="shared" si="90"/>
        <v>-497.32253844331461</v>
      </c>
      <c r="I105" s="166">
        <f t="shared" si="90"/>
        <v>-511.24756951972745</v>
      </c>
      <c r="J105" s="166">
        <f t="shared" si="90"/>
        <v>-525.17260059614023</v>
      </c>
      <c r="K105" s="166">
        <f t="shared" si="90"/>
        <v>-539.09763167255312</v>
      </c>
      <c r="L105" s="166">
        <f t="shared" si="90"/>
        <v>-553.0226627489659</v>
      </c>
      <c r="M105" s="166">
        <f t="shared" si="90"/>
        <v>-566.94769382537868</v>
      </c>
      <c r="N105" s="166">
        <f t="shared" si="90"/>
        <v>-580.87272490179157</v>
      </c>
      <c r="O105" s="166">
        <f t="shared" si="90"/>
        <v>-594.79775597820424</v>
      </c>
      <c r="P105" s="166">
        <f t="shared" si="90"/>
        <v>-608.72278705461713</v>
      </c>
      <c r="Q105" s="166">
        <f t="shared" si="90"/>
        <v>-622.64781813102991</v>
      </c>
      <c r="R105" s="166">
        <f t="shared" si="90"/>
        <v>-636.57284920744269</v>
      </c>
      <c r="S105" s="166">
        <f t="shared" si="90"/>
        <v>-650.49788028385558</v>
      </c>
      <c r="T105" s="166">
        <f t="shared" si="90"/>
        <v>-664.42291136026836</v>
      </c>
      <c r="U105" s="166">
        <f t="shared" si="90"/>
        <v>-678.34794243668114</v>
      </c>
      <c r="V105" s="166">
        <f t="shared" si="90"/>
        <v>-692.27297351309392</v>
      </c>
      <c r="W105" s="166">
        <f t="shared" si="90"/>
        <v>-706.1980045895067</v>
      </c>
      <c r="X105" s="166">
        <f t="shared" si="90"/>
        <v>-720.12303566591959</v>
      </c>
      <c r="Y105" s="138"/>
    </row>
    <row r="106" spans="2:25" s="137" customFormat="1" ht="25.2" customHeight="1" x14ac:dyDescent="0.25">
      <c r="B106" s="167" t="s">
        <v>252</v>
      </c>
      <c r="C106" s="133" t="s">
        <v>900</v>
      </c>
      <c r="D106" s="168">
        <f t="shared" ref="D106" si="91">D104-(D101+D102)</f>
        <v>-20139</v>
      </c>
      <c r="E106" s="168">
        <f>E104-(E101+E102)</f>
        <v>-1770.6757459292207</v>
      </c>
      <c r="F106" s="168">
        <f t="shared" ref="F106:X106" si="92">F104-(F101+F102)</f>
        <v>-1842.0668001571844</v>
      </c>
      <c r="G106" s="168">
        <f t="shared" si="92"/>
        <v>-1806.3712730432026</v>
      </c>
      <c r="H106" s="168">
        <f t="shared" si="92"/>
        <v>-1770.6757459292207</v>
      </c>
      <c r="I106" s="168">
        <f t="shared" si="92"/>
        <v>-1734.9802188152389</v>
      </c>
      <c r="J106" s="168">
        <f t="shared" si="92"/>
        <v>-1699.2846917012571</v>
      </c>
      <c r="K106" s="168">
        <f t="shared" si="92"/>
        <v>-1663.5891645872753</v>
      </c>
      <c r="L106" s="168">
        <f t="shared" si="92"/>
        <v>-1627.8936374732934</v>
      </c>
      <c r="M106" s="168">
        <f t="shared" si="92"/>
        <v>-1592.1981103593116</v>
      </c>
      <c r="N106" s="168">
        <f t="shared" si="92"/>
        <v>-1556.5025832453298</v>
      </c>
      <c r="O106" s="168">
        <f t="shared" si="92"/>
        <v>-1520.8070561313482</v>
      </c>
      <c r="P106" s="168">
        <f t="shared" si="92"/>
        <v>-1485.1115290173664</v>
      </c>
      <c r="Q106" s="168">
        <f t="shared" si="92"/>
        <v>-1449.4160019033845</v>
      </c>
      <c r="R106" s="168">
        <f t="shared" si="92"/>
        <v>-1413.7204747894027</v>
      </c>
      <c r="S106" s="168">
        <f t="shared" si="92"/>
        <v>-1378.0249476754209</v>
      </c>
      <c r="T106" s="168">
        <f t="shared" si="92"/>
        <v>-1342.3294205614388</v>
      </c>
      <c r="U106" s="168">
        <f t="shared" si="92"/>
        <v>-1306.633893447457</v>
      </c>
      <c r="V106" s="168">
        <f t="shared" si="92"/>
        <v>-1270.9383663334756</v>
      </c>
      <c r="W106" s="168">
        <f t="shared" si="92"/>
        <v>-1235.2428392194936</v>
      </c>
      <c r="X106" s="168">
        <f t="shared" si="92"/>
        <v>-1199.5473121055118</v>
      </c>
      <c r="Y106" s="138"/>
    </row>
    <row r="107" spans="2:25" s="137" customFormat="1" ht="25.2" customHeight="1" x14ac:dyDescent="0.25">
      <c r="B107" s="167" t="s">
        <v>253</v>
      </c>
      <c r="C107" s="133" t="s">
        <v>901</v>
      </c>
      <c r="D107" s="168">
        <f t="shared" ref="D107:X107" si="93">D105-(D101+D102)</f>
        <v>-20139</v>
      </c>
      <c r="E107" s="168">
        <f t="shared" si="93"/>
        <v>-3542.8385384433141</v>
      </c>
      <c r="F107" s="168">
        <f t="shared" si="93"/>
        <v>-3514.9884762904885</v>
      </c>
      <c r="G107" s="168">
        <f t="shared" si="93"/>
        <v>-3528.9135073669013</v>
      </c>
      <c r="H107" s="168">
        <f t="shared" si="93"/>
        <v>-3542.8385384433141</v>
      </c>
      <c r="I107" s="168">
        <f t="shared" si="93"/>
        <v>-3556.7635695197268</v>
      </c>
      <c r="J107" s="168">
        <f t="shared" si="93"/>
        <v>-3570.6886005961396</v>
      </c>
      <c r="K107" s="168">
        <f t="shared" si="93"/>
        <v>-3584.6136316725529</v>
      </c>
      <c r="L107" s="168">
        <f t="shared" si="93"/>
        <v>-3598.5386627489656</v>
      </c>
      <c r="M107" s="168">
        <f t="shared" si="93"/>
        <v>-3612.4636938253784</v>
      </c>
      <c r="N107" s="168">
        <f t="shared" si="93"/>
        <v>-3626.3887249017912</v>
      </c>
      <c r="O107" s="168">
        <f t="shared" si="93"/>
        <v>-3640.313755978204</v>
      </c>
      <c r="P107" s="168">
        <f t="shared" si="93"/>
        <v>-3654.2387870546168</v>
      </c>
      <c r="Q107" s="168">
        <f t="shared" si="93"/>
        <v>-3668.1638181310295</v>
      </c>
      <c r="R107" s="168">
        <f t="shared" si="93"/>
        <v>-3682.0888492074423</v>
      </c>
      <c r="S107" s="168">
        <f t="shared" si="93"/>
        <v>-3696.0138802838551</v>
      </c>
      <c r="T107" s="168">
        <f t="shared" si="93"/>
        <v>-3709.9389113602679</v>
      </c>
      <c r="U107" s="168">
        <f t="shared" si="93"/>
        <v>-3723.8639424366806</v>
      </c>
      <c r="V107" s="168">
        <f t="shared" si="93"/>
        <v>-3737.7889735130934</v>
      </c>
      <c r="W107" s="168">
        <f t="shared" si="93"/>
        <v>-3751.7140045895062</v>
      </c>
      <c r="X107" s="168">
        <f t="shared" si="93"/>
        <v>-3765.6390356659194</v>
      </c>
      <c r="Y107" s="138"/>
    </row>
    <row r="108" spans="2:25" s="137" customFormat="1" ht="25.2" customHeight="1" x14ac:dyDescent="0.25">
      <c r="B108" s="161" t="s">
        <v>254</v>
      </c>
      <c r="C108" s="169" t="s">
        <v>304</v>
      </c>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38"/>
    </row>
    <row r="109" spans="2:25" s="137" customFormat="1" ht="25.2" customHeight="1" x14ac:dyDescent="0.25">
      <c r="B109" s="167" t="s">
        <v>255</v>
      </c>
      <c r="C109" s="133" t="s">
        <v>902</v>
      </c>
      <c r="D109" s="168">
        <f>D106</f>
        <v>-20139</v>
      </c>
      <c r="E109" s="178">
        <f t="shared" ref="E109:X109" si="94">E104/POWER(1+0.04,E$3-$D$3)</f>
        <v>1225.8079366065181</v>
      </c>
      <c r="F109" s="178">
        <f t="shared" si="94"/>
        <v>1112.6564347659164</v>
      </c>
      <c r="G109" s="178">
        <f t="shared" si="94"/>
        <v>1101.5951501308575</v>
      </c>
      <c r="H109" s="178">
        <f t="shared" si="94"/>
        <v>1089.7387920731021</v>
      </c>
      <c r="I109" s="178">
        <f t="shared" si="94"/>
        <v>1077.1648829337969</v>
      </c>
      <c r="J109" s="178">
        <f t="shared" si="94"/>
        <v>1063.9461579411943</v>
      </c>
      <c r="K109" s="178">
        <f t="shared" si="94"/>
        <v>1050.1508187720851</v>
      </c>
      <c r="L109" s="178">
        <f t="shared" si="94"/>
        <v>1035.8427746900354</v>
      </c>
      <c r="M109" s="178">
        <f t="shared" si="94"/>
        <v>1021.0818718409661</v>
      </c>
      <c r="N109" s="178">
        <f t="shared" si="94"/>
        <v>1005.924111260331</v>
      </c>
      <c r="O109" s="178">
        <f t="shared" si="94"/>
        <v>990.42185612104493</v>
      </c>
      <c r="P109" s="178">
        <f t="shared" si="94"/>
        <v>974.62402872729513</v>
      </c>
      <c r="Q109" s="178">
        <f t="shared" si="94"/>
        <v>958.57629773643589</v>
      </c>
      <c r="R109" s="178">
        <f t="shared" si="94"/>
        <v>942.32125606924149</v>
      </c>
      <c r="S109" s="178">
        <f t="shared" si="94"/>
        <v>925.89858994784254</v>
      </c>
      <c r="T109" s="178">
        <f t="shared" si="94"/>
        <v>909.34523948064987</v>
      </c>
      <c r="U109" s="178">
        <f t="shared" si="94"/>
        <v>892.6955511944426</v>
      </c>
      <c r="V109" s="178">
        <f t="shared" si="94"/>
        <v>875.98142289551629</v>
      </c>
      <c r="W109" s="178">
        <f t="shared" si="94"/>
        <v>859.23244122432675</v>
      </c>
      <c r="X109" s="178">
        <f t="shared" si="94"/>
        <v>842.47601225137134</v>
      </c>
      <c r="Y109" s="138"/>
    </row>
    <row r="110" spans="2:25" s="137" customFormat="1" ht="25.2" customHeight="1" x14ac:dyDescent="0.25">
      <c r="B110" s="167" t="s">
        <v>256</v>
      </c>
      <c r="C110" s="133" t="s">
        <v>903</v>
      </c>
      <c r="D110" s="168">
        <f>D107</f>
        <v>-20139</v>
      </c>
      <c r="E110" s="178">
        <f t="shared" ref="E110:X110" si="95">E105/POWER(1+0.04,E$3-$D$3)</f>
        <v>-478.1947485031871</v>
      </c>
      <c r="F110" s="178">
        <f t="shared" si="95"/>
        <v>-434.05369479520056</v>
      </c>
      <c r="G110" s="178">
        <f t="shared" si="95"/>
        <v>-429.7386238397724</v>
      </c>
      <c r="H110" s="178">
        <f t="shared" si="95"/>
        <v>-425.11339015488721</v>
      </c>
      <c r="I110" s="178">
        <f t="shared" si="95"/>
        <v>-420.20823565310002</v>
      </c>
      <c r="J110" s="178">
        <f t="shared" si="95"/>
        <v>-415.05153476660581</v>
      </c>
      <c r="K110" s="178">
        <f t="shared" si="95"/>
        <v>-409.66989336301793</v>
      </c>
      <c r="L110" s="178">
        <f t="shared" si="95"/>
        <v>-404.08824281478485</v>
      </c>
      <c r="M110" s="178">
        <f t="shared" si="95"/>
        <v>-398.3299294487191</v>
      </c>
      <c r="N110" s="178">
        <f t="shared" si="95"/>
        <v>-392.41679959185558</v>
      </c>
      <c r="O110" s="178">
        <f t="shared" si="95"/>
        <v>-386.36928042006321</v>
      </c>
      <c r="P110" s="178">
        <f t="shared" si="95"/>
        <v>-380.20645680646811</v>
      </c>
      <c r="Q110" s="178">
        <f t="shared" si="95"/>
        <v>-373.94614435779448</v>
      </c>
      <c r="R110" s="178">
        <f t="shared" si="95"/>
        <v>-367.60495881818088</v>
      </c>
      <c r="S110" s="178">
        <f t="shared" si="95"/>
        <v>-361.19838201185445</v>
      </c>
      <c r="T110" s="178">
        <f t="shared" si="95"/>
        <v>-354.74082448823617</v>
      </c>
      <c r="U110" s="178">
        <f t="shared" si="95"/>
        <v>-348.24568502558878</v>
      </c>
      <c r="V110" s="178">
        <f t="shared" si="95"/>
        <v>-341.7254071421861</v>
      </c>
      <c r="W110" s="178">
        <f t="shared" si="95"/>
        <v>-335.19153275717304</v>
      </c>
      <c r="X110" s="178">
        <f t="shared" si="95"/>
        <v>-328.65475313677319</v>
      </c>
      <c r="Y110" s="138"/>
    </row>
    <row r="111" spans="2:25" s="137" customFormat="1" ht="25.2" customHeight="1" x14ac:dyDescent="0.25">
      <c r="B111" s="167" t="s">
        <v>257</v>
      </c>
      <c r="C111" s="133" t="s">
        <v>904</v>
      </c>
      <c r="D111" s="166">
        <f>NPV(0.04,E106:X106)+D106</f>
        <v>-41573.074702157624</v>
      </c>
      <c r="E111" s="179"/>
      <c r="F111" s="171"/>
      <c r="G111" s="171"/>
      <c r="H111" s="171"/>
      <c r="I111" s="171"/>
      <c r="J111" s="171"/>
      <c r="K111" s="171"/>
      <c r="L111" s="171"/>
      <c r="M111" s="171"/>
      <c r="N111" s="171"/>
      <c r="O111" s="171"/>
      <c r="P111" s="171"/>
      <c r="Q111" s="171"/>
      <c r="R111" s="171"/>
      <c r="S111" s="171"/>
      <c r="T111" s="171"/>
      <c r="U111" s="171"/>
      <c r="V111" s="171"/>
      <c r="W111" s="171"/>
      <c r="X111" s="171"/>
      <c r="Y111" s="138"/>
    </row>
    <row r="112" spans="2:25" s="137" customFormat="1" ht="25.2" customHeight="1" x14ac:dyDescent="0.25">
      <c r="B112" s="167" t="s">
        <v>258</v>
      </c>
      <c r="C112" s="133" t="s">
        <v>905</v>
      </c>
      <c r="D112" s="166">
        <f>NPV(0.04,E107:X107)+D107</f>
        <v>-69313.304846716026</v>
      </c>
      <c r="E112" s="171"/>
      <c r="F112" s="171"/>
      <c r="G112" s="171"/>
      <c r="H112" s="171"/>
      <c r="I112" s="171"/>
      <c r="J112" s="171"/>
      <c r="K112" s="171"/>
      <c r="L112" s="171"/>
      <c r="M112" s="171"/>
      <c r="N112" s="171"/>
      <c r="O112" s="171"/>
      <c r="P112" s="171"/>
      <c r="Q112" s="171"/>
      <c r="R112" s="171"/>
      <c r="S112" s="171"/>
      <c r="T112" s="171"/>
      <c r="U112" s="171"/>
      <c r="V112" s="171"/>
      <c r="W112" s="171"/>
      <c r="X112" s="171"/>
      <c r="Y112" s="138"/>
    </row>
    <row r="113" spans="2:28" s="137" customFormat="1" ht="25.2" customHeight="1" x14ac:dyDescent="0.25">
      <c r="B113" s="167" t="s">
        <v>259</v>
      </c>
      <c r="C113" s="133" t="s">
        <v>906</v>
      </c>
      <c r="D113" s="168">
        <f>D104-(D101+D102)</f>
        <v>-20139</v>
      </c>
      <c r="E113" s="178">
        <f>D113+E109</f>
        <v>-18913.192063393482</v>
      </c>
      <c r="F113" s="166">
        <f t="shared" ref="F113:F114" si="96">E113+F109</f>
        <v>-17800.535628627567</v>
      </c>
      <c r="G113" s="166">
        <f t="shared" ref="G113:G114" si="97">F113+G109</f>
        <v>-16698.940478496708</v>
      </c>
      <c r="H113" s="166">
        <f t="shared" ref="H113:H114" si="98">G113+H109</f>
        <v>-15609.201686423607</v>
      </c>
      <c r="I113" s="166">
        <f t="shared" ref="I113:I114" si="99">H113+I109</f>
        <v>-14532.036803489809</v>
      </c>
      <c r="J113" s="166">
        <f t="shared" ref="J113:J114" si="100">I113+J109</f>
        <v>-13468.090645548615</v>
      </c>
      <c r="K113" s="166">
        <f t="shared" ref="K113:K114" si="101">J113+K109</f>
        <v>-12417.93982677653</v>
      </c>
      <c r="L113" s="166">
        <f t="shared" ref="L113:L114" si="102">K113+L109</f>
        <v>-11382.097052086494</v>
      </c>
      <c r="M113" s="166">
        <f t="shared" ref="M113:M114" si="103">L113+M109</f>
        <v>-10361.015180245528</v>
      </c>
      <c r="N113" s="166">
        <f t="shared" ref="N113:N114" si="104">M113+N109</f>
        <v>-9355.0910689851971</v>
      </c>
      <c r="O113" s="166">
        <f t="shared" ref="O113:O114" si="105">N113+O109</f>
        <v>-8364.6692128641516</v>
      </c>
      <c r="P113" s="166">
        <f t="shared" ref="P113:P114" si="106">O113+P109</f>
        <v>-7390.0451841368567</v>
      </c>
      <c r="Q113" s="166">
        <f t="shared" ref="Q113:Q114" si="107">P113+Q109</f>
        <v>-6431.4688864004211</v>
      </c>
      <c r="R113" s="166">
        <f t="shared" ref="R113:R114" si="108">Q113+R109</f>
        <v>-5489.1476303311792</v>
      </c>
      <c r="S113" s="166">
        <f t="shared" ref="S113:S114" si="109">R113+S109</f>
        <v>-4563.2490403833363</v>
      </c>
      <c r="T113" s="166">
        <f t="shared" ref="T113:T114" si="110">S113+T109</f>
        <v>-3653.9038009026863</v>
      </c>
      <c r="U113" s="166">
        <f t="shared" ref="U113:U114" si="111">T113+U109</f>
        <v>-2761.2082497082438</v>
      </c>
      <c r="V113" s="166">
        <f t="shared" ref="V113:V114" si="112">U113+V109</f>
        <v>-1885.2268268127275</v>
      </c>
      <c r="W113" s="166">
        <f t="shared" ref="W113:W114" si="113">V113+W109</f>
        <v>-1025.9943855884007</v>
      </c>
      <c r="X113" s="166">
        <f t="shared" ref="X113:X114" si="114">W113+X109</f>
        <v>-183.5183733370294</v>
      </c>
      <c r="Y113" s="138"/>
      <c r="Z113" s="213"/>
      <c r="AA113" s="215"/>
      <c r="AB113" s="214"/>
    </row>
    <row r="114" spans="2:28" s="137" customFormat="1" ht="25.2" customHeight="1" x14ac:dyDescent="0.25">
      <c r="B114" s="167" t="s">
        <v>260</v>
      </c>
      <c r="C114" s="133" t="s">
        <v>907</v>
      </c>
      <c r="D114" s="168">
        <f>D105-(D101+D102)</f>
        <v>-20139</v>
      </c>
      <c r="E114" s="178">
        <f>D114+E110</f>
        <v>-20617.194748503189</v>
      </c>
      <c r="F114" s="166">
        <f t="shared" si="96"/>
        <v>-21051.248443298391</v>
      </c>
      <c r="G114" s="166">
        <f t="shared" si="97"/>
        <v>-21480.987067138165</v>
      </c>
      <c r="H114" s="166">
        <f t="shared" si="98"/>
        <v>-21906.100457293051</v>
      </c>
      <c r="I114" s="166">
        <f t="shared" si="99"/>
        <v>-22326.30869294615</v>
      </c>
      <c r="J114" s="166">
        <f t="shared" si="100"/>
        <v>-22741.360227712754</v>
      </c>
      <c r="K114" s="166">
        <f t="shared" si="101"/>
        <v>-23151.030121075772</v>
      </c>
      <c r="L114" s="166">
        <f t="shared" si="102"/>
        <v>-23555.118363890557</v>
      </c>
      <c r="M114" s="166">
        <f t="shared" si="103"/>
        <v>-23953.448293339276</v>
      </c>
      <c r="N114" s="166">
        <f t="shared" si="104"/>
        <v>-24345.86509293113</v>
      </c>
      <c r="O114" s="166">
        <f t="shared" si="105"/>
        <v>-24732.234373351192</v>
      </c>
      <c r="P114" s="166">
        <f t="shared" si="106"/>
        <v>-25112.440830157659</v>
      </c>
      <c r="Q114" s="166">
        <f t="shared" si="107"/>
        <v>-25486.386974515452</v>
      </c>
      <c r="R114" s="166">
        <f t="shared" si="108"/>
        <v>-25853.991933333633</v>
      </c>
      <c r="S114" s="166">
        <f t="shared" si="109"/>
        <v>-26215.190315345488</v>
      </c>
      <c r="T114" s="166">
        <f t="shared" si="110"/>
        <v>-26569.931139833723</v>
      </c>
      <c r="U114" s="166">
        <f t="shared" si="111"/>
        <v>-26918.176824859311</v>
      </c>
      <c r="V114" s="166">
        <f t="shared" si="112"/>
        <v>-27259.902232001496</v>
      </c>
      <c r="W114" s="166">
        <f t="shared" si="113"/>
        <v>-27595.093764758669</v>
      </c>
      <c r="X114" s="166">
        <f t="shared" si="114"/>
        <v>-27923.748517895441</v>
      </c>
      <c r="Y114" s="138"/>
      <c r="Z114" s="213"/>
    </row>
    <row r="115" spans="2:28" s="137" customFormat="1" ht="25.2" customHeight="1" x14ac:dyDescent="0.25">
      <c r="B115" s="167" t="s">
        <v>261</v>
      </c>
      <c r="C115" s="133" t="s">
        <v>316</v>
      </c>
      <c r="D115" s="216" t="e">
        <f t="array" aca="1" ref="D115" ca="1">MATCH(TRUE,INDEX($E113:$X113&gt;0,0),0)+(-LOOKUP(9.99999999999999E+307, IF($E113:$X113&lt;0, $E113:$X113))/LOOKUP(9.99999999999999E+307, IF($E113:$X113&lt;0, OFFSET($E109:$X109,0,1))))</f>
        <v>#N/A</v>
      </c>
      <c r="E115" s="171"/>
      <c r="F115" s="171"/>
      <c r="G115" s="171"/>
      <c r="H115" s="171"/>
      <c r="I115" s="171"/>
      <c r="J115" s="171"/>
      <c r="K115" s="171"/>
      <c r="L115" s="171"/>
      <c r="M115" s="171"/>
      <c r="N115" s="171"/>
      <c r="O115" s="171"/>
      <c r="P115" s="171"/>
      <c r="Q115" s="171"/>
      <c r="R115" s="171"/>
      <c r="S115" s="171"/>
      <c r="T115" s="171"/>
      <c r="U115" s="171"/>
      <c r="V115" s="171"/>
      <c r="W115" s="171"/>
      <c r="X115" s="171"/>
      <c r="Y115" s="138"/>
    </row>
    <row r="116" spans="2:28" s="137" customFormat="1" ht="25.2" customHeight="1" x14ac:dyDescent="0.25">
      <c r="B116" s="167" t="s">
        <v>262</v>
      </c>
      <c r="C116" s="133" t="s">
        <v>317</v>
      </c>
      <c r="D116" s="216" t="e">
        <f t="array" aca="1" ref="D116" ca="1">MATCH(TRUE,INDEX($E114:$X114&gt;0,0),0)+(-LOOKUP(9.99999999999999E+307, IF($E114:$X114&lt;0, $E114:$X114))/LOOKUP(9.99999999999999E+307, IF($E114:$X114&lt;0, OFFSET($E110:$X110,0,1))))</f>
        <v>#N/A</v>
      </c>
      <c r="E116" s="171"/>
      <c r="F116" s="171"/>
      <c r="G116" s="171"/>
      <c r="H116" s="171"/>
      <c r="I116" s="171"/>
      <c r="J116" s="171"/>
      <c r="K116" s="171"/>
      <c r="L116" s="171"/>
      <c r="M116" s="171"/>
      <c r="N116" s="171"/>
      <c r="O116" s="171"/>
      <c r="P116" s="171"/>
      <c r="Q116" s="171"/>
      <c r="R116" s="171"/>
      <c r="S116" s="171"/>
      <c r="T116" s="171"/>
      <c r="U116" s="171"/>
      <c r="V116" s="171"/>
      <c r="W116" s="171"/>
      <c r="X116" s="171"/>
      <c r="Y116" s="138"/>
    </row>
    <row r="117" spans="2:28" s="137" customFormat="1" ht="25.2" customHeight="1" x14ac:dyDescent="0.25">
      <c r="B117" s="167" t="s">
        <v>263</v>
      </c>
      <c r="C117" s="133" t="s">
        <v>319</v>
      </c>
      <c r="D117" s="172" t="e">
        <f>IRR(D106:X106)</f>
        <v>#NUM!</v>
      </c>
      <c r="E117" s="180"/>
      <c r="F117" s="171"/>
      <c r="G117" s="171"/>
      <c r="H117" s="171"/>
      <c r="I117" s="171"/>
      <c r="J117" s="171"/>
      <c r="K117" s="171"/>
      <c r="L117" s="171"/>
      <c r="M117" s="171"/>
      <c r="N117" s="171"/>
      <c r="O117" s="171"/>
      <c r="P117" s="171"/>
      <c r="Q117" s="171"/>
      <c r="R117" s="171"/>
      <c r="S117" s="171"/>
      <c r="T117" s="171"/>
      <c r="U117" s="171"/>
      <c r="V117" s="171"/>
      <c r="W117" s="171"/>
      <c r="X117" s="171"/>
      <c r="Y117" s="138"/>
    </row>
    <row r="118" spans="2:28" s="137" customFormat="1" ht="25.2" customHeight="1" x14ac:dyDescent="0.25">
      <c r="B118" s="167" t="s">
        <v>264</v>
      </c>
      <c r="C118" s="133" t="s">
        <v>320</v>
      </c>
      <c r="D118" s="172" t="e">
        <f>IRR(D107:X107)</f>
        <v>#NUM!</v>
      </c>
      <c r="E118" s="171"/>
      <c r="F118" s="171"/>
      <c r="G118" s="171"/>
      <c r="H118" s="171"/>
      <c r="I118" s="171"/>
      <c r="J118" s="171"/>
      <c r="K118" s="171"/>
      <c r="L118" s="171"/>
      <c r="M118" s="171"/>
      <c r="N118" s="171"/>
      <c r="O118" s="171"/>
      <c r="P118" s="171"/>
      <c r="Q118" s="171"/>
      <c r="R118" s="171"/>
      <c r="S118" s="171"/>
      <c r="T118" s="171"/>
      <c r="U118" s="171"/>
      <c r="V118" s="171"/>
      <c r="W118" s="171"/>
      <c r="X118" s="171"/>
      <c r="Y118" s="138"/>
    </row>
    <row r="119" spans="2:28" s="137" customFormat="1" ht="116.85" customHeight="1" x14ac:dyDescent="0.25">
      <c r="B119" s="839" t="s">
        <v>266</v>
      </c>
      <c r="C119" s="839"/>
      <c r="D119" s="839"/>
      <c r="E119" s="839"/>
      <c r="F119" s="839"/>
      <c r="G119" s="839"/>
      <c r="H119" s="839"/>
      <c r="I119" s="839"/>
      <c r="J119" s="839"/>
      <c r="K119" s="839"/>
      <c r="L119" s="839"/>
      <c r="M119" s="839"/>
      <c r="N119" s="839"/>
      <c r="O119" s="839"/>
      <c r="P119" s="839"/>
      <c r="Q119" s="839"/>
      <c r="R119" s="839"/>
      <c r="S119" s="839"/>
      <c r="T119" s="839"/>
      <c r="U119" s="839"/>
      <c r="V119" s="839"/>
      <c r="W119" s="839"/>
      <c r="X119" s="839"/>
      <c r="Y119" s="138"/>
    </row>
    <row r="122" spans="2:28" s="137" customFormat="1" ht="30" customHeight="1" x14ac:dyDescent="0.25">
      <c r="B122" s="217" t="s">
        <v>471</v>
      </c>
      <c r="C122" s="703" t="str">
        <f>Measures_summary!C9</f>
        <v xml:space="preserve">Heating system replacement </v>
      </c>
      <c r="D122" s="704"/>
      <c r="E122" s="704"/>
      <c r="F122" s="704"/>
      <c r="G122" s="704"/>
      <c r="H122" s="704"/>
      <c r="I122" s="704"/>
      <c r="J122" s="704"/>
      <c r="K122" s="704"/>
      <c r="L122" s="704"/>
      <c r="M122" s="704"/>
      <c r="N122" s="704"/>
      <c r="O122" s="704"/>
      <c r="P122" s="704"/>
      <c r="Q122" s="704"/>
      <c r="R122" s="704"/>
      <c r="S122" s="704"/>
      <c r="T122" s="704"/>
      <c r="U122" s="704"/>
      <c r="V122" s="704"/>
      <c r="W122" s="704"/>
      <c r="X122" s="705"/>
      <c r="Y122" s="138"/>
    </row>
    <row r="123" spans="2:28" s="137" customFormat="1" ht="30" customHeight="1" x14ac:dyDescent="0.25">
      <c r="B123" s="158" t="s">
        <v>42</v>
      </c>
      <c r="C123" s="28" t="s">
        <v>265</v>
      </c>
      <c r="D123" s="28">
        <v>2023</v>
      </c>
      <c r="E123" s="28">
        <v>2024</v>
      </c>
      <c r="F123" s="28">
        <v>2025</v>
      </c>
      <c r="G123" s="28">
        <v>2026</v>
      </c>
      <c r="H123" s="28">
        <v>2027</v>
      </c>
      <c r="I123" s="28">
        <v>2028</v>
      </c>
      <c r="J123" s="28">
        <v>2029</v>
      </c>
      <c r="K123" s="28">
        <v>2030</v>
      </c>
      <c r="L123" s="28">
        <v>2031</v>
      </c>
      <c r="M123" s="28">
        <v>2032</v>
      </c>
      <c r="N123" s="28">
        <v>2033</v>
      </c>
      <c r="O123" s="28">
        <v>2034</v>
      </c>
      <c r="P123" s="28">
        <v>2035</v>
      </c>
      <c r="Q123" s="28">
        <v>2036</v>
      </c>
      <c r="R123" s="28">
        <v>2037</v>
      </c>
      <c r="S123" s="28">
        <v>2038</v>
      </c>
      <c r="T123" s="28">
        <v>2039</v>
      </c>
      <c r="U123" s="28">
        <v>2040</v>
      </c>
      <c r="V123" s="28">
        <v>2041</v>
      </c>
      <c r="W123" s="28">
        <v>2042</v>
      </c>
      <c r="X123" s="28">
        <v>2043</v>
      </c>
      <c r="Y123" s="138"/>
    </row>
    <row r="124" spans="2:28" s="137" customFormat="1" ht="25.2" customHeight="1" x14ac:dyDescent="0.25">
      <c r="B124" s="161">
        <v>1</v>
      </c>
      <c r="C124" s="162" t="s">
        <v>302</v>
      </c>
      <c r="D124" s="163"/>
      <c r="E124" s="163"/>
      <c r="F124" s="163"/>
      <c r="G124" s="163"/>
      <c r="H124" s="163"/>
      <c r="I124" s="163"/>
      <c r="J124" s="163"/>
      <c r="K124" s="163"/>
      <c r="L124" s="163"/>
      <c r="M124" s="30"/>
      <c r="N124" s="30"/>
      <c r="O124" s="30"/>
      <c r="P124" s="30"/>
      <c r="Q124" s="30"/>
      <c r="R124" s="30"/>
      <c r="S124" s="30"/>
      <c r="T124" s="30"/>
      <c r="U124" s="30"/>
      <c r="V124" s="30"/>
      <c r="W124" s="30"/>
      <c r="X124" s="30"/>
      <c r="Y124" s="138"/>
    </row>
    <row r="125" spans="2:28" s="137" customFormat="1" ht="25.2" customHeight="1" x14ac:dyDescent="0.25">
      <c r="B125" s="164" t="s">
        <v>248</v>
      </c>
      <c r="C125" s="165" t="s">
        <v>896</v>
      </c>
      <c r="D125" s="166">
        <f>Measures_summary!D9</f>
        <v>18000</v>
      </c>
      <c r="E125" s="163"/>
      <c r="F125" s="163"/>
      <c r="G125" s="163"/>
      <c r="H125" s="163"/>
      <c r="I125" s="163"/>
      <c r="J125" s="163"/>
      <c r="K125" s="163"/>
      <c r="L125" s="163"/>
      <c r="M125" s="163"/>
      <c r="N125" s="163"/>
      <c r="O125" s="163"/>
      <c r="P125" s="163"/>
      <c r="Q125" s="163"/>
      <c r="R125" s="163"/>
      <c r="S125" s="163"/>
      <c r="T125" s="163"/>
      <c r="U125" s="163"/>
      <c r="V125" s="163"/>
      <c r="W125" s="163"/>
      <c r="X125" s="163"/>
      <c r="Y125" s="138"/>
    </row>
    <row r="126" spans="2:28" s="137" customFormat="1" ht="25.2" customHeight="1" x14ac:dyDescent="0.25">
      <c r="B126" s="164" t="s">
        <v>249</v>
      </c>
      <c r="C126" s="165" t="s">
        <v>897</v>
      </c>
      <c r="D126" s="163"/>
      <c r="E126" s="166">
        <f>4%*$D$5</f>
        <v>3045.5159999999996</v>
      </c>
      <c r="F126" s="166">
        <f t="shared" ref="F126:X126" si="115">4%*$D$5</f>
        <v>3045.5159999999996</v>
      </c>
      <c r="G126" s="166">
        <f t="shared" si="115"/>
        <v>3045.5159999999996</v>
      </c>
      <c r="H126" s="166">
        <f t="shared" si="115"/>
        <v>3045.5159999999996</v>
      </c>
      <c r="I126" s="166">
        <f t="shared" si="115"/>
        <v>3045.5159999999996</v>
      </c>
      <c r="J126" s="166">
        <f t="shared" si="115"/>
        <v>3045.5159999999996</v>
      </c>
      <c r="K126" s="166">
        <f t="shared" si="115"/>
        <v>3045.5159999999996</v>
      </c>
      <c r="L126" s="166">
        <f t="shared" si="115"/>
        <v>3045.5159999999996</v>
      </c>
      <c r="M126" s="166">
        <f t="shared" si="115"/>
        <v>3045.5159999999996</v>
      </c>
      <c r="N126" s="166">
        <f t="shared" si="115"/>
        <v>3045.5159999999996</v>
      </c>
      <c r="O126" s="166">
        <f t="shared" si="115"/>
        <v>3045.5159999999996</v>
      </c>
      <c r="P126" s="166">
        <f t="shared" si="115"/>
        <v>3045.5159999999996</v>
      </c>
      <c r="Q126" s="166">
        <f t="shared" si="115"/>
        <v>3045.5159999999996</v>
      </c>
      <c r="R126" s="166">
        <f t="shared" si="115"/>
        <v>3045.5159999999996</v>
      </c>
      <c r="S126" s="166">
        <f t="shared" si="115"/>
        <v>3045.5159999999996</v>
      </c>
      <c r="T126" s="166">
        <f t="shared" si="115"/>
        <v>3045.5159999999996</v>
      </c>
      <c r="U126" s="166">
        <f t="shared" si="115"/>
        <v>3045.5159999999996</v>
      </c>
      <c r="V126" s="166">
        <f t="shared" si="115"/>
        <v>3045.5159999999996</v>
      </c>
      <c r="W126" s="166">
        <f t="shared" si="115"/>
        <v>3045.5159999999996</v>
      </c>
      <c r="X126" s="166">
        <f t="shared" si="115"/>
        <v>3045.5159999999996</v>
      </c>
      <c r="Y126" s="138"/>
    </row>
    <row r="127" spans="2:28" s="137" customFormat="1" ht="25.2" customHeight="1" x14ac:dyDescent="0.25">
      <c r="B127" s="161">
        <v>2</v>
      </c>
      <c r="C127" s="162" t="s">
        <v>303</v>
      </c>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38"/>
    </row>
    <row r="128" spans="2:28" s="137" customFormat="1" ht="25.2" customHeight="1" x14ac:dyDescent="0.25">
      <c r="B128" s="167" t="s">
        <v>250</v>
      </c>
      <c r="C128" s="133" t="s">
        <v>898</v>
      </c>
      <c r="D128" s="163">
        <v>0</v>
      </c>
      <c r="E128" s="166">
        <f>Measures_summary!F9</f>
        <v>616.45130791049485</v>
      </c>
      <c r="F128" s="166">
        <f t="shared" ref="F128:X128" si="116">$E128*(1.028+0.028*(F123-$F$3))</f>
        <v>581.93003466750713</v>
      </c>
      <c r="G128" s="166">
        <f t="shared" si="116"/>
        <v>599.19067128900099</v>
      </c>
      <c r="H128" s="166">
        <f t="shared" si="116"/>
        <v>616.45130791049485</v>
      </c>
      <c r="I128" s="166">
        <f t="shared" si="116"/>
        <v>633.71194453198871</v>
      </c>
      <c r="J128" s="166">
        <f t="shared" si="116"/>
        <v>650.97258115348257</v>
      </c>
      <c r="K128" s="166">
        <f t="shared" si="116"/>
        <v>668.23321777497642</v>
      </c>
      <c r="L128" s="166">
        <f t="shared" si="116"/>
        <v>685.49385439647028</v>
      </c>
      <c r="M128" s="166">
        <f t="shared" si="116"/>
        <v>702.75449101796426</v>
      </c>
      <c r="N128" s="166">
        <f t="shared" si="116"/>
        <v>720.01512763945811</v>
      </c>
      <c r="O128" s="166">
        <f t="shared" si="116"/>
        <v>737.27576426095186</v>
      </c>
      <c r="P128" s="166">
        <f t="shared" si="116"/>
        <v>754.53640088244572</v>
      </c>
      <c r="Q128" s="166">
        <f t="shared" si="116"/>
        <v>771.79703750393958</v>
      </c>
      <c r="R128" s="166">
        <f t="shared" si="116"/>
        <v>789.05767412543344</v>
      </c>
      <c r="S128" s="166">
        <f t="shared" si="116"/>
        <v>806.3183107469273</v>
      </c>
      <c r="T128" s="166">
        <f t="shared" si="116"/>
        <v>823.57894736842115</v>
      </c>
      <c r="U128" s="166">
        <f t="shared" si="116"/>
        <v>840.83958398991501</v>
      </c>
      <c r="V128" s="166">
        <f t="shared" si="116"/>
        <v>858.10022061140876</v>
      </c>
      <c r="W128" s="166">
        <f t="shared" si="116"/>
        <v>875.36085723290262</v>
      </c>
      <c r="X128" s="166">
        <f t="shared" si="116"/>
        <v>892.62149385439648</v>
      </c>
      <c r="Y128" s="138"/>
    </row>
    <row r="129" spans="2:28" s="137" customFormat="1" ht="25.2" customHeight="1" x14ac:dyDescent="0.25">
      <c r="B129" s="167" t="s">
        <v>251</v>
      </c>
      <c r="C129" s="133" t="s">
        <v>899</v>
      </c>
      <c r="D129" s="163">
        <v>0</v>
      </c>
      <c r="E129" s="166">
        <f>Measures_summary!J9</f>
        <v>155.35842126698836</v>
      </c>
      <c r="F129" s="166">
        <f t="shared" ref="F129:X129" si="117">$E129*(1.028+0.028*(F123-$F$3))</f>
        <v>146.65834967603703</v>
      </c>
      <c r="G129" s="166">
        <f t="shared" si="117"/>
        <v>151.00838547151267</v>
      </c>
      <c r="H129" s="166">
        <f t="shared" si="117"/>
        <v>155.35842126698836</v>
      </c>
      <c r="I129" s="166">
        <f t="shared" si="117"/>
        <v>159.70845706246405</v>
      </c>
      <c r="J129" s="166">
        <f t="shared" si="117"/>
        <v>164.05849285793971</v>
      </c>
      <c r="K129" s="166">
        <f t="shared" si="117"/>
        <v>168.4085286534154</v>
      </c>
      <c r="L129" s="166">
        <f t="shared" si="117"/>
        <v>172.75856444889106</v>
      </c>
      <c r="M129" s="166">
        <f t="shared" si="117"/>
        <v>177.10860024436676</v>
      </c>
      <c r="N129" s="166">
        <f t="shared" si="117"/>
        <v>181.45863603984242</v>
      </c>
      <c r="O129" s="166">
        <f t="shared" si="117"/>
        <v>185.80867183531808</v>
      </c>
      <c r="P129" s="166">
        <f t="shared" si="117"/>
        <v>190.15870763079374</v>
      </c>
      <c r="Q129" s="166">
        <f t="shared" si="117"/>
        <v>194.50874342626943</v>
      </c>
      <c r="R129" s="166">
        <f t="shared" si="117"/>
        <v>198.8587792217451</v>
      </c>
      <c r="S129" s="166">
        <f t="shared" si="117"/>
        <v>203.20881501722079</v>
      </c>
      <c r="T129" s="166">
        <f t="shared" si="117"/>
        <v>207.55885081269645</v>
      </c>
      <c r="U129" s="166">
        <f t="shared" si="117"/>
        <v>211.90888660817214</v>
      </c>
      <c r="V129" s="166">
        <f t="shared" si="117"/>
        <v>216.25892240364777</v>
      </c>
      <c r="W129" s="166">
        <f t="shared" si="117"/>
        <v>220.60895819912346</v>
      </c>
      <c r="X129" s="166">
        <f t="shared" si="117"/>
        <v>224.95899399459913</v>
      </c>
      <c r="Y129" s="138"/>
    </row>
    <row r="130" spans="2:28" s="137" customFormat="1" ht="25.2" customHeight="1" x14ac:dyDescent="0.25">
      <c r="B130" s="167" t="s">
        <v>252</v>
      </c>
      <c r="C130" s="133" t="s">
        <v>900</v>
      </c>
      <c r="D130" s="168">
        <f t="shared" ref="D130" si="118">D128-(D125+D126)</f>
        <v>-18000</v>
      </c>
      <c r="E130" s="168">
        <f>E128-(E125+E126)</f>
        <v>-2429.0646920895047</v>
      </c>
      <c r="F130" s="168">
        <f t="shared" ref="F130:X130" si="119">F128-(F125+F126)</f>
        <v>-2463.5859653324924</v>
      </c>
      <c r="G130" s="168">
        <f t="shared" si="119"/>
        <v>-2446.3253287109987</v>
      </c>
      <c r="H130" s="168">
        <f t="shared" si="119"/>
        <v>-2429.0646920895047</v>
      </c>
      <c r="I130" s="168">
        <f t="shared" si="119"/>
        <v>-2411.804055468011</v>
      </c>
      <c r="J130" s="168">
        <f t="shared" si="119"/>
        <v>-2394.5434188465169</v>
      </c>
      <c r="K130" s="168">
        <f t="shared" si="119"/>
        <v>-2377.2827822250233</v>
      </c>
      <c r="L130" s="168">
        <f t="shared" si="119"/>
        <v>-2360.0221456035292</v>
      </c>
      <c r="M130" s="168">
        <f t="shared" si="119"/>
        <v>-2342.7615089820356</v>
      </c>
      <c r="N130" s="168">
        <f t="shared" si="119"/>
        <v>-2325.5008723605415</v>
      </c>
      <c r="O130" s="168">
        <f t="shared" si="119"/>
        <v>-2308.2402357390479</v>
      </c>
      <c r="P130" s="168">
        <f t="shared" si="119"/>
        <v>-2290.9795991175538</v>
      </c>
      <c r="Q130" s="168">
        <f t="shared" si="119"/>
        <v>-2273.7189624960602</v>
      </c>
      <c r="R130" s="168">
        <f t="shared" si="119"/>
        <v>-2256.4583258745661</v>
      </c>
      <c r="S130" s="168">
        <f t="shared" si="119"/>
        <v>-2239.1976892530724</v>
      </c>
      <c r="T130" s="168">
        <f t="shared" si="119"/>
        <v>-2221.9370526315784</v>
      </c>
      <c r="U130" s="168">
        <f t="shared" si="119"/>
        <v>-2204.6764160100847</v>
      </c>
      <c r="V130" s="168">
        <f t="shared" si="119"/>
        <v>-2187.4157793885906</v>
      </c>
      <c r="W130" s="168">
        <f t="shared" si="119"/>
        <v>-2170.155142767097</v>
      </c>
      <c r="X130" s="168">
        <f t="shared" si="119"/>
        <v>-2152.8945061456034</v>
      </c>
      <c r="Y130" s="138"/>
    </row>
    <row r="131" spans="2:28" s="137" customFormat="1" ht="25.2" customHeight="1" x14ac:dyDescent="0.25">
      <c r="B131" s="167" t="s">
        <v>253</v>
      </c>
      <c r="C131" s="133" t="s">
        <v>901</v>
      </c>
      <c r="D131" s="168">
        <f t="shared" ref="D131:X131" si="120">D129-(D125+D126)</f>
        <v>-18000</v>
      </c>
      <c r="E131" s="168">
        <f t="shared" si="120"/>
        <v>-2890.1575787330112</v>
      </c>
      <c r="F131" s="168">
        <f t="shared" si="120"/>
        <v>-2898.8576503239624</v>
      </c>
      <c r="G131" s="168">
        <f t="shared" si="120"/>
        <v>-2894.507614528487</v>
      </c>
      <c r="H131" s="168">
        <f t="shared" si="120"/>
        <v>-2890.1575787330112</v>
      </c>
      <c r="I131" s="168">
        <f t="shared" si="120"/>
        <v>-2885.8075429375358</v>
      </c>
      <c r="J131" s="168">
        <f t="shared" si="120"/>
        <v>-2881.45750714206</v>
      </c>
      <c r="K131" s="168">
        <f t="shared" si="120"/>
        <v>-2877.1074713465841</v>
      </c>
      <c r="L131" s="168">
        <f t="shared" si="120"/>
        <v>-2872.7574355511088</v>
      </c>
      <c r="M131" s="168">
        <f t="shared" si="120"/>
        <v>-2868.4073997556329</v>
      </c>
      <c r="N131" s="168">
        <f t="shared" si="120"/>
        <v>-2864.0573639601571</v>
      </c>
      <c r="O131" s="168">
        <f t="shared" si="120"/>
        <v>-2859.7073281646817</v>
      </c>
      <c r="P131" s="168">
        <f t="shared" si="120"/>
        <v>-2855.3572923692059</v>
      </c>
      <c r="Q131" s="168">
        <f t="shared" si="120"/>
        <v>-2851.00725657373</v>
      </c>
      <c r="R131" s="168">
        <f t="shared" si="120"/>
        <v>-2846.6572207782547</v>
      </c>
      <c r="S131" s="168">
        <f t="shared" si="120"/>
        <v>-2842.3071849827788</v>
      </c>
      <c r="T131" s="168">
        <f t="shared" si="120"/>
        <v>-2837.957149187303</v>
      </c>
      <c r="U131" s="168">
        <f t="shared" si="120"/>
        <v>-2833.6071133918276</v>
      </c>
      <c r="V131" s="168">
        <f t="shared" si="120"/>
        <v>-2829.2570775963518</v>
      </c>
      <c r="W131" s="168">
        <f t="shared" si="120"/>
        <v>-2824.907041800876</v>
      </c>
      <c r="X131" s="168">
        <f t="shared" si="120"/>
        <v>-2820.5570060054006</v>
      </c>
      <c r="Y131" s="138"/>
    </row>
    <row r="132" spans="2:28" s="137" customFormat="1" ht="25.2" customHeight="1" x14ac:dyDescent="0.25">
      <c r="B132" s="161" t="s">
        <v>254</v>
      </c>
      <c r="C132" s="169" t="s">
        <v>304</v>
      </c>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38"/>
    </row>
    <row r="133" spans="2:28" s="137" customFormat="1" ht="25.2" customHeight="1" x14ac:dyDescent="0.25">
      <c r="B133" s="167" t="s">
        <v>255</v>
      </c>
      <c r="C133" s="133" t="s">
        <v>902</v>
      </c>
      <c r="D133" s="168">
        <f>D130</f>
        <v>-18000</v>
      </c>
      <c r="E133" s="178">
        <f t="shared" ref="E133:X133" si="121">E128/POWER(1+0.04,E$3-$D$3)</f>
        <v>592.7416422216296</v>
      </c>
      <c r="F133" s="178">
        <f t="shared" si="121"/>
        <v>538.0270290934792</v>
      </c>
      <c r="G133" s="178">
        <f t="shared" si="121"/>
        <v>532.67832492550292</v>
      </c>
      <c r="H133" s="178">
        <f t="shared" si="121"/>
        <v>526.94516156764689</v>
      </c>
      <c r="I133" s="178">
        <f t="shared" si="121"/>
        <v>520.86502508802016</v>
      </c>
      <c r="J133" s="178">
        <f t="shared" si="121"/>
        <v>514.47308673764337</v>
      </c>
      <c r="K133" s="178">
        <f t="shared" si="121"/>
        <v>507.80232556053818</v>
      </c>
      <c r="L133" s="178">
        <f t="shared" si="121"/>
        <v>500.88364499655688</v>
      </c>
      <c r="M133" s="178">
        <f t="shared" si="121"/>
        <v>493.74598375767408</v>
      </c>
      <c r="N133" s="178">
        <f t="shared" si="121"/>
        <v>486.41642124575179</v>
      </c>
      <c r="O133" s="178">
        <f t="shared" si="121"/>
        <v>478.9202777676494</v>
      </c>
      <c r="P133" s="178">
        <f t="shared" si="121"/>
        <v>471.28120979193687</v>
      </c>
      <c r="Q133" s="178">
        <f t="shared" si="121"/>
        <v>463.52130048038032</v>
      </c>
      <c r="R133" s="178">
        <f t="shared" si="121"/>
        <v>455.6611457167661</v>
      </c>
      <c r="S133" s="178">
        <f t="shared" si="121"/>
        <v>447.71993584550034</v>
      </c>
      <c r="T133" s="178">
        <f t="shared" si="121"/>
        <v>439.71553332273908</v>
      </c>
      <c r="U133" s="178">
        <f t="shared" si="121"/>
        <v>431.66454647355488</v>
      </c>
      <c r="V133" s="178">
        <f t="shared" si="121"/>
        <v>423.58239953980672</v>
      </c>
      <c r="W133" s="178">
        <f t="shared" si="121"/>
        <v>415.4833991949364</v>
      </c>
      <c r="X133" s="178">
        <f t="shared" si="121"/>
        <v>407.38079769384342</v>
      </c>
      <c r="Y133" s="138"/>
    </row>
    <row r="134" spans="2:28" s="137" customFormat="1" ht="25.2" customHeight="1" x14ac:dyDescent="0.25">
      <c r="B134" s="167" t="s">
        <v>256</v>
      </c>
      <c r="C134" s="133" t="s">
        <v>903</v>
      </c>
      <c r="D134" s="168">
        <f>D131</f>
        <v>-18000</v>
      </c>
      <c r="E134" s="178">
        <f t="shared" ref="E134:X134" si="122">E129/POWER(1+0.04,E$3-$D$3)</f>
        <v>149.38309737210417</v>
      </c>
      <c r="F134" s="178">
        <f t="shared" si="122"/>
        <v>135.59388838390996</v>
      </c>
      <c r="G134" s="178">
        <f t="shared" si="122"/>
        <v>134.24590481294862</v>
      </c>
      <c r="H134" s="178">
        <f t="shared" si="122"/>
        <v>132.8010296107833</v>
      </c>
      <c r="I134" s="178">
        <f t="shared" si="122"/>
        <v>131.2687100383512</v>
      </c>
      <c r="J134" s="178">
        <f t="shared" si="122"/>
        <v>129.65780997502512</v>
      </c>
      <c r="K134" s="178">
        <f t="shared" si="122"/>
        <v>127.97664081888044</v>
      </c>
      <c r="L134" s="178">
        <f t="shared" si="122"/>
        <v>126.23299087300863</v>
      </c>
      <c r="M134" s="178">
        <f t="shared" si="122"/>
        <v>124.43415328862569</v>
      </c>
      <c r="N134" s="178">
        <f t="shared" si="122"/>
        <v>122.58695263251924</v>
      </c>
      <c r="O134" s="178">
        <f t="shared" si="122"/>
        <v>120.69777014331946</v>
      </c>
      <c r="P134" s="178">
        <f t="shared" si="122"/>
        <v>118.77256773815199</v>
      </c>
      <c r="Q134" s="178">
        <f t="shared" si="122"/>
        <v>116.81691082843632</v>
      </c>
      <c r="R134" s="178">
        <f t="shared" si="122"/>
        <v>114.83599000092043</v>
      </c>
      <c r="S134" s="178">
        <f t="shared" si="122"/>
        <v>112.83464161749095</v>
      </c>
      <c r="T134" s="178">
        <f t="shared" si="122"/>
        <v>110.81736738485641</v>
      </c>
      <c r="U134" s="178">
        <f t="shared" si="122"/>
        <v>108.78835294287205</v>
      </c>
      <c r="V134" s="178">
        <f t="shared" si="122"/>
        <v>106.75148551804496</v>
      </c>
      <c r="W134" s="178">
        <f t="shared" si="122"/>
        <v>104.7103706866323</v>
      </c>
      <c r="X134" s="178">
        <f t="shared" si="122"/>
        <v>102.6683482897099</v>
      </c>
      <c r="Y134" s="138"/>
    </row>
    <row r="135" spans="2:28" s="137" customFormat="1" ht="25.2" customHeight="1" x14ac:dyDescent="0.25">
      <c r="B135" s="167" t="s">
        <v>257</v>
      </c>
      <c r="C135" s="133" t="s">
        <v>904</v>
      </c>
      <c r="D135" s="166">
        <f>NPV(0.04,E130:X130)+D130</f>
        <v>-49740.04713779904</v>
      </c>
      <c r="E135" s="179"/>
      <c r="F135" s="171"/>
      <c r="G135" s="171"/>
      <c r="H135" s="171"/>
      <c r="I135" s="171"/>
      <c r="J135" s="171"/>
      <c r="K135" s="171"/>
      <c r="L135" s="171"/>
      <c r="M135" s="171"/>
      <c r="N135" s="171"/>
      <c r="O135" s="171"/>
      <c r="P135" s="171"/>
      <c r="Q135" s="171"/>
      <c r="R135" s="171"/>
      <c r="S135" s="171"/>
      <c r="T135" s="171"/>
      <c r="U135" s="171"/>
      <c r="V135" s="171"/>
      <c r="W135" s="171"/>
      <c r="X135" s="171"/>
      <c r="Y135" s="138"/>
    </row>
    <row r="136" spans="2:28" s="137" customFormat="1" ht="25.2" customHeight="1" x14ac:dyDescent="0.25">
      <c r="B136" s="167" t="s">
        <v>258</v>
      </c>
      <c r="C136" s="133" t="s">
        <v>905</v>
      </c>
      <c r="D136" s="166">
        <f>NPV(0.04,E131:X131)+D131</f>
        <v>-56957.681345864017</v>
      </c>
      <c r="E136" s="171"/>
      <c r="F136" s="171"/>
      <c r="G136" s="171"/>
      <c r="H136" s="171"/>
      <c r="I136" s="171"/>
      <c r="J136" s="171"/>
      <c r="K136" s="171"/>
      <c r="L136" s="171"/>
      <c r="M136" s="171"/>
      <c r="N136" s="171"/>
      <c r="O136" s="171"/>
      <c r="P136" s="171"/>
      <c r="Q136" s="171"/>
      <c r="R136" s="171"/>
      <c r="S136" s="171"/>
      <c r="T136" s="171"/>
      <c r="U136" s="171"/>
      <c r="V136" s="171"/>
      <c r="W136" s="171"/>
      <c r="X136" s="171"/>
      <c r="Y136" s="138"/>
    </row>
    <row r="137" spans="2:28" s="137" customFormat="1" ht="25.2" customHeight="1" x14ac:dyDescent="0.25">
      <c r="B137" s="167" t="s">
        <v>259</v>
      </c>
      <c r="C137" s="133" t="s">
        <v>906</v>
      </c>
      <c r="D137" s="168">
        <f>D128-(D125+D126)</f>
        <v>-18000</v>
      </c>
      <c r="E137" s="178">
        <f>D137+E133</f>
        <v>-17407.25835777837</v>
      </c>
      <c r="F137" s="166">
        <f t="shared" ref="F137:F138" si="123">E137+F133</f>
        <v>-16869.231328684891</v>
      </c>
      <c r="G137" s="166">
        <f t="shared" ref="G137:G138" si="124">F137+G133</f>
        <v>-16336.553003759389</v>
      </c>
      <c r="H137" s="166">
        <f t="shared" ref="H137:H138" si="125">G137+H133</f>
        <v>-15809.607842191743</v>
      </c>
      <c r="I137" s="166">
        <f t="shared" ref="I137:I138" si="126">H137+I133</f>
        <v>-15288.742817103723</v>
      </c>
      <c r="J137" s="166">
        <f t="shared" ref="J137:J138" si="127">I137+J133</f>
        <v>-14774.269730366079</v>
      </c>
      <c r="K137" s="166">
        <f t="shared" ref="K137:K138" si="128">J137+K133</f>
        <v>-14266.46740480554</v>
      </c>
      <c r="L137" s="166">
        <f t="shared" ref="L137:L138" si="129">K137+L133</f>
        <v>-13765.583759808984</v>
      </c>
      <c r="M137" s="166">
        <f t="shared" ref="M137:M138" si="130">L137+M133</f>
        <v>-13271.83777605131</v>
      </c>
      <c r="N137" s="166">
        <f t="shared" ref="N137:N138" si="131">M137+N133</f>
        <v>-12785.421354805558</v>
      </c>
      <c r="O137" s="166">
        <f t="shared" ref="O137:O138" si="132">N137+O133</f>
        <v>-12306.501077037909</v>
      </c>
      <c r="P137" s="166">
        <f t="shared" ref="P137:P138" si="133">O137+P133</f>
        <v>-11835.219867245971</v>
      </c>
      <c r="Q137" s="166">
        <f t="shared" ref="Q137:Q138" si="134">P137+Q133</f>
        <v>-11371.69856676559</v>
      </c>
      <c r="R137" s="166">
        <f t="shared" ref="R137:R138" si="135">Q137+R133</f>
        <v>-10916.037421048824</v>
      </c>
      <c r="S137" s="166">
        <f t="shared" ref="S137:S138" si="136">R137+S133</f>
        <v>-10468.317485203324</v>
      </c>
      <c r="T137" s="166">
        <f t="shared" ref="T137:T138" si="137">S137+T133</f>
        <v>-10028.601951880586</v>
      </c>
      <c r="U137" s="166">
        <f t="shared" ref="U137:U138" si="138">T137+U133</f>
        <v>-9596.9374054070304</v>
      </c>
      <c r="V137" s="166">
        <f t="shared" ref="V137:V138" si="139">U137+V133</f>
        <v>-9173.3550058672245</v>
      </c>
      <c r="W137" s="166">
        <f t="shared" ref="W137:W138" si="140">V137+W133</f>
        <v>-8757.8716066722882</v>
      </c>
      <c r="X137" s="166">
        <f t="shared" ref="X137:X138" si="141">W137+X133</f>
        <v>-8350.490808978444</v>
      </c>
      <c r="Y137" s="138"/>
      <c r="Z137" s="213"/>
      <c r="AA137" s="215"/>
      <c r="AB137" s="214"/>
    </row>
    <row r="138" spans="2:28" s="137" customFormat="1" ht="25.2" customHeight="1" x14ac:dyDescent="0.25">
      <c r="B138" s="167" t="s">
        <v>260</v>
      </c>
      <c r="C138" s="133" t="s">
        <v>907</v>
      </c>
      <c r="D138" s="168">
        <f>D129-(D125+D126)</f>
        <v>-18000</v>
      </c>
      <c r="E138" s="178">
        <f>D138+E134</f>
        <v>-17850.616902627895</v>
      </c>
      <c r="F138" s="166">
        <f t="shared" si="123"/>
        <v>-17715.023014243983</v>
      </c>
      <c r="G138" s="166">
        <f t="shared" si="124"/>
        <v>-17580.777109431034</v>
      </c>
      <c r="H138" s="166">
        <f t="shared" si="125"/>
        <v>-17447.976079820251</v>
      </c>
      <c r="I138" s="166">
        <f t="shared" si="126"/>
        <v>-17316.7073697819</v>
      </c>
      <c r="J138" s="166">
        <f t="shared" si="127"/>
        <v>-17187.049559806874</v>
      </c>
      <c r="K138" s="166">
        <f t="shared" si="128"/>
        <v>-17059.072918987993</v>
      </c>
      <c r="L138" s="166">
        <f t="shared" si="129"/>
        <v>-16932.839928114983</v>
      </c>
      <c r="M138" s="166">
        <f t="shared" si="130"/>
        <v>-16808.405774826359</v>
      </c>
      <c r="N138" s="166">
        <f t="shared" si="131"/>
        <v>-16685.81882219384</v>
      </c>
      <c r="O138" s="166">
        <f t="shared" si="132"/>
        <v>-16565.121052050519</v>
      </c>
      <c r="P138" s="166">
        <f t="shared" si="133"/>
        <v>-16446.348484312366</v>
      </c>
      <c r="Q138" s="166">
        <f t="shared" si="134"/>
        <v>-16329.53157348393</v>
      </c>
      <c r="R138" s="166">
        <f t="shared" si="135"/>
        <v>-16214.69558348301</v>
      </c>
      <c r="S138" s="166">
        <f t="shared" si="136"/>
        <v>-16101.860941865518</v>
      </c>
      <c r="T138" s="166">
        <f t="shared" si="137"/>
        <v>-15991.043574480662</v>
      </c>
      <c r="U138" s="166">
        <f t="shared" si="138"/>
        <v>-15882.255221537789</v>
      </c>
      <c r="V138" s="166">
        <f t="shared" si="139"/>
        <v>-15775.503736019744</v>
      </c>
      <c r="W138" s="166">
        <f t="shared" si="140"/>
        <v>-15670.793365333111</v>
      </c>
      <c r="X138" s="166">
        <f t="shared" si="141"/>
        <v>-15568.125017043401</v>
      </c>
      <c r="Y138" s="138"/>
      <c r="Z138" s="213"/>
    </row>
    <row r="139" spans="2:28" s="137" customFormat="1" ht="25.2" customHeight="1" x14ac:dyDescent="0.25">
      <c r="B139" s="167" t="s">
        <v>261</v>
      </c>
      <c r="C139" s="133" t="s">
        <v>316</v>
      </c>
      <c r="D139" s="216" t="e">
        <f t="array" aca="1" ref="D139" ca="1">MATCH(TRUE,INDEX($E137:$X137&gt;0,0),0)+(-LOOKUP(9.99999999999999E+307, IF($E137:$X137&lt;0, $E137:$X137))/LOOKUP(9.99999999999999E+307, IF($E137:$X137&lt;0, OFFSET($E133:$X133,0,1))))</f>
        <v>#N/A</v>
      </c>
      <c r="E139" s="171"/>
      <c r="F139" s="171"/>
      <c r="G139" s="171"/>
      <c r="H139" s="171"/>
      <c r="I139" s="171"/>
      <c r="J139" s="171"/>
      <c r="K139" s="171"/>
      <c r="L139" s="171"/>
      <c r="M139" s="171"/>
      <c r="N139" s="171"/>
      <c r="O139" s="171"/>
      <c r="P139" s="171"/>
      <c r="Q139" s="171"/>
      <c r="R139" s="171"/>
      <c r="S139" s="171"/>
      <c r="T139" s="171"/>
      <c r="U139" s="171"/>
      <c r="V139" s="171"/>
      <c r="W139" s="171"/>
      <c r="X139" s="171"/>
      <c r="Y139" s="138"/>
    </row>
    <row r="140" spans="2:28" s="137" customFormat="1" ht="25.2" customHeight="1" x14ac:dyDescent="0.25">
      <c r="B140" s="167" t="s">
        <v>262</v>
      </c>
      <c r="C140" s="133" t="s">
        <v>317</v>
      </c>
      <c r="D140" s="216" t="e">
        <f t="array" aca="1" ref="D140" ca="1">MATCH(TRUE,INDEX($E138:$X138&gt;0,0),0)+(-LOOKUP(9.99999999999999E+307, IF($E138:$X138&lt;0, $E138:$X138))/LOOKUP(9.99999999999999E+307, IF($E138:$X138&lt;0, OFFSET($E134:$X134,0,1))))</f>
        <v>#N/A</v>
      </c>
      <c r="E140" s="171"/>
      <c r="F140" s="171"/>
      <c r="G140" s="171"/>
      <c r="H140" s="171"/>
      <c r="I140" s="171"/>
      <c r="J140" s="171"/>
      <c r="K140" s="171"/>
      <c r="L140" s="171"/>
      <c r="M140" s="171"/>
      <c r="N140" s="171"/>
      <c r="O140" s="171"/>
      <c r="P140" s="171"/>
      <c r="Q140" s="171"/>
      <c r="R140" s="171"/>
      <c r="S140" s="171"/>
      <c r="T140" s="171"/>
      <c r="U140" s="171"/>
      <c r="V140" s="171"/>
      <c r="W140" s="171"/>
      <c r="X140" s="171"/>
      <c r="Y140" s="138"/>
    </row>
    <row r="141" spans="2:28" s="137" customFormat="1" ht="25.2" customHeight="1" x14ac:dyDescent="0.25">
      <c r="B141" s="167" t="s">
        <v>263</v>
      </c>
      <c r="C141" s="133" t="s">
        <v>319</v>
      </c>
      <c r="D141" s="172" t="e">
        <f>IRR(D130:X130)</f>
        <v>#NUM!</v>
      </c>
      <c r="E141" s="180"/>
      <c r="F141" s="171"/>
      <c r="G141" s="171"/>
      <c r="H141" s="171"/>
      <c r="I141" s="171"/>
      <c r="J141" s="171"/>
      <c r="K141" s="171"/>
      <c r="L141" s="171"/>
      <c r="M141" s="171"/>
      <c r="N141" s="171"/>
      <c r="O141" s="171"/>
      <c r="P141" s="171"/>
      <c r="Q141" s="171"/>
      <c r="R141" s="171"/>
      <c r="S141" s="171"/>
      <c r="T141" s="171"/>
      <c r="U141" s="171"/>
      <c r="V141" s="171"/>
      <c r="W141" s="171"/>
      <c r="X141" s="171"/>
      <c r="Y141" s="138"/>
    </row>
    <row r="142" spans="2:28" s="137" customFormat="1" ht="25.2" customHeight="1" x14ac:dyDescent="0.25">
      <c r="B142" s="167" t="s">
        <v>264</v>
      </c>
      <c r="C142" s="133" t="s">
        <v>320</v>
      </c>
      <c r="D142" s="172" t="e">
        <f>IRR(D131:X131)</f>
        <v>#NUM!</v>
      </c>
      <c r="E142" s="171"/>
      <c r="F142" s="171"/>
      <c r="G142" s="171"/>
      <c r="H142" s="171"/>
      <c r="I142" s="171"/>
      <c r="J142" s="171"/>
      <c r="K142" s="171"/>
      <c r="L142" s="171"/>
      <c r="M142" s="171"/>
      <c r="N142" s="171"/>
      <c r="O142" s="171"/>
      <c r="P142" s="171"/>
      <c r="Q142" s="171"/>
      <c r="R142" s="171"/>
      <c r="S142" s="171"/>
      <c r="T142" s="171"/>
      <c r="U142" s="171"/>
      <c r="V142" s="171"/>
      <c r="W142" s="171"/>
      <c r="X142" s="171"/>
      <c r="Y142" s="138"/>
    </row>
    <row r="143" spans="2:28" s="137" customFormat="1" ht="116.85" customHeight="1" x14ac:dyDescent="0.25">
      <c r="B143" s="839" t="s">
        <v>266</v>
      </c>
      <c r="C143" s="839"/>
      <c r="D143" s="839"/>
      <c r="E143" s="839"/>
      <c r="F143" s="839"/>
      <c r="G143" s="839"/>
      <c r="H143" s="839"/>
      <c r="I143" s="839"/>
      <c r="J143" s="839"/>
      <c r="K143" s="839"/>
      <c r="L143" s="839"/>
      <c r="M143" s="839"/>
      <c r="N143" s="839"/>
      <c r="O143" s="839"/>
      <c r="P143" s="839"/>
      <c r="Q143" s="839"/>
      <c r="R143" s="839"/>
      <c r="S143" s="839"/>
      <c r="T143" s="839"/>
      <c r="U143" s="839"/>
      <c r="V143" s="839"/>
      <c r="W143" s="839"/>
      <c r="X143" s="839"/>
      <c r="Y143" s="138"/>
    </row>
    <row r="146" spans="2:25" s="137" customFormat="1" ht="30" customHeight="1" x14ac:dyDescent="0.25">
      <c r="B146" s="217" t="s">
        <v>471</v>
      </c>
      <c r="C146" s="703" t="e">
        <f>Measures_summary!#REF!</f>
        <v>#REF!</v>
      </c>
      <c r="D146" s="704"/>
      <c r="E146" s="704"/>
      <c r="F146" s="704"/>
      <c r="G146" s="704"/>
      <c r="H146" s="704"/>
      <c r="I146" s="704"/>
      <c r="J146" s="704"/>
      <c r="K146" s="704"/>
      <c r="L146" s="704"/>
      <c r="M146" s="704"/>
      <c r="N146" s="704"/>
      <c r="O146" s="704"/>
      <c r="P146" s="704"/>
      <c r="Q146" s="704"/>
      <c r="R146" s="704"/>
      <c r="S146" s="704"/>
      <c r="T146" s="704"/>
      <c r="U146" s="704"/>
      <c r="V146" s="704"/>
      <c r="W146" s="704"/>
      <c r="X146" s="705"/>
      <c r="Y146" s="138"/>
    </row>
    <row r="147" spans="2:25" s="137" customFormat="1" ht="30" customHeight="1" x14ac:dyDescent="0.25">
      <c r="B147" s="158" t="s">
        <v>42</v>
      </c>
      <c r="C147" s="28" t="s">
        <v>265</v>
      </c>
      <c r="D147" s="28">
        <v>2023</v>
      </c>
      <c r="E147" s="28">
        <v>2024</v>
      </c>
      <c r="F147" s="28">
        <v>2025</v>
      </c>
      <c r="G147" s="28">
        <v>2026</v>
      </c>
      <c r="H147" s="28">
        <v>2027</v>
      </c>
      <c r="I147" s="28">
        <v>2028</v>
      </c>
      <c r="J147" s="28">
        <v>2029</v>
      </c>
      <c r="K147" s="28">
        <v>2030</v>
      </c>
      <c r="L147" s="28">
        <v>2031</v>
      </c>
      <c r="M147" s="28">
        <v>2032</v>
      </c>
      <c r="N147" s="28">
        <v>2033</v>
      </c>
      <c r="O147" s="28">
        <v>2034</v>
      </c>
      <c r="P147" s="28">
        <v>2035</v>
      </c>
      <c r="Q147" s="28">
        <v>2036</v>
      </c>
      <c r="R147" s="28">
        <v>2037</v>
      </c>
      <c r="S147" s="28">
        <v>2038</v>
      </c>
      <c r="T147" s="28">
        <v>2039</v>
      </c>
      <c r="U147" s="28">
        <v>2040</v>
      </c>
      <c r="V147" s="28">
        <v>2041</v>
      </c>
      <c r="W147" s="28">
        <v>2042</v>
      </c>
      <c r="X147" s="28">
        <v>2043</v>
      </c>
      <c r="Y147" s="138"/>
    </row>
    <row r="148" spans="2:25" s="137" customFormat="1" ht="25.2" customHeight="1" x14ac:dyDescent="0.25">
      <c r="B148" s="161">
        <v>1</v>
      </c>
      <c r="C148" s="162" t="s">
        <v>302</v>
      </c>
      <c r="D148" s="163"/>
      <c r="E148" s="163"/>
      <c r="F148" s="163"/>
      <c r="G148" s="163"/>
      <c r="H148" s="163"/>
      <c r="I148" s="163"/>
      <c r="J148" s="163"/>
      <c r="K148" s="163"/>
      <c r="L148" s="163"/>
      <c r="M148" s="30"/>
      <c r="N148" s="30"/>
      <c r="O148" s="30"/>
      <c r="P148" s="30"/>
      <c r="Q148" s="30"/>
      <c r="R148" s="30"/>
      <c r="S148" s="30"/>
      <c r="T148" s="30"/>
      <c r="U148" s="30"/>
      <c r="V148" s="30"/>
      <c r="W148" s="30"/>
      <c r="X148" s="30"/>
      <c r="Y148" s="138"/>
    </row>
    <row r="149" spans="2:25" s="137" customFormat="1" ht="25.2" customHeight="1" x14ac:dyDescent="0.25">
      <c r="B149" s="164" t="s">
        <v>248</v>
      </c>
      <c r="C149" s="165" t="s">
        <v>896</v>
      </c>
      <c r="D149" s="166" t="e">
        <f>Measures_summary!#REF!</f>
        <v>#REF!</v>
      </c>
      <c r="E149" s="163"/>
      <c r="F149" s="163"/>
      <c r="G149" s="163"/>
      <c r="H149" s="163"/>
      <c r="I149" s="163"/>
      <c r="J149" s="163"/>
      <c r="K149" s="163"/>
      <c r="L149" s="163"/>
      <c r="M149" s="163"/>
      <c r="N149" s="163"/>
      <c r="O149" s="163"/>
      <c r="P149" s="163"/>
      <c r="Q149" s="163"/>
      <c r="R149" s="163"/>
      <c r="S149" s="163"/>
      <c r="T149" s="163"/>
      <c r="U149" s="163"/>
      <c r="V149" s="163"/>
      <c r="W149" s="163"/>
      <c r="X149" s="163"/>
      <c r="Y149" s="138"/>
    </row>
    <row r="150" spans="2:25" s="137" customFormat="1" ht="25.2" customHeight="1" x14ac:dyDescent="0.25">
      <c r="B150" s="164" t="s">
        <v>249</v>
      </c>
      <c r="C150" s="165" t="s">
        <v>897</v>
      </c>
      <c r="D150" s="163"/>
      <c r="E150" s="166">
        <f>4%*$D$5</f>
        <v>3045.5159999999996</v>
      </c>
      <c r="F150" s="166">
        <f t="shared" ref="F150:X150" si="142">4%*$D$5</f>
        <v>3045.5159999999996</v>
      </c>
      <c r="G150" s="166">
        <f t="shared" si="142"/>
        <v>3045.5159999999996</v>
      </c>
      <c r="H150" s="166">
        <f t="shared" si="142"/>
        <v>3045.5159999999996</v>
      </c>
      <c r="I150" s="166">
        <f t="shared" si="142"/>
        <v>3045.5159999999996</v>
      </c>
      <c r="J150" s="166">
        <f t="shared" si="142"/>
        <v>3045.5159999999996</v>
      </c>
      <c r="K150" s="166">
        <f t="shared" si="142"/>
        <v>3045.5159999999996</v>
      </c>
      <c r="L150" s="166">
        <f t="shared" si="142"/>
        <v>3045.5159999999996</v>
      </c>
      <c r="M150" s="166">
        <f t="shared" si="142"/>
        <v>3045.5159999999996</v>
      </c>
      <c r="N150" s="166">
        <f t="shared" si="142"/>
        <v>3045.5159999999996</v>
      </c>
      <c r="O150" s="166">
        <f t="shared" si="142"/>
        <v>3045.5159999999996</v>
      </c>
      <c r="P150" s="166">
        <f t="shared" si="142"/>
        <v>3045.5159999999996</v>
      </c>
      <c r="Q150" s="166">
        <f t="shared" si="142"/>
        <v>3045.5159999999996</v>
      </c>
      <c r="R150" s="166">
        <f t="shared" si="142"/>
        <v>3045.5159999999996</v>
      </c>
      <c r="S150" s="166">
        <f t="shared" si="142"/>
        <v>3045.5159999999996</v>
      </c>
      <c r="T150" s="166">
        <f t="shared" si="142"/>
        <v>3045.5159999999996</v>
      </c>
      <c r="U150" s="166">
        <f t="shared" si="142"/>
        <v>3045.5159999999996</v>
      </c>
      <c r="V150" s="166">
        <f t="shared" si="142"/>
        <v>3045.5159999999996</v>
      </c>
      <c r="W150" s="166">
        <f t="shared" si="142"/>
        <v>3045.5159999999996</v>
      </c>
      <c r="X150" s="166">
        <f t="shared" si="142"/>
        <v>3045.5159999999996</v>
      </c>
      <c r="Y150" s="138"/>
    </row>
    <row r="151" spans="2:25" s="137" customFormat="1" ht="25.2" customHeight="1" x14ac:dyDescent="0.25">
      <c r="B151" s="161">
        <v>2</v>
      </c>
      <c r="C151" s="162" t="s">
        <v>303</v>
      </c>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38"/>
    </row>
    <row r="152" spans="2:25" s="137" customFormat="1" ht="25.2" customHeight="1" x14ac:dyDescent="0.25">
      <c r="B152" s="167" t="s">
        <v>250</v>
      </c>
      <c r="C152" s="133" t="s">
        <v>898</v>
      </c>
      <c r="D152" s="163">
        <v>0</v>
      </c>
      <c r="E152" s="166" t="e">
        <f>Measures_summary!#REF!</f>
        <v>#REF!</v>
      </c>
      <c r="F152" s="166" t="e">
        <f t="shared" ref="F152:X152" si="143">$E152*(1.028+0.028*(F147-$F$3))</f>
        <v>#REF!</v>
      </c>
      <c r="G152" s="166" t="e">
        <f t="shared" si="143"/>
        <v>#REF!</v>
      </c>
      <c r="H152" s="166" t="e">
        <f t="shared" si="143"/>
        <v>#REF!</v>
      </c>
      <c r="I152" s="166" t="e">
        <f t="shared" si="143"/>
        <v>#REF!</v>
      </c>
      <c r="J152" s="166" t="e">
        <f t="shared" si="143"/>
        <v>#REF!</v>
      </c>
      <c r="K152" s="166" t="e">
        <f t="shared" si="143"/>
        <v>#REF!</v>
      </c>
      <c r="L152" s="166" t="e">
        <f t="shared" si="143"/>
        <v>#REF!</v>
      </c>
      <c r="M152" s="166" t="e">
        <f t="shared" si="143"/>
        <v>#REF!</v>
      </c>
      <c r="N152" s="166" t="e">
        <f t="shared" si="143"/>
        <v>#REF!</v>
      </c>
      <c r="O152" s="166" t="e">
        <f t="shared" si="143"/>
        <v>#REF!</v>
      </c>
      <c r="P152" s="166" t="e">
        <f t="shared" si="143"/>
        <v>#REF!</v>
      </c>
      <c r="Q152" s="166" t="e">
        <f t="shared" si="143"/>
        <v>#REF!</v>
      </c>
      <c r="R152" s="166" t="e">
        <f t="shared" si="143"/>
        <v>#REF!</v>
      </c>
      <c r="S152" s="166" t="e">
        <f t="shared" si="143"/>
        <v>#REF!</v>
      </c>
      <c r="T152" s="166" t="e">
        <f t="shared" si="143"/>
        <v>#REF!</v>
      </c>
      <c r="U152" s="166" t="e">
        <f t="shared" si="143"/>
        <v>#REF!</v>
      </c>
      <c r="V152" s="166" t="e">
        <f t="shared" si="143"/>
        <v>#REF!</v>
      </c>
      <c r="W152" s="166" t="e">
        <f t="shared" si="143"/>
        <v>#REF!</v>
      </c>
      <c r="X152" s="166" t="e">
        <f t="shared" si="143"/>
        <v>#REF!</v>
      </c>
      <c r="Y152" s="138"/>
    </row>
    <row r="153" spans="2:25" s="137" customFormat="1" ht="25.2" customHeight="1" x14ac:dyDescent="0.25">
      <c r="B153" s="167" t="s">
        <v>251</v>
      </c>
      <c r="C153" s="133" t="s">
        <v>899</v>
      </c>
      <c r="D153" s="163">
        <v>0</v>
      </c>
      <c r="E153" s="166" t="e">
        <f>Measures_summary!#REF!</f>
        <v>#REF!</v>
      </c>
      <c r="F153" s="166" t="e">
        <f t="shared" ref="F153:X153" si="144">$E153*(1.028+0.028*(F147-$F$3))</f>
        <v>#REF!</v>
      </c>
      <c r="G153" s="166" t="e">
        <f t="shared" si="144"/>
        <v>#REF!</v>
      </c>
      <c r="H153" s="166" t="e">
        <f t="shared" si="144"/>
        <v>#REF!</v>
      </c>
      <c r="I153" s="166" t="e">
        <f t="shared" si="144"/>
        <v>#REF!</v>
      </c>
      <c r="J153" s="166" t="e">
        <f t="shared" si="144"/>
        <v>#REF!</v>
      </c>
      <c r="K153" s="166" t="e">
        <f t="shared" si="144"/>
        <v>#REF!</v>
      </c>
      <c r="L153" s="166" t="e">
        <f t="shared" si="144"/>
        <v>#REF!</v>
      </c>
      <c r="M153" s="166" t="e">
        <f t="shared" si="144"/>
        <v>#REF!</v>
      </c>
      <c r="N153" s="166" t="e">
        <f t="shared" si="144"/>
        <v>#REF!</v>
      </c>
      <c r="O153" s="166" t="e">
        <f t="shared" si="144"/>
        <v>#REF!</v>
      </c>
      <c r="P153" s="166" t="e">
        <f t="shared" si="144"/>
        <v>#REF!</v>
      </c>
      <c r="Q153" s="166" t="e">
        <f t="shared" si="144"/>
        <v>#REF!</v>
      </c>
      <c r="R153" s="166" t="e">
        <f t="shared" si="144"/>
        <v>#REF!</v>
      </c>
      <c r="S153" s="166" t="e">
        <f t="shared" si="144"/>
        <v>#REF!</v>
      </c>
      <c r="T153" s="166" t="e">
        <f t="shared" si="144"/>
        <v>#REF!</v>
      </c>
      <c r="U153" s="166" t="e">
        <f t="shared" si="144"/>
        <v>#REF!</v>
      </c>
      <c r="V153" s="166" t="e">
        <f t="shared" si="144"/>
        <v>#REF!</v>
      </c>
      <c r="W153" s="166" t="e">
        <f t="shared" si="144"/>
        <v>#REF!</v>
      </c>
      <c r="X153" s="166" t="e">
        <f t="shared" si="144"/>
        <v>#REF!</v>
      </c>
      <c r="Y153" s="138"/>
    </row>
    <row r="154" spans="2:25" s="137" customFormat="1" ht="25.2" customHeight="1" x14ac:dyDescent="0.25">
      <c r="B154" s="167" t="s">
        <v>252</v>
      </c>
      <c r="C154" s="133" t="s">
        <v>900</v>
      </c>
      <c r="D154" s="168" t="e">
        <f t="shared" ref="D154" si="145">D152-(D149+D150)</f>
        <v>#REF!</v>
      </c>
      <c r="E154" s="168" t="e">
        <f>E152-(E149+E150)</f>
        <v>#REF!</v>
      </c>
      <c r="F154" s="168" t="e">
        <f t="shared" ref="F154:X154" si="146">F152-(F149+F150)</f>
        <v>#REF!</v>
      </c>
      <c r="G154" s="168" t="e">
        <f t="shared" si="146"/>
        <v>#REF!</v>
      </c>
      <c r="H154" s="168" t="e">
        <f t="shared" si="146"/>
        <v>#REF!</v>
      </c>
      <c r="I154" s="168" t="e">
        <f t="shared" si="146"/>
        <v>#REF!</v>
      </c>
      <c r="J154" s="168" t="e">
        <f t="shared" si="146"/>
        <v>#REF!</v>
      </c>
      <c r="K154" s="168" t="e">
        <f t="shared" si="146"/>
        <v>#REF!</v>
      </c>
      <c r="L154" s="168" t="e">
        <f t="shared" si="146"/>
        <v>#REF!</v>
      </c>
      <c r="M154" s="168" t="e">
        <f t="shared" si="146"/>
        <v>#REF!</v>
      </c>
      <c r="N154" s="168" t="e">
        <f t="shared" si="146"/>
        <v>#REF!</v>
      </c>
      <c r="O154" s="168" t="e">
        <f t="shared" si="146"/>
        <v>#REF!</v>
      </c>
      <c r="P154" s="168" t="e">
        <f t="shared" si="146"/>
        <v>#REF!</v>
      </c>
      <c r="Q154" s="168" t="e">
        <f t="shared" si="146"/>
        <v>#REF!</v>
      </c>
      <c r="R154" s="168" t="e">
        <f t="shared" si="146"/>
        <v>#REF!</v>
      </c>
      <c r="S154" s="168" t="e">
        <f t="shared" si="146"/>
        <v>#REF!</v>
      </c>
      <c r="T154" s="168" t="e">
        <f t="shared" si="146"/>
        <v>#REF!</v>
      </c>
      <c r="U154" s="168" t="e">
        <f t="shared" si="146"/>
        <v>#REF!</v>
      </c>
      <c r="V154" s="168" t="e">
        <f t="shared" si="146"/>
        <v>#REF!</v>
      </c>
      <c r="W154" s="168" t="e">
        <f t="shared" si="146"/>
        <v>#REF!</v>
      </c>
      <c r="X154" s="168" t="e">
        <f t="shared" si="146"/>
        <v>#REF!</v>
      </c>
      <c r="Y154" s="138"/>
    </row>
    <row r="155" spans="2:25" s="137" customFormat="1" ht="25.2" customHeight="1" x14ac:dyDescent="0.25">
      <c r="B155" s="167" t="s">
        <v>253</v>
      </c>
      <c r="C155" s="133" t="s">
        <v>901</v>
      </c>
      <c r="D155" s="168" t="e">
        <f t="shared" ref="D155:X155" si="147">D153-(D149+D150)</f>
        <v>#REF!</v>
      </c>
      <c r="E155" s="168" t="e">
        <f t="shared" si="147"/>
        <v>#REF!</v>
      </c>
      <c r="F155" s="168" t="e">
        <f t="shared" si="147"/>
        <v>#REF!</v>
      </c>
      <c r="G155" s="168" t="e">
        <f t="shared" si="147"/>
        <v>#REF!</v>
      </c>
      <c r="H155" s="168" t="e">
        <f t="shared" si="147"/>
        <v>#REF!</v>
      </c>
      <c r="I155" s="168" t="e">
        <f t="shared" si="147"/>
        <v>#REF!</v>
      </c>
      <c r="J155" s="168" t="e">
        <f t="shared" si="147"/>
        <v>#REF!</v>
      </c>
      <c r="K155" s="168" t="e">
        <f t="shared" si="147"/>
        <v>#REF!</v>
      </c>
      <c r="L155" s="168" t="e">
        <f t="shared" si="147"/>
        <v>#REF!</v>
      </c>
      <c r="M155" s="168" t="e">
        <f t="shared" si="147"/>
        <v>#REF!</v>
      </c>
      <c r="N155" s="168" t="e">
        <f t="shared" si="147"/>
        <v>#REF!</v>
      </c>
      <c r="O155" s="168" t="e">
        <f t="shared" si="147"/>
        <v>#REF!</v>
      </c>
      <c r="P155" s="168" t="e">
        <f t="shared" si="147"/>
        <v>#REF!</v>
      </c>
      <c r="Q155" s="168" t="e">
        <f t="shared" si="147"/>
        <v>#REF!</v>
      </c>
      <c r="R155" s="168" t="e">
        <f t="shared" si="147"/>
        <v>#REF!</v>
      </c>
      <c r="S155" s="168" t="e">
        <f t="shared" si="147"/>
        <v>#REF!</v>
      </c>
      <c r="T155" s="168" t="e">
        <f t="shared" si="147"/>
        <v>#REF!</v>
      </c>
      <c r="U155" s="168" t="e">
        <f t="shared" si="147"/>
        <v>#REF!</v>
      </c>
      <c r="V155" s="168" t="e">
        <f t="shared" si="147"/>
        <v>#REF!</v>
      </c>
      <c r="W155" s="168" t="e">
        <f t="shared" si="147"/>
        <v>#REF!</v>
      </c>
      <c r="X155" s="168" t="e">
        <f t="shared" si="147"/>
        <v>#REF!</v>
      </c>
      <c r="Y155" s="138"/>
    </row>
    <row r="156" spans="2:25" s="137" customFormat="1" ht="25.2" customHeight="1" x14ac:dyDescent="0.25">
      <c r="B156" s="161" t="s">
        <v>254</v>
      </c>
      <c r="C156" s="169" t="s">
        <v>304</v>
      </c>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38"/>
    </row>
    <row r="157" spans="2:25" s="137" customFormat="1" ht="25.2" customHeight="1" x14ac:dyDescent="0.25">
      <c r="B157" s="167" t="s">
        <v>255</v>
      </c>
      <c r="C157" s="133" t="s">
        <v>902</v>
      </c>
      <c r="D157" s="168" t="e">
        <f>D154</f>
        <v>#REF!</v>
      </c>
      <c r="E157" s="178" t="e">
        <f t="shared" ref="E157:X157" si="148">E152/POWER(1+0.04,E$3-$D$3)</f>
        <v>#REF!</v>
      </c>
      <c r="F157" s="178" t="e">
        <f t="shared" si="148"/>
        <v>#REF!</v>
      </c>
      <c r="G157" s="178" t="e">
        <f t="shared" si="148"/>
        <v>#REF!</v>
      </c>
      <c r="H157" s="178" t="e">
        <f t="shared" si="148"/>
        <v>#REF!</v>
      </c>
      <c r="I157" s="178" t="e">
        <f t="shared" si="148"/>
        <v>#REF!</v>
      </c>
      <c r="J157" s="178" t="e">
        <f t="shared" si="148"/>
        <v>#REF!</v>
      </c>
      <c r="K157" s="178" t="e">
        <f t="shared" si="148"/>
        <v>#REF!</v>
      </c>
      <c r="L157" s="178" t="e">
        <f t="shared" si="148"/>
        <v>#REF!</v>
      </c>
      <c r="M157" s="178" t="e">
        <f t="shared" si="148"/>
        <v>#REF!</v>
      </c>
      <c r="N157" s="178" t="e">
        <f t="shared" si="148"/>
        <v>#REF!</v>
      </c>
      <c r="O157" s="178" t="e">
        <f t="shared" si="148"/>
        <v>#REF!</v>
      </c>
      <c r="P157" s="178" t="e">
        <f t="shared" si="148"/>
        <v>#REF!</v>
      </c>
      <c r="Q157" s="178" t="e">
        <f t="shared" si="148"/>
        <v>#REF!</v>
      </c>
      <c r="R157" s="178" t="e">
        <f t="shared" si="148"/>
        <v>#REF!</v>
      </c>
      <c r="S157" s="178" t="e">
        <f t="shared" si="148"/>
        <v>#REF!</v>
      </c>
      <c r="T157" s="178" t="e">
        <f t="shared" si="148"/>
        <v>#REF!</v>
      </c>
      <c r="U157" s="178" t="e">
        <f t="shared" si="148"/>
        <v>#REF!</v>
      </c>
      <c r="V157" s="178" t="e">
        <f t="shared" si="148"/>
        <v>#REF!</v>
      </c>
      <c r="W157" s="178" t="e">
        <f t="shared" si="148"/>
        <v>#REF!</v>
      </c>
      <c r="X157" s="178" t="e">
        <f t="shared" si="148"/>
        <v>#REF!</v>
      </c>
      <c r="Y157" s="138"/>
    </row>
    <row r="158" spans="2:25" s="137" customFormat="1" ht="25.2" customHeight="1" x14ac:dyDescent="0.25">
      <c r="B158" s="167" t="s">
        <v>256</v>
      </c>
      <c r="C158" s="133" t="s">
        <v>903</v>
      </c>
      <c r="D158" s="168" t="e">
        <f>D155</f>
        <v>#REF!</v>
      </c>
      <c r="E158" s="178" t="e">
        <f t="shared" ref="E158:X158" si="149">E153/POWER(1+0.04,E$3-$D$3)</f>
        <v>#REF!</v>
      </c>
      <c r="F158" s="178" t="e">
        <f t="shared" si="149"/>
        <v>#REF!</v>
      </c>
      <c r="G158" s="178" t="e">
        <f t="shared" si="149"/>
        <v>#REF!</v>
      </c>
      <c r="H158" s="178" t="e">
        <f t="shared" si="149"/>
        <v>#REF!</v>
      </c>
      <c r="I158" s="178" t="e">
        <f t="shared" si="149"/>
        <v>#REF!</v>
      </c>
      <c r="J158" s="178" t="e">
        <f t="shared" si="149"/>
        <v>#REF!</v>
      </c>
      <c r="K158" s="178" t="e">
        <f t="shared" si="149"/>
        <v>#REF!</v>
      </c>
      <c r="L158" s="178" t="e">
        <f t="shared" si="149"/>
        <v>#REF!</v>
      </c>
      <c r="M158" s="178" t="e">
        <f t="shared" si="149"/>
        <v>#REF!</v>
      </c>
      <c r="N158" s="178" t="e">
        <f t="shared" si="149"/>
        <v>#REF!</v>
      </c>
      <c r="O158" s="178" t="e">
        <f t="shared" si="149"/>
        <v>#REF!</v>
      </c>
      <c r="P158" s="178" t="e">
        <f t="shared" si="149"/>
        <v>#REF!</v>
      </c>
      <c r="Q158" s="178" t="e">
        <f t="shared" si="149"/>
        <v>#REF!</v>
      </c>
      <c r="R158" s="178" t="e">
        <f t="shared" si="149"/>
        <v>#REF!</v>
      </c>
      <c r="S158" s="178" t="e">
        <f t="shared" si="149"/>
        <v>#REF!</v>
      </c>
      <c r="T158" s="178" t="e">
        <f t="shared" si="149"/>
        <v>#REF!</v>
      </c>
      <c r="U158" s="178" t="e">
        <f t="shared" si="149"/>
        <v>#REF!</v>
      </c>
      <c r="V158" s="178" t="e">
        <f t="shared" si="149"/>
        <v>#REF!</v>
      </c>
      <c r="W158" s="178" t="e">
        <f t="shared" si="149"/>
        <v>#REF!</v>
      </c>
      <c r="X158" s="178" t="e">
        <f t="shared" si="149"/>
        <v>#REF!</v>
      </c>
      <c r="Y158" s="138"/>
    </row>
    <row r="159" spans="2:25" s="137" customFormat="1" ht="25.2" customHeight="1" x14ac:dyDescent="0.25">
      <c r="B159" s="167" t="s">
        <v>257</v>
      </c>
      <c r="C159" s="133" t="s">
        <v>904</v>
      </c>
      <c r="D159" s="166" t="e">
        <f>NPV(0.04,E154:X154)+D154</f>
        <v>#REF!</v>
      </c>
      <c r="E159" s="179"/>
      <c r="F159" s="171"/>
      <c r="G159" s="171"/>
      <c r="H159" s="171"/>
      <c r="I159" s="171"/>
      <c r="J159" s="171"/>
      <c r="K159" s="171"/>
      <c r="L159" s="171"/>
      <c r="M159" s="171"/>
      <c r="N159" s="171"/>
      <c r="O159" s="171"/>
      <c r="P159" s="171"/>
      <c r="Q159" s="171"/>
      <c r="R159" s="171"/>
      <c r="S159" s="171"/>
      <c r="T159" s="171"/>
      <c r="U159" s="171"/>
      <c r="V159" s="171"/>
      <c r="W159" s="171"/>
      <c r="X159" s="171"/>
      <c r="Y159" s="138"/>
    </row>
    <row r="160" spans="2:25" s="137" customFormat="1" ht="25.2" customHeight="1" x14ac:dyDescent="0.25">
      <c r="B160" s="167" t="s">
        <v>258</v>
      </c>
      <c r="C160" s="133" t="s">
        <v>905</v>
      </c>
      <c r="D160" s="166" t="e">
        <f>NPV(0.04,E155:X155)+D155</f>
        <v>#REF!</v>
      </c>
      <c r="E160" s="171"/>
      <c r="F160" s="171"/>
      <c r="G160" s="171"/>
      <c r="H160" s="171"/>
      <c r="I160" s="171"/>
      <c r="J160" s="171"/>
      <c r="K160" s="171"/>
      <c r="L160" s="171"/>
      <c r="M160" s="171"/>
      <c r="N160" s="171"/>
      <c r="O160" s="171"/>
      <c r="P160" s="171"/>
      <c r="Q160" s="171"/>
      <c r="R160" s="171"/>
      <c r="S160" s="171"/>
      <c r="T160" s="171"/>
      <c r="U160" s="171"/>
      <c r="V160" s="171"/>
      <c r="W160" s="171"/>
      <c r="X160" s="171"/>
      <c r="Y160" s="138"/>
    </row>
    <row r="161" spans="2:28" s="137" customFormat="1" ht="25.2" customHeight="1" x14ac:dyDescent="0.25">
      <c r="B161" s="167" t="s">
        <v>259</v>
      </c>
      <c r="C161" s="133" t="s">
        <v>906</v>
      </c>
      <c r="D161" s="168" t="e">
        <f>D152-(D149+D150)</f>
        <v>#REF!</v>
      </c>
      <c r="E161" s="178" t="e">
        <f>D161+E157</f>
        <v>#REF!</v>
      </c>
      <c r="F161" s="166" t="e">
        <f t="shared" ref="F161:F162" si="150">E161+F157</f>
        <v>#REF!</v>
      </c>
      <c r="G161" s="166" t="e">
        <f t="shared" ref="G161:G162" si="151">F161+G157</f>
        <v>#REF!</v>
      </c>
      <c r="H161" s="166" t="e">
        <f t="shared" ref="H161:H162" si="152">G161+H157</f>
        <v>#REF!</v>
      </c>
      <c r="I161" s="166" t="e">
        <f t="shared" ref="I161:I162" si="153">H161+I157</f>
        <v>#REF!</v>
      </c>
      <c r="J161" s="166" t="e">
        <f t="shared" ref="J161:J162" si="154">I161+J157</f>
        <v>#REF!</v>
      </c>
      <c r="K161" s="166" t="e">
        <f t="shared" ref="K161:K162" si="155">J161+K157</f>
        <v>#REF!</v>
      </c>
      <c r="L161" s="166" t="e">
        <f t="shared" ref="L161:L162" si="156">K161+L157</f>
        <v>#REF!</v>
      </c>
      <c r="M161" s="166" t="e">
        <f t="shared" ref="M161:M162" si="157">L161+M157</f>
        <v>#REF!</v>
      </c>
      <c r="N161" s="166" t="e">
        <f t="shared" ref="N161:N162" si="158">M161+N157</f>
        <v>#REF!</v>
      </c>
      <c r="O161" s="166" t="e">
        <f t="shared" ref="O161:O162" si="159">N161+O157</f>
        <v>#REF!</v>
      </c>
      <c r="P161" s="166" t="e">
        <f t="shared" ref="P161:P162" si="160">O161+P157</f>
        <v>#REF!</v>
      </c>
      <c r="Q161" s="166" t="e">
        <f t="shared" ref="Q161:Q162" si="161">P161+Q157</f>
        <v>#REF!</v>
      </c>
      <c r="R161" s="166" t="e">
        <f t="shared" ref="R161:R162" si="162">Q161+R157</f>
        <v>#REF!</v>
      </c>
      <c r="S161" s="166" t="e">
        <f t="shared" ref="S161:S162" si="163">R161+S157</f>
        <v>#REF!</v>
      </c>
      <c r="T161" s="166" t="e">
        <f t="shared" ref="T161:T162" si="164">S161+T157</f>
        <v>#REF!</v>
      </c>
      <c r="U161" s="166" t="e">
        <f t="shared" ref="U161:U162" si="165">T161+U157</f>
        <v>#REF!</v>
      </c>
      <c r="V161" s="166" t="e">
        <f t="shared" ref="V161:V162" si="166">U161+V157</f>
        <v>#REF!</v>
      </c>
      <c r="W161" s="166" t="e">
        <f t="shared" ref="W161:W162" si="167">V161+W157</f>
        <v>#REF!</v>
      </c>
      <c r="X161" s="166" t="e">
        <f t="shared" ref="X161:X162" si="168">W161+X157</f>
        <v>#REF!</v>
      </c>
      <c r="Y161" s="138"/>
      <c r="Z161" s="213"/>
      <c r="AA161" s="215"/>
      <c r="AB161" s="214"/>
    </row>
    <row r="162" spans="2:28" s="137" customFormat="1" ht="25.2" customHeight="1" x14ac:dyDescent="0.25">
      <c r="B162" s="167" t="s">
        <v>260</v>
      </c>
      <c r="C162" s="133" t="s">
        <v>907</v>
      </c>
      <c r="D162" s="168" t="e">
        <f>D153-(D149+D150)</f>
        <v>#REF!</v>
      </c>
      <c r="E162" s="178" t="e">
        <f>D162+E158</f>
        <v>#REF!</v>
      </c>
      <c r="F162" s="166" t="e">
        <f t="shared" si="150"/>
        <v>#REF!</v>
      </c>
      <c r="G162" s="166" t="e">
        <f t="shared" si="151"/>
        <v>#REF!</v>
      </c>
      <c r="H162" s="166" t="e">
        <f t="shared" si="152"/>
        <v>#REF!</v>
      </c>
      <c r="I162" s="166" t="e">
        <f t="shared" si="153"/>
        <v>#REF!</v>
      </c>
      <c r="J162" s="166" t="e">
        <f t="shared" si="154"/>
        <v>#REF!</v>
      </c>
      <c r="K162" s="166" t="e">
        <f t="shared" si="155"/>
        <v>#REF!</v>
      </c>
      <c r="L162" s="166" t="e">
        <f t="shared" si="156"/>
        <v>#REF!</v>
      </c>
      <c r="M162" s="166" t="e">
        <f t="shared" si="157"/>
        <v>#REF!</v>
      </c>
      <c r="N162" s="166" t="e">
        <f t="shared" si="158"/>
        <v>#REF!</v>
      </c>
      <c r="O162" s="166" t="e">
        <f t="shared" si="159"/>
        <v>#REF!</v>
      </c>
      <c r="P162" s="166" t="e">
        <f t="shared" si="160"/>
        <v>#REF!</v>
      </c>
      <c r="Q162" s="166" t="e">
        <f t="shared" si="161"/>
        <v>#REF!</v>
      </c>
      <c r="R162" s="166" t="e">
        <f t="shared" si="162"/>
        <v>#REF!</v>
      </c>
      <c r="S162" s="166" t="e">
        <f t="shared" si="163"/>
        <v>#REF!</v>
      </c>
      <c r="T162" s="166" t="e">
        <f t="shared" si="164"/>
        <v>#REF!</v>
      </c>
      <c r="U162" s="166" t="e">
        <f t="shared" si="165"/>
        <v>#REF!</v>
      </c>
      <c r="V162" s="166" t="e">
        <f t="shared" si="166"/>
        <v>#REF!</v>
      </c>
      <c r="W162" s="166" t="e">
        <f t="shared" si="167"/>
        <v>#REF!</v>
      </c>
      <c r="X162" s="166" t="e">
        <f t="shared" si="168"/>
        <v>#REF!</v>
      </c>
      <c r="Y162" s="138"/>
      <c r="Z162" s="213"/>
    </row>
    <row r="163" spans="2:28" s="137" customFormat="1" ht="25.2" customHeight="1" x14ac:dyDescent="0.25">
      <c r="B163" s="167" t="s">
        <v>261</v>
      </c>
      <c r="C163" s="133" t="s">
        <v>316</v>
      </c>
      <c r="D163" s="216" t="e">
        <f t="array" aca="1" ref="D163" ca="1">MATCH(TRUE,INDEX($E161:$X161&gt;0,0),0)+(-LOOKUP(9.99999999999999E+307, IF($E161:$X161&lt;0, $E161:$X161))/LOOKUP(9.99999999999999E+307, IF($E161:$X161&lt;0, OFFSET($E157:$X157,0,1))))</f>
        <v>#N/A</v>
      </c>
      <c r="E163" s="171"/>
      <c r="F163" s="171"/>
      <c r="G163" s="171"/>
      <c r="H163" s="171"/>
      <c r="I163" s="171"/>
      <c r="J163" s="171"/>
      <c r="K163" s="171"/>
      <c r="L163" s="171"/>
      <c r="M163" s="171"/>
      <c r="N163" s="171"/>
      <c r="O163" s="171"/>
      <c r="P163" s="171"/>
      <c r="Q163" s="171"/>
      <c r="R163" s="171"/>
      <c r="S163" s="171"/>
      <c r="T163" s="171"/>
      <c r="U163" s="171"/>
      <c r="V163" s="171"/>
      <c r="W163" s="171"/>
      <c r="X163" s="171"/>
      <c r="Y163" s="138"/>
    </row>
    <row r="164" spans="2:28" s="137" customFormat="1" ht="25.2" customHeight="1" x14ac:dyDescent="0.25">
      <c r="B164" s="167" t="s">
        <v>262</v>
      </c>
      <c r="C164" s="133" t="s">
        <v>317</v>
      </c>
      <c r="D164" s="216" t="e">
        <f t="array" aca="1" ref="D164" ca="1">MATCH(TRUE,INDEX($E162:$X162&gt;0,0),0)+(-LOOKUP(9.99999999999999E+307, IF($E162:$X162&lt;0, $E162:$X162))/LOOKUP(9.99999999999999E+307, IF($E162:$X162&lt;0, OFFSET($E158:$X158,0,1))))</f>
        <v>#N/A</v>
      </c>
      <c r="E164" s="171"/>
      <c r="F164" s="171"/>
      <c r="G164" s="171"/>
      <c r="H164" s="171"/>
      <c r="I164" s="171"/>
      <c r="J164" s="171"/>
      <c r="K164" s="171"/>
      <c r="L164" s="171"/>
      <c r="M164" s="171"/>
      <c r="N164" s="171"/>
      <c r="O164" s="171"/>
      <c r="P164" s="171"/>
      <c r="Q164" s="171"/>
      <c r="R164" s="171"/>
      <c r="S164" s="171"/>
      <c r="T164" s="171"/>
      <c r="U164" s="171"/>
      <c r="V164" s="171"/>
      <c r="W164" s="171"/>
      <c r="X164" s="171"/>
      <c r="Y164" s="138"/>
    </row>
    <row r="165" spans="2:28" s="137" customFormat="1" ht="25.2" customHeight="1" x14ac:dyDescent="0.25">
      <c r="B165" s="167" t="s">
        <v>263</v>
      </c>
      <c r="C165" s="133" t="s">
        <v>319</v>
      </c>
      <c r="D165" s="172" t="e">
        <f>IRR(D154:X154)</f>
        <v>#VALUE!</v>
      </c>
      <c r="E165" s="180"/>
      <c r="F165" s="171"/>
      <c r="G165" s="171"/>
      <c r="H165" s="171"/>
      <c r="I165" s="171"/>
      <c r="J165" s="171"/>
      <c r="K165" s="171"/>
      <c r="L165" s="171"/>
      <c r="M165" s="171"/>
      <c r="N165" s="171"/>
      <c r="O165" s="171"/>
      <c r="P165" s="171"/>
      <c r="Q165" s="171"/>
      <c r="R165" s="171"/>
      <c r="S165" s="171"/>
      <c r="T165" s="171"/>
      <c r="U165" s="171"/>
      <c r="V165" s="171"/>
      <c r="W165" s="171"/>
      <c r="X165" s="171"/>
      <c r="Y165" s="138"/>
    </row>
    <row r="166" spans="2:28" s="137" customFormat="1" ht="25.2" customHeight="1" x14ac:dyDescent="0.25">
      <c r="B166" s="167" t="s">
        <v>264</v>
      </c>
      <c r="C166" s="133" t="s">
        <v>320</v>
      </c>
      <c r="D166" s="172" t="e">
        <f>IRR(D155:X155)</f>
        <v>#VALUE!</v>
      </c>
      <c r="E166" s="171"/>
      <c r="F166" s="171"/>
      <c r="G166" s="171"/>
      <c r="H166" s="171"/>
      <c r="I166" s="171"/>
      <c r="J166" s="171"/>
      <c r="K166" s="171"/>
      <c r="L166" s="171"/>
      <c r="M166" s="171"/>
      <c r="N166" s="171"/>
      <c r="O166" s="171"/>
      <c r="P166" s="171"/>
      <c r="Q166" s="171"/>
      <c r="R166" s="171"/>
      <c r="S166" s="171"/>
      <c r="T166" s="171"/>
      <c r="U166" s="171"/>
      <c r="V166" s="171"/>
      <c r="W166" s="171"/>
      <c r="X166" s="171"/>
      <c r="Y166" s="138"/>
    </row>
    <row r="167" spans="2:28" s="137" customFormat="1" ht="116.85" customHeight="1" x14ac:dyDescent="0.25">
      <c r="B167" s="839" t="s">
        <v>266</v>
      </c>
      <c r="C167" s="839"/>
      <c r="D167" s="839"/>
      <c r="E167" s="839"/>
      <c r="F167" s="839"/>
      <c r="G167" s="839"/>
      <c r="H167" s="839"/>
      <c r="I167" s="839"/>
      <c r="J167" s="839"/>
      <c r="K167" s="839"/>
      <c r="L167" s="839"/>
      <c r="M167" s="839"/>
      <c r="N167" s="839"/>
      <c r="O167" s="839"/>
      <c r="P167" s="839"/>
      <c r="Q167" s="839"/>
      <c r="R167" s="839"/>
      <c r="S167" s="839"/>
      <c r="T167" s="839"/>
      <c r="U167" s="839"/>
      <c r="V167" s="839"/>
      <c r="W167" s="839"/>
      <c r="X167" s="839"/>
      <c r="Y167" s="138"/>
    </row>
    <row r="170" spans="2:28" s="137" customFormat="1" ht="30" customHeight="1" x14ac:dyDescent="0.25">
      <c r="B170" s="217" t="s">
        <v>471</v>
      </c>
      <c r="C170" s="703" t="str">
        <f>Measures_summary!C10</f>
        <v>Replacement of gas boiler</v>
      </c>
      <c r="D170" s="704"/>
      <c r="E170" s="704"/>
      <c r="F170" s="704"/>
      <c r="G170" s="704"/>
      <c r="H170" s="704"/>
      <c r="I170" s="704"/>
      <c r="J170" s="704"/>
      <c r="K170" s="704"/>
      <c r="L170" s="704"/>
      <c r="M170" s="704"/>
      <c r="N170" s="704"/>
      <c r="O170" s="704"/>
      <c r="P170" s="704"/>
      <c r="Q170" s="704"/>
      <c r="R170" s="704"/>
      <c r="S170" s="704"/>
      <c r="T170" s="704"/>
      <c r="U170" s="704"/>
      <c r="V170" s="704"/>
      <c r="W170" s="704"/>
      <c r="X170" s="705"/>
      <c r="Y170" s="138"/>
    </row>
    <row r="171" spans="2:28" s="137" customFormat="1" ht="30" customHeight="1" x14ac:dyDescent="0.25">
      <c r="B171" s="158" t="s">
        <v>42</v>
      </c>
      <c r="C171" s="28" t="s">
        <v>265</v>
      </c>
      <c r="D171" s="28">
        <v>2023</v>
      </c>
      <c r="E171" s="28">
        <v>2024</v>
      </c>
      <c r="F171" s="28">
        <v>2025</v>
      </c>
      <c r="G171" s="28">
        <v>2026</v>
      </c>
      <c r="H171" s="28">
        <v>2027</v>
      </c>
      <c r="I171" s="28">
        <v>2028</v>
      </c>
      <c r="J171" s="28">
        <v>2029</v>
      </c>
      <c r="K171" s="28">
        <v>2030</v>
      </c>
      <c r="L171" s="28">
        <v>2031</v>
      </c>
      <c r="M171" s="28">
        <v>2032</v>
      </c>
      <c r="N171" s="28">
        <v>2033</v>
      </c>
      <c r="O171" s="28">
        <v>2034</v>
      </c>
      <c r="P171" s="28">
        <v>2035</v>
      </c>
      <c r="Q171" s="28">
        <v>2036</v>
      </c>
      <c r="R171" s="28">
        <v>2037</v>
      </c>
      <c r="S171" s="28">
        <v>2038</v>
      </c>
      <c r="T171" s="28">
        <v>2039</v>
      </c>
      <c r="U171" s="28">
        <v>2040</v>
      </c>
      <c r="V171" s="28">
        <v>2041</v>
      </c>
      <c r="W171" s="28">
        <v>2042</v>
      </c>
      <c r="X171" s="28">
        <v>2043</v>
      </c>
      <c r="Y171" s="138"/>
    </row>
    <row r="172" spans="2:28" s="137" customFormat="1" ht="25.2" customHeight="1" x14ac:dyDescent="0.25">
      <c r="B172" s="161">
        <v>1</v>
      </c>
      <c r="C172" s="162" t="s">
        <v>302</v>
      </c>
      <c r="D172" s="163"/>
      <c r="E172" s="163"/>
      <c r="F172" s="163"/>
      <c r="G172" s="163"/>
      <c r="H172" s="163"/>
      <c r="I172" s="163"/>
      <c r="J172" s="163"/>
      <c r="K172" s="163"/>
      <c r="L172" s="163"/>
      <c r="M172" s="30"/>
      <c r="N172" s="30"/>
      <c r="O172" s="30"/>
      <c r="P172" s="30"/>
      <c r="Q172" s="30"/>
      <c r="R172" s="30"/>
      <c r="S172" s="30"/>
      <c r="T172" s="30"/>
      <c r="U172" s="30"/>
      <c r="V172" s="30"/>
      <c r="W172" s="30"/>
      <c r="X172" s="30"/>
      <c r="Y172" s="138"/>
    </row>
    <row r="173" spans="2:28" s="137" customFormat="1" ht="25.2" customHeight="1" x14ac:dyDescent="0.25">
      <c r="B173" s="164" t="s">
        <v>248</v>
      </c>
      <c r="C173" s="165" t="s">
        <v>896</v>
      </c>
      <c r="D173" s="166">
        <f>Measures_summary!D10</f>
        <v>22770</v>
      </c>
      <c r="E173" s="163"/>
      <c r="F173" s="163"/>
      <c r="G173" s="163"/>
      <c r="H173" s="163"/>
      <c r="I173" s="163"/>
      <c r="J173" s="163"/>
      <c r="K173" s="163"/>
      <c r="L173" s="163"/>
      <c r="M173" s="163"/>
      <c r="N173" s="163"/>
      <c r="O173" s="163"/>
      <c r="P173" s="163"/>
      <c r="Q173" s="163"/>
      <c r="R173" s="163"/>
      <c r="S173" s="163"/>
      <c r="T173" s="163"/>
      <c r="U173" s="163"/>
      <c r="V173" s="163"/>
      <c r="W173" s="163"/>
      <c r="X173" s="163"/>
      <c r="Y173" s="138"/>
    </row>
    <row r="174" spans="2:28" s="137" customFormat="1" ht="25.2" customHeight="1" x14ac:dyDescent="0.25">
      <c r="B174" s="164" t="s">
        <v>249</v>
      </c>
      <c r="C174" s="165" t="s">
        <v>897</v>
      </c>
      <c r="D174" s="163"/>
      <c r="E174" s="166">
        <f>4%*$D$5</f>
        <v>3045.5159999999996</v>
      </c>
      <c r="F174" s="166">
        <f t="shared" ref="F174:X174" si="169">4%*$D$5</f>
        <v>3045.5159999999996</v>
      </c>
      <c r="G174" s="166">
        <f t="shared" si="169"/>
        <v>3045.5159999999996</v>
      </c>
      <c r="H174" s="166">
        <f t="shared" si="169"/>
        <v>3045.5159999999996</v>
      </c>
      <c r="I174" s="166">
        <f t="shared" si="169"/>
        <v>3045.5159999999996</v>
      </c>
      <c r="J174" s="166">
        <f t="shared" si="169"/>
        <v>3045.5159999999996</v>
      </c>
      <c r="K174" s="166">
        <f t="shared" si="169"/>
        <v>3045.5159999999996</v>
      </c>
      <c r="L174" s="166">
        <f t="shared" si="169"/>
        <v>3045.5159999999996</v>
      </c>
      <c r="M174" s="166">
        <f t="shared" si="169"/>
        <v>3045.5159999999996</v>
      </c>
      <c r="N174" s="166">
        <f t="shared" si="169"/>
        <v>3045.5159999999996</v>
      </c>
      <c r="O174" s="166">
        <f t="shared" si="169"/>
        <v>3045.5159999999996</v>
      </c>
      <c r="P174" s="166">
        <f t="shared" si="169"/>
        <v>3045.5159999999996</v>
      </c>
      <c r="Q174" s="166">
        <f t="shared" si="169"/>
        <v>3045.5159999999996</v>
      </c>
      <c r="R174" s="166">
        <f t="shared" si="169"/>
        <v>3045.5159999999996</v>
      </c>
      <c r="S174" s="166">
        <f t="shared" si="169"/>
        <v>3045.5159999999996</v>
      </c>
      <c r="T174" s="166">
        <f t="shared" si="169"/>
        <v>3045.5159999999996</v>
      </c>
      <c r="U174" s="166">
        <f t="shared" si="169"/>
        <v>3045.5159999999996</v>
      </c>
      <c r="V174" s="166">
        <f t="shared" si="169"/>
        <v>3045.5159999999996</v>
      </c>
      <c r="W174" s="166">
        <f t="shared" si="169"/>
        <v>3045.5159999999996</v>
      </c>
      <c r="X174" s="166">
        <f t="shared" si="169"/>
        <v>3045.5159999999996</v>
      </c>
      <c r="Y174" s="138"/>
    </row>
    <row r="175" spans="2:28" s="137" customFormat="1" ht="25.2" customHeight="1" x14ac:dyDescent="0.25">
      <c r="B175" s="161">
        <v>2</v>
      </c>
      <c r="C175" s="162" t="s">
        <v>303</v>
      </c>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38"/>
    </row>
    <row r="176" spans="2:28" s="137" customFormat="1" ht="25.2" customHeight="1" x14ac:dyDescent="0.25">
      <c r="B176" s="167" t="s">
        <v>250</v>
      </c>
      <c r="C176" s="133" t="s">
        <v>898</v>
      </c>
      <c r="D176" s="163">
        <v>0</v>
      </c>
      <c r="E176" s="166">
        <f>Measures_summary!F10</f>
        <v>3936.1378388516255</v>
      </c>
      <c r="F176" s="166">
        <f t="shared" ref="F176:X176" si="170">$E176*(1.028+0.028*(F171-$F$3))</f>
        <v>3715.7141198759346</v>
      </c>
      <c r="G176" s="166">
        <f t="shared" si="170"/>
        <v>3825.9259793637798</v>
      </c>
      <c r="H176" s="166">
        <f t="shared" si="170"/>
        <v>3936.1378388516255</v>
      </c>
      <c r="I176" s="166">
        <f t="shared" si="170"/>
        <v>4046.3496983394712</v>
      </c>
      <c r="J176" s="166">
        <f t="shared" si="170"/>
        <v>4156.5615578273164</v>
      </c>
      <c r="K176" s="166">
        <f t="shared" si="170"/>
        <v>4266.7734173151621</v>
      </c>
      <c r="L176" s="166">
        <f t="shared" si="170"/>
        <v>4376.9852768030078</v>
      </c>
      <c r="M176" s="166">
        <f t="shared" si="170"/>
        <v>4487.1971362908535</v>
      </c>
      <c r="N176" s="166">
        <f t="shared" si="170"/>
        <v>4597.4089957786991</v>
      </c>
      <c r="O176" s="166">
        <f t="shared" si="170"/>
        <v>4707.6208552665439</v>
      </c>
      <c r="P176" s="166">
        <f t="shared" si="170"/>
        <v>4817.8327147543896</v>
      </c>
      <c r="Q176" s="166">
        <f t="shared" si="170"/>
        <v>4928.0445742422353</v>
      </c>
      <c r="R176" s="166">
        <f t="shared" si="170"/>
        <v>5038.256433730081</v>
      </c>
      <c r="S176" s="166">
        <f t="shared" si="170"/>
        <v>5148.4682932179267</v>
      </c>
      <c r="T176" s="166">
        <f t="shared" si="170"/>
        <v>5258.6801527057723</v>
      </c>
      <c r="U176" s="166">
        <f t="shared" si="170"/>
        <v>5368.8920121936171</v>
      </c>
      <c r="V176" s="166">
        <f t="shared" si="170"/>
        <v>5479.1038716814619</v>
      </c>
      <c r="W176" s="166">
        <f t="shared" si="170"/>
        <v>5589.3157311693076</v>
      </c>
      <c r="X176" s="166">
        <f t="shared" si="170"/>
        <v>5699.5275906571533</v>
      </c>
      <c r="Y176" s="138"/>
    </row>
    <row r="177" spans="2:28" s="137" customFormat="1" ht="25.2" customHeight="1" x14ac:dyDescent="0.25">
      <c r="B177" s="167" t="s">
        <v>251</v>
      </c>
      <c r="C177" s="133" t="s">
        <v>899</v>
      </c>
      <c r="D177" s="163">
        <v>0</v>
      </c>
      <c r="E177" s="166">
        <f>Measures_summary!J10</f>
        <v>0</v>
      </c>
      <c r="F177" s="166">
        <f t="shared" ref="F177:X177" si="171">$E177*(1.028+0.028*(F171-$F$3))</f>
        <v>0</v>
      </c>
      <c r="G177" s="166">
        <f t="shared" si="171"/>
        <v>0</v>
      </c>
      <c r="H177" s="166">
        <f t="shared" si="171"/>
        <v>0</v>
      </c>
      <c r="I177" s="166">
        <f t="shared" si="171"/>
        <v>0</v>
      </c>
      <c r="J177" s="166">
        <f t="shared" si="171"/>
        <v>0</v>
      </c>
      <c r="K177" s="166">
        <f t="shared" si="171"/>
        <v>0</v>
      </c>
      <c r="L177" s="166">
        <f t="shared" si="171"/>
        <v>0</v>
      </c>
      <c r="M177" s="166">
        <f t="shared" si="171"/>
        <v>0</v>
      </c>
      <c r="N177" s="166">
        <f t="shared" si="171"/>
        <v>0</v>
      </c>
      <c r="O177" s="166">
        <f t="shared" si="171"/>
        <v>0</v>
      </c>
      <c r="P177" s="166">
        <f t="shared" si="171"/>
        <v>0</v>
      </c>
      <c r="Q177" s="166">
        <f t="shared" si="171"/>
        <v>0</v>
      </c>
      <c r="R177" s="166">
        <f t="shared" si="171"/>
        <v>0</v>
      </c>
      <c r="S177" s="166">
        <f t="shared" si="171"/>
        <v>0</v>
      </c>
      <c r="T177" s="166">
        <f t="shared" si="171"/>
        <v>0</v>
      </c>
      <c r="U177" s="166">
        <f t="shared" si="171"/>
        <v>0</v>
      </c>
      <c r="V177" s="166">
        <f t="shared" si="171"/>
        <v>0</v>
      </c>
      <c r="W177" s="166">
        <f t="shared" si="171"/>
        <v>0</v>
      </c>
      <c r="X177" s="166">
        <f t="shared" si="171"/>
        <v>0</v>
      </c>
      <c r="Y177" s="138"/>
    </row>
    <row r="178" spans="2:28" s="137" customFormat="1" ht="25.2" customHeight="1" x14ac:dyDescent="0.25">
      <c r="B178" s="167" t="s">
        <v>252</v>
      </c>
      <c r="C178" s="133" t="s">
        <v>900</v>
      </c>
      <c r="D178" s="168">
        <f t="shared" ref="D178" si="172">D176-(D173+D174)</f>
        <v>-22770</v>
      </c>
      <c r="E178" s="168">
        <f>E176-(E173+E174)</f>
        <v>890.62183885162585</v>
      </c>
      <c r="F178" s="168">
        <f t="shared" ref="F178:X178" si="173">F176-(F173+F174)</f>
        <v>670.19811987593494</v>
      </c>
      <c r="G178" s="168">
        <f t="shared" si="173"/>
        <v>780.40997936378017</v>
      </c>
      <c r="H178" s="168">
        <f t="shared" si="173"/>
        <v>890.62183885162585</v>
      </c>
      <c r="I178" s="168">
        <f t="shared" si="173"/>
        <v>1000.8336983394715</v>
      </c>
      <c r="J178" s="168">
        <f t="shared" si="173"/>
        <v>1111.0455578273168</v>
      </c>
      <c r="K178" s="168">
        <f t="shared" si="173"/>
        <v>1221.2574173151625</v>
      </c>
      <c r="L178" s="168">
        <f t="shared" si="173"/>
        <v>1331.4692768030081</v>
      </c>
      <c r="M178" s="168">
        <f t="shared" si="173"/>
        <v>1441.6811362908538</v>
      </c>
      <c r="N178" s="168">
        <f t="shared" si="173"/>
        <v>1551.8929957786995</v>
      </c>
      <c r="O178" s="168">
        <f t="shared" si="173"/>
        <v>1662.1048552665443</v>
      </c>
      <c r="P178" s="168">
        <f t="shared" si="173"/>
        <v>1772.31671475439</v>
      </c>
      <c r="Q178" s="168">
        <f t="shared" si="173"/>
        <v>1882.5285742422357</v>
      </c>
      <c r="R178" s="168">
        <f t="shared" si="173"/>
        <v>1992.7404337300813</v>
      </c>
      <c r="S178" s="168">
        <f t="shared" si="173"/>
        <v>2102.952293217927</v>
      </c>
      <c r="T178" s="168">
        <f t="shared" si="173"/>
        <v>2213.1641527057727</v>
      </c>
      <c r="U178" s="168">
        <f t="shared" si="173"/>
        <v>2323.3760121936175</v>
      </c>
      <c r="V178" s="168">
        <f t="shared" si="173"/>
        <v>2433.5878716814623</v>
      </c>
      <c r="W178" s="168">
        <f t="shared" si="173"/>
        <v>2543.799731169308</v>
      </c>
      <c r="X178" s="168">
        <f t="shared" si="173"/>
        <v>2654.0115906571536</v>
      </c>
      <c r="Y178" s="138"/>
    </row>
    <row r="179" spans="2:28" s="137" customFormat="1" ht="25.2" customHeight="1" x14ac:dyDescent="0.25">
      <c r="B179" s="167" t="s">
        <v>253</v>
      </c>
      <c r="C179" s="133" t="s">
        <v>901</v>
      </c>
      <c r="D179" s="168">
        <f t="shared" ref="D179:X179" si="174">D177-(D173+D174)</f>
        <v>-22770</v>
      </c>
      <c r="E179" s="168">
        <f t="shared" si="174"/>
        <v>-3045.5159999999996</v>
      </c>
      <c r="F179" s="168">
        <f t="shared" si="174"/>
        <v>-3045.5159999999996</v>
      </c>
      <c r="G179" s="168">
        <f t="shared" si="174"/>
        <v>-3045.5159999999996</v>
      </c>
      <c r="H179" s="168">
        <f t="shared" si="174"/>
        <v>-3045.5159999999996</v>
      </c>
      <c r="I179" s="168">
        <f t="shared" si="174"/>
        <v>-3045.5159999999996</v>
      </c>
      <c r="J179" s="168">
        <f t="shared" si="174"/>
        <v>-3045.5159999999996</v>
      </c>
      <c r="K179" s="168">
        <f t="shared" si="174"/>
        <v>-3045.5159999999996</v>
      </c>
      <c r="L179" s="168">
        <f t="shared" si="174"/>
        <v>-3045.5159999999996</v>
      </c>
      <c r="M179" s="168">
        <f t="shared" si="174"/>
        <v>-3045.5159999999996</v>
      </c>
      <c r="N179" s="168">
        <f t="shared" si="174"/>
        <v>-3045.5159999999996</v>
      </c>
      <c r="O179" s="168">
        <f t="shared" si="174"/>
        <v>-3045.5159999999996</v>
      </c>
      <c r="P179" s="168">
        <f t="shared" si="174"/>
        <v>-3045.5159999999996</v>
      </c>
      <c r="Q179" s="168">
        <f t="shared" si="174"/>
        <v>-3045.5159999999996</v>
      </c>
      <c r="R179" s="168">
        <f t="shared" si="174"/>
        <v>-3045.5159999999996</v>
      </c>
      <c r="S179" s="168">
        <f t="shared" si="174"/>
        <v>-3045.5159999999996</v>
      </c>
      <c r="T179" s="168">
        <f t="shared" si="174"/>
        <v>-3045.5159999999996</v>
      </c>
      <c r="U179" s="168">
        <f t="shared" si="174"/>
        <v>-3045.5159999999996</v>
      </c>
      <c r="V179" s="168">
        <f t="shared" si="174"/>
        <v>-3045.5159999999996</v>
      </c>
      <c r="W179" s="168">
        <f t="shared" si="174"/>
        <v>-3045.5159999999996</v>
      </c>
      <c r="X179" s="168">
        <f t="shared" si="174"/>
        <v>-3045.5159999999996</v>
      </c>
      <c r="Y179" s="138"/>
    </row>
    <row r="180" spans="2:28" s="137" customFormat="1" ht="25.2" customHeight="1" x14ac:dyDescent="0.25">
      <c r="B180" s="161" t="s">
        <v>254</v>
      </c>
      <c r="C180" s="169" t="s">
        <v>304</v>
      </c>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38"/>
    </row>
    <row r="181" spans="2:28" s="137" customFormat="1" ht="25.2" customHeight="1" x14ac:dyDescent="0.25">
      <c r="B181" s="167" t="s">
        <v>255</v>
      </c>
      <c r="C181" s="133" t="s">
        <v>902</v>
      </c>
      <c r="D181" s="168">
        <f>D178</f>
        <v>-22770</v>
      </c>
      <c r="E181" s="178">
        <f t="shared" ref="E181:X181" si="175">E176/POWER(1+0.04,E$3-$D$3)</f>
        <v>3784.7479219727165</v>
      </c>
      <c r="F181" s="178">
        <f t="shared" si="175"/>
        <v>3435.3865753290811</v>
      </c>
      <c r="G181" s="178">
        <f t="shared" si="175"/>
        <v>3401.2342641988539</v>
      </c>
      <c r="H181" s="178">
        <f t="shared" si="175"/>
        <v>3364.6271211210565</v>
      </c>
      <c r="I181" s="178">
        <f t="shared" si="175"/>
        <v>3325.8045004927362</v>
      </c>
      <c r="J181" s="178">
        <f t="shared" si="175"/>
        <v>3284.9909762424513</v>
      </c>
      <c r="K181" s="178">
        <f t="shared" si="175"/>
        <v>3242.3971247148324</v>
      </c>
      <c r="L181" s="178">
        <f t="shared" si="175"/>
        <v>3198.2202691978546</v>
      </c>
      <c r="M181" s="178">
        <f t="shared" si="175"/>
        <v>3152.6451878852672</v>
      </c>
      <c r="N181" s="178">
        <f t="shared" si="175"/>
        <v>3105.8447869854863</v>
      </c>
      <c r="O181" s="178">
        <f t="shared" si="175"/>
        <v>3057.9807406107093</v>
      </c>
      <c r="P181" s="178">
        <f t="shared" si="175"/>
        <v>3009.2040990059072</v>
      </c>
      <c r="Q181" s="178">
        <f t="shared" si="175"/>
        <v>2959.6558666064889</v>
      </c>
      <c r="R181" s="178">
        <f t="shared" si="175"/>
        <v>2909.4675513457742</v>
      </c>
      <c r="S181" s="178">
        <f t="shared" si="175"/>
        <v>2858.7616865687146</v>
      </c>
      <c r="T181" s="178">
        <f t="shared" si="175"/>
        <v>2807.6523268464789</v>
      </c>
      <c r="U181" s="178">
        <f t="shared" si="175"/>
        <v>2756.2455189274792</v>
      </c>
      <c r="V181" s="178">
        <f t="shared" si="175"/>
        <v>2704.6397490039549</v>
      </c>
      <c r="W181" s="178">
        <f t="shared" si="175"/>
        <v>2652.9263674193303</v>
      </c>
      <c r="X181" s="178">
        <f t="shared" si="175"/>
        <v>2601.1899918900258</v>
      </c>
      <c r="Y181" s="138"/>
    </row>
    <row r="182" spans="2:28" s="137" customFormat="1" ht="25.2" customHeight="1" x14ac:dyDescent="0.25">
      <c r="B182" s="167" t="s">
        <v>256</v>
      </c>
      <c r="C182" s="133" t="s">
        <v>903</v>
      </c>
      <c r="D182" s="168">
        <f>D179</f>
        <v>-22770</v>
      </c>
      <c r="E182" s="178">
        <f t="shared" ref="E182:X182" si="176">E177/POWER(1+0.04,E$3-$D$3)</f>
        <v>0</v>
      </c>
      <c r="F182" s="178">
        <f t="shared" si="176"/>
        <v>0</v>
      </c>
      <c r="G182" s="178">
        <f t="shared" si="176"/>
        <v>0</v>
      </c>
      <c r="H182" s="178">
        <f t="shared" si="176"/>
        <v>0</v>
      </c>
      <c r="I182" s="178">
        <f t="shared" si="176"/>
        <v>0</v>
      </c>
      <c r="J182" s="178">
        <f t="shared" si="176"/>
        <v>0</v>
      </c>
      <c r="K182" s="178">
        <f t="shared" si="176"/>
        <v>0</v>
      </c>
      <c r="L182" s="178">
        <f t="shared" si="176"/>
        <v>0</v>
      </c>
      <c r="M182" s="178">
        <f t="shared" si="176"/>
        <v>0</v>
      </c>
      <c r="N182" s="178">
        <f t="shared" si="176"/>
        <v>0</v>
      </c>
      <c r="O182" s="178">
        <f t="shared" si="176"/>
        <v>0</v>
      </c>
      <c r="P182" s="178">
        <f t="shared" si="176"/>
        <v>0</v>
      </c>
      <c r="Q182" s="178">
        <f t="shared" si="176"/>
        <v>0</v>
      </c>
      <c r="R182" s="178">
        <f t="shared" si="176"/>
        <v>0</v>
      </c>
      <c r="S182" s="178">
        <f t="shared" si="176"/>
        <v>0</v>
      </c>
      <c r="T182" s="178">
        <f t="shared" si="176"/>
        <v>0</v>
      </c>
      <c r="U182" s="178">
        <f t="shared" si="176"/>
        <v>0</v>
      </c>
      <c r="V182" s="178">
        <f t="shared" si="176"/>
        <v>0</v>
      </c>
      <c r="W182" s="178">
        <f t="shared" si="176"/>
        <v>0</v>
      </c>
      <c r="X182" s="178">
        <f t="shared" si="176"/>
        <v>0</v>
      </c>
      <c r="Y182" s="138"/>
    </row>
    <row r="183" spans="2:28" s="137" customFormat="1" ht="25.2" customHeight="1" x14ac:dyDescent="0.25">
      <c r="B183" s="167" t="s">
        <v>257</v>
      </c>
      <c r="C183" s="133" t="s">
        <v>904</v>
      </c>
      <c r="D183" s="166">
        <f>NPV(0.04,E178:X178)+D178</f>
        <v>-2545.9337024553897</v>
      </c>
      <c r="E183" s="179"/>
      <c r="F183" s="171"/>
      <c r="G183" s="171"/>
      <c r="H183" s="171"/>
      <c r="I183" s="171"/>
      <c r="J183" s="171"/>
      <c r="K183" s="171"/>
      <c r="L183" s="171"/>
      <c r="M183" s="171"/>
      <c r="N183" s="171"/>
      <c r="O183" s="171"/>
      <c r="P183" s="171"/>
      <c r="Q183" s="171"/>
      <c r="R183" s="171"/>
      <c r="S183" s="171"/>
      <c r="T183" s="171"/>
      <c r="U183" s="171"/>
      <c r="V183" s="171"/>
      <c r="W183" s="171"/>
      <c r="X183" s="171"/>
      <c r="Y183" s="138"/>
    </row>
    <row r="184" spans="2:28" s="137" customFormat="1" ht="25.2" customHeight="1" x14ac:dyDescent="0.25">
      <c r="B184" s="167" t="s">
        <v>258</v>
      </c>
      <c r="C184" s="133" t="s">
        <v>905</v>
      </c>
      <c r="D184" s="166">
        <f>NPV(0.04,E179:X179)+D179</f>
        <v>-64159.556328820581</v>
      </c>
      <c r="E184" s="171"/>
      <c r="F184" s="171"/>
      <c r="G184" s="171"/>
      <c r="H184" s="171"/>
      <c r="I184" s="171"/>
      <c r="J184" s="171"/>
      <c r="K184" s="171"/>
      <c r="L184" s="171"/>
      <c r="M184" s="171"/>
      <c r="N184" s="171"/>
      <c r="O184" s="171"/>
      <c r="P184" s="171"/>
      <c r="Q184" s="171"/>
      <c r="R184" s="171"/>
      <c r="S184" s="171"/>
      <c r="T184" s="171"/>
      <c r="U184" s="171"/>
      <c r="V184" s="171"/>
      <c r="W184" s="171"/>
      <c r="X184" s="171"/>
      <c r="Y184" s="138"/>
    </row>
    <row r="185" spans="2:28" s="137" customFormat="1" ht="25.2" customHeight="1" x14ac:dyDescent="0.25">
      <c r="B185" s="167" t="s">
        <v>259</v>
      </c>
      <c r="C185" s="133" t="s">
        <v>906</v>
      </c>
      <c r="D185" s="168">
        <f>D176-(D173+D174)</f>
        <v>-22770</v>
      </c>
      <c r="E185" s="178">
        <f>D185+E181</f>
        <v>-18985.252078027283</v>
      </c>
      <c r="F185" s="166">
        <f t="shared" ref="F185:F186" si="177">E185+F181</f>
        <v>-15549.865502698201</v>
      </c>
      <c r="G185" s="166">
        <f t="shared" ref="G185:G186" si="178">F185+G181</f>
        <v>-12148.631238499347</v>
      </c>
      <c r="H185" s="166">
        <f t="shared" ref="H185:H186" si="179">G185+H181</f>
        <v>-8784.0041173782902</v>
      </c>
      <c r="I185" s="166">
        <f t="shared" ref="I185:I186" si="180">H185+I181</f>
        <v>-5458.199616885554</v>
      </c>
      <c r="J185" s="166">
        <f t="shared" ref="J185:J186" si="181">I185+J181</f>
        <v>-2173.2086406431026</v>
      </c>
      <c r="K185" s="166">
        <f t="shared" ref="K185:K186" si="182">J185+K181</f>
        <v>1069.1884840717298</v>
      </c>
      <c r="L185" s="166">
        <f t="shared" ref="L185:L186" si="183">K185+L181</f>
        <v>4267.4087532695848</v>
      </c>
      <c r="M185" s="166">
        <f t="shared" ref="M185:M186" si="184">L185+M181</f>
        <v>7420.0539411548525</v>
      </c>
      <c r="N185" s="166">
        <f t="shared" ref="N185:N186" si="185">M185+N181</f>
        <v>10525.898728140339</v>
      </c>
      <c r="O185" s="166">
        <f t="shared" ref="O185:O186" si="186">N185+O181</f>
        <v>13583.879468751049</v>
      </c>
      <c r="P185" s="166">
        <f t="shared" ref="P185:P186" si="187">O185+P181</f>
        <v>16593.083567756956</v>
      </c>
      <c r="Q185" s="166">
        <f t="shared" ref="Q185:Q186" si="188">P185+Q181</f>
        <v>19552.739434363444</v>
      </c>
      <c r="R185" s="166">
        <f t="shared" ref="R185:R186" si="189">Q185+R181</f>
        <v>22462.206985709217</v>
      </c>
      <c r="S185" s="166">
        <f t="shared" ref="S185:S186" si="190">R185+S181</f>
        <v>25320.968672277933</v>
      </c>
      <c r="T185" s="166">
        <f t="shared" ref="T185:T186" si="191">S185+T181</f>
        <v>28128.62099912441</v>
      </c>
      <c r="U185" s="166">
        <f t="shared" ref="U185:U186" si="192">T185+U181</f>
        <v>30884.866518051891</v>
      </c>
      <c r="V185" s="166">
        <f t="shared" ref="V185:V186" si="193">U185+V181</f>
        <v>33589.506267055847</v>
      </c>
      <c r="W185" s="166">
        <f t="shared" ref="W185:W186" si="194">V185+W181</f>
        <v>36242.432634475175</v>
      </c>
      <c r="X185" s="166">
        <f t="shared" ref="X185:X186" si="195">W185+X181</f>
        <v>38843.622626365199</v>
      </c>
      <c r="Y185" s="138"/>
      <c r="Z185" s="213"/>
      <c r="AA185" s="215"/>
      <c r="AB185" s="214"/>
    </row>
    <row r="186" spans="2:28" s="137" customFormat="1" ht="25.2" customHeight="1" x14ac:dyDescent="0.25">
      <c r="B186" s="167" t="s">
        <v>260</v>
      </c>
      <c r="C186" s="133" t="s">
        <v>907</v>
      </c>
      <c r="D186" s="168">
        <f>D177-(D173+D174)</f>
        <v>-22770</v>
      </c>
      <c r="E186" s="178">
        <f>D186+E182</f>
        <v>-22770</v>
      </c>
      <c r="F186" s="166">
        <f t="shared" si="177"/>
        <v>-22770</v>
      </c>
      <c r="G186" s="166">
        <f t="shared" si="178"/>
        <v>-22770</v>
      </c>
      <c r="H186" s="166">
        <f t="shared" si="179"/>
        <v>-22770</v>
      </c>
      <c r="I186" s="166">
        <f t="shared" si="180"/>
        <v>-22770</v>
      </c>
      <c r="J186" s="166">
        <f t="shared" si="181"/>
        <v>-22770</v>
      </c>
      <c r="K186" s="166">
        <f t="shared" si="182"/>
        <v>-22770</v>
      </c>
      <c r="L186" s="166">
        <f t="shared" si="183"/>
        <v>-22770</v>
      </c>
      <c r="M186" s="166">
        <f t="shared" si="184"/>
        <v>-22770</v>
      </c>
      <c r="N186" s="166">
        <f t="shared" si="185"/>
        <v>-22770</v>
      </c>
      <c r="O186" s="166">
        <f t="shared" si="186"/>
        <v>-22770</v>
      </c>
      <c r="P186" s="166">
        <f t="shared" si="187"/>
        <v>-22770</v>
      </c>
      <c r="Q186" s="166">
        <f t="shared" si="188"/>
        <v>-22770</v>
      </c>
      <c r="R186" s="166">
        <f t="shared" si="189"/>
        <v>-22770</v>
      </c>
      <c r="S186" s="166">
        <f t="shared" si="190"/>
        <v>-22770</v>
      </c>
      <c r="T186" s="166">
        <f t="shared" si="191"/>
        <v>-22770</v>
      </c>
      <c r="U186" s="166">
        <f t="shared" si="192"/>
        <v>-22770</v>
      </c>
      <c r="V186" s="166">
        <f t="shared" si="193"/>
        <v>-22770</v>
      </c>
      <c r="W186" s="166">
        <f t="shared" si="194"/>
        <v>-22770</v>
      </c>
      <c r="X186" s="166">
        <f t="shared" si="195"/>
        <v>-22770</v>
      </c>
      <c r="Y186" s="138"/>
      <c r="Z186" s="213"/>
    </row>
    <row r="187" spans="2:28" s="137" customFormat="1" ht="25.2" customHeight="1" x14ac:dyDescent="0.25">
      <c r="B187" s="167" t="s">
        <v>261</v>
      </c>
      <c r="C187" s="133" t="s">
        <v>316</v>
      </c>
      <c r="D187" s="216">
        <f t="array" aca="1" ref="D187" ca="1">MATCH(TRUE,INDEX($E185:$X185&gt;0,0),0)+(-LOOKUP(9.99999999999999E+307, IF($E185:$X185&lt;0, $E185:$X185))/LOOKUP(9.99999999999999E+307, IF($E185:$X185&lt;0, OFFSET($E181:$X181,0,1))))</f>
        <v>7.6702475227596416</v>
      </c>
      <c r="E187" s="171"/>
      <c r="F187" s="171"/>
      <c r="G187" s="171"/>
      <c r="H187" s="171"/>
      <c r="I187" s="171"/>
      <c r="J187" s="171"/>
      <c r="K187" s="171"/>
      <c r="L187" s="171"/>
      <c r="M187" s="171"/>
      <c r="N187" s="171"/>
      <c r="O187" s="171"/>
      <c r="P187" s="171"/>
      <c r="Q187" s="171"/>
      <c r="R187" s="171"/>
      <c r="S187" s="171"/>
      <c r="T187" s="171"/>
      <c r="U187" s="171"/>
      <c r="V187" s="171"/>
      <c r="W187" s="171"/>
      <c r="X187" s="171"/>
      <c r="Y187" s="138"/>
    </row>
    <row r="188" spans="2:28" s="137" customFormat="1" ht="25.2" customHeight="1" x14ac:dyDescent="0.25">
      <c r="B188" s="167" t="s">
        <v>262</v>
      </c>
      <c r="C188" s="133" t="s">
        <v>317</v>
      </c>
      <c r="D188" s="216" t="e">
        <f t="array" aca="1" ref="D188" ca="1">MATCH(TRUE,INDEX($E186:$X186&gt;0,0),0)+(-LOOKUP(9.99999999999999E+307, IF($E186:$X186&lt;0, $E186:$X186))/LOOKUP(9.99999999999999E+307, IF($E186:$X186&lt;0, OFFSET($E182:$X182,0,1))))</f>
        <v>#N/A</v>
      </c>
      <c r="E188" s="171"/>
      <c r="F188" s="171"/>
      <c r="G188" s="171"/>
      <c r="H188" s="171"/>
      <c r="I188" s="171"/>
      <c r="J188" s="171"/>
      <c r="K188" s="171"/>
      <c r="L188" s="171"/>
      <c r="M188" s="171"/>
      <c r="N188" s="171"/>
      <c r="O188" s="171"/>
      <c r="P188" s="171"/>
      <c r="Q188" s="171"/>
      <c r="R188" s="171"/>
      <c r="S188" s="171"/>
      <c r="T188" s="171"/>
      <c r="U188" s="171"/>
      <c r="V188" s="171"/>
      <c r="W188" s="171"/>
      <c r="X188" s="171"/>
      <c r="Y188" s="138"/>
    </row>
    <row r="189" spans="2:28" s="137" customFormat="1" ht="25.2" customHeight="1" x14ac:dyDescent="0.25">
      <c r="B189" s="167" t="s">
        <v>263</v>
      </c>
      <c r="C189" s="133" t="s">
        <v>319</v>
      </c>
      <c r="D189" s="172">
        <f>IRR(D178:X178)</f>
        <v>2.9448834385935596E-2</v>
      </c>
      <c r="E189" s="180"/>
      <c r="F189" s="171"/>
      <c r="G189" s="171"/>
      <c r="H189" s="171"/>
      <c r="I189" s="171"/>
      <c r="J189" s="171"/>
      <c r="K189" s="171"/>
      <c r="L189" s="171"/>
      <c r="M189" s="171"/>
      <c r="N189" s="171"/>
      <c r="O189" s="171"/>
      <c r="P189" s="171"/>
      <c r="Q189" s="171"/>
      <c r="R189" s="171"/>
      <c r="S189" s="171"/>
      <c r="T189" s="171"/>
      <c r="U189" s="171"/>
      <c r="V189" s="171"/>
      <c r="W189" s="171"/>
      <c r="X189" s="171"/>
      <c r="Y189" s="138"/>
    </row>
    <row r="190" spans="2:28" s="137" customFormat="1" ht="25.2" customHeight="1" x14ac:dyDescent="0.25">
      <c r="B190" s="167" t="s">
        <v>264</v>
      </c>
      <c r="C190" s="133" t="s">
        <v>320</v>
      </c>
      <c r="D190" s="172" t="e">
        <f>IRR(D179:X179)</f>
        <v>#NUM!</v>
      </c>
      <c r="E190" s="171"/>
      <c r="F190" s="171"/>
      <c r="G190" s="171"/>
      <c r="H190" s="171"/>
      <c r="I190" s="171"/>
      <c r="J190" s="171"/>
      <c r="K190" s="171"/>
      <c r="L190" s="171"/>
      <c r="M190" s="171"/>
      <c r="N190" s="171"/>
      <c r="O190" s="171"/>
      <c r="P190" s="171"/>
      <c r="Q190" s="171"/>
      <c r="R190" s="171"/>
      <c r="S190" s="171"/>
      <c r="T190" s="171"/>
      <c r="U190" s="171"/>
      <c r="V190" s="171"/>
      <c r="W190" s="171"/>
      <c r="X190" s="171"/>
      <c r="Y190" s="138"/>
    </row>
    <row r="191" spans="2:28" s="137" customFormat="1" ht="116.85" customHeight="1" x14ac:dyDescent="0.25">
      <c r="B191" s="839" t="s">
        <v>266</v>
      </c>
      <c r="C191" s="839"/>
      <c r="D191" s="839"/>
      <c r="E191" s="839"/>
      <c r="F191" s="839"/>
      <c r="G191" s="839"/>
      <c r="H191" s="839"/>
      <c r="I191" s="839"/>
      <c r="J191" s="839"/>
      <c r="K191" s="839"/>
      <c r="L191" s="839"/>
      <c r="M191" s="839"/>
      <c r="N191" s="839"/>
      <c r="O191" s="839"/>
      <c r="P191" s="839"/>
      <c r="Q191" s="839"/>
      <c r="R191" s="839"/>
      <c r="S191" s="839"/>
      <c r="T191" s="839"/>
      <c r="U191" s="839"/>
      <c r="V191" s="839"/>
      <c r="W191" s="839"/>
      <c r="X191" s="839"/>
      <c r="Y191" s="138"/>
    </row>
    <row r="194" spans="2:25" s="137" customFormat="1" ht="30" customHeight="1" x14ac:dyDescent="0.25">
      <c r="B194" s="217" t="s">
        <v>471</v>
      </c>
      <c r="C194" s="703" t="str">
        <f>Measures_summary!C11</f>
        <v>Installation of LED lighting and replacing of distribution system</v>
      </c>
      <c r="D194" s="704"/>
      <c r="E194" s="704"/>
      <c r="F194" s="704"/>
      <c r="G194" s="704"/>
      <c r="H194" s="704"/>
      <c r="I194" s="704"/>
      <c r="J194" s="704"/>
      <c r="K194" s="704"/>
      <c r="L194" s="704"/>
      <c r="M194" s="704"/>
      <c r="N194" s="704"/>
      <c r="O194" s="704"/>
      <c r="P194" s="704"/>
      <c r="Q194" s="704"/>
      <c r="R194" s="704"/>
      <c r="S194" s="704"/>
      <c r="T194" s="704"/>
      <c r="U194" s="704"/>
      <c r="V194" s="704"/>
      <c r="W194" s="704"/>
      <c r="X194" s="705"/>
      <c r="Y194" s="138"/>
    </row>
    <row r="195" spans="2:25" s="137" customFormat="1" ht="30" customHeight="1" x14ac:dyDescent="0.25">
      <c r="B195" s="158" t="s">
        <v>42</v>
      </c>
      <c r="C195" s="28" t="s">
        <v>265</v>
      </c>
      <c r="D195" s="28">
        <v>2023</v>
      </c>
      <c r="E195" s="28">
        <v>2024</v>
      </c>
      <c r="F195" s="28">
        <v>2025</v>
      </c>
      <c r="G195" s="28">
        <v>2026</v>
      </c>
      <c r="H195" s="28">
        <v>2027</v>
      </c>
      <c r="I195" s="28">
        <v>2028</v>
      </c>
      <c r="J195" s="28">
        <v>2029</v>
      </c>
      <c r="K195" s="28">
        <v>2030</v>
      </c>
      <c r="L195" s="28">
        <v>2031</v>
      </c>
      <c r="M195" s="28">
        <v>2032</v>
      </c>
      <c r="N195" s="28">
        <v>2033</v>
      </c>
      <c r="O195" s="28">
        <v>2034</v>
      </c>
      <c r="P195" s="28">
        <v>2035</v>
      </c>
      <c r="Q195" s="28">
        <v>2036</v>
      </c>
      <c r="R195" s="28">
        <v>2037</v>
      </c>
      <c r="S195" s="28">
        <v>2038</v>
      </c>
      <c r="T195" s="28">
        <v>2039</v>
      </c>
      <c r="U195" s="28">
        <v>2040</v>
      </c>
      <c r="V195" s="28">
        <v>2041</v>
      </c>
      <c r="W195" s="28">
        <v>2042</v>
      </c>
      <c r="X195" s="28">
        <v>2043</v>
      </c>
      <c r="Y195" s="138"/>
    </row>
    <row r="196" spans="2:25" s="137" customFormat="1" ht="25.2" customHeight="1" x14ac:dyDescent="0.25">
      <c r="B196" s="161">
        <v>1</v>
      </c>
      <c r="C196" s="162" t="s">
        <v>302</v>
      </c>
      <c r="D196" s="163"/>
      <c r="E196" s="163"/>
      <c r="F196" s="163"/>
      <c r="G196" s="163"/>
      <c r="H196" s="163"/>
      <c r="I196" s="163"/>
      <c r="J196" s="163"/>
      <c r="K196" s="163"/>
      <c r="L196" s="163"/>
      <c r="M196" s="30"/>
      <c r="N196" s="30"/>
      <c r="O196" s="30"/>
      <c r="P196" s="30"/>
      <c r="Q196" s="30"/>
      <c r="R196" s="30"/>
      <c r="S196" s="30"/>
      <c r="T196" s="30"/>
      <c r="U196" s="30"/>
      <c r="V196" s="30"/>
      <c r="W196" s="30"/>
      <c r="X196" s="30"/>
      <c r="Y196" s="138"/>
    </row>
    <row r="197" spans="2:25" s="137" customFormat="1" ht="25.2" customHeight="1" x14ac:dyDescent="0.25">
      <c r="B197" s="164" t="s">
        <v>248</v>
      </c>
      <c r="C197" s="165" t="s">
        <v>896</v>
      </c>
      <c r="D197" s="166">
        <f>Measures_summary!D11</f>
        <v>30000</v>
      </c>
      <c r="E197" s="163"/>
      <c r="F197" s="163"/>
      <c r="G197" s="163"/>
      <c r="H197" s="163"/>
      <c r="I197" s="163"/>
      <c r="J197" s="163"/>
      <c r="K197" s="163"/>
      <c r="L197" s="163"/>
      <c r="M197" s="163"/>
      <c r="N197" s="163"/>
      <c r="O197" s="163"/>
      <c r="P197" s="163"/>
      <c r="Q197" s="163"/>
      <c r="R197" s="163"/>
      <c r="S197" s="163"/>
      <c r="T197" s="163"/>
      <c r="U197" s="163"/>
      <c r="V197" s="163"/>
      <c r="W197" s="163"/>
      <c r="X197" s="163"/>
      <c r="Y197" s="138"/>
    </row>
    <row r="198" spans="2:25" s="137" customFormat="1" ht="25.2" customHeight="1" x14ac:dyDescent="0.25">
      <c r="B198" s="164" t="s">
        <v>249</v>
      </c>
      <c r="C198" s="165" t="s">
        <v>897</v>
      </c>
      <c r="D198" s="163"/>
      <c r="E198" s="166">
        <f>4%*$D$5</f>
        <v>3045.5159999999996</v>
      </c>
      <c r="F198" s="166">
        <f t="shared" ref="F198:X198" si="196">4%*$D$5</f>
        <v>3045.5159999999996</v>
      </c>
      <c r="G198" s="166">
        <f t="shared" si="196"/>
        <v>3045.5159999999996</v>
      </c>
      <c r="H198" s="166">
        <f t="shared" si="196"/>
        <v>3045.5159999999996</v>
      </c>
      <c r="I198" s="166">
        <f t="shared" si="196"/>
        <v>3045.5159999999996</v>
      </c>
      <c r="J198" s="166">
        <f t="shared" si="196"/>
        <v>3045.5159999999996</v>
      </c>
      <c r="K198" s="166">
        <f t="shared" si="196"/>
        <v>3045.5159999999996</v>
      </c>
      <c r="L198" s="166">
        <f t="shared" si="196"/>
        <v>3045.5159999999996</v>
      </c>
      <c r="M198" s="166">
        <f t="shared" si="196"/>
        <v>3045.5159999999996</v>
      </c>
      <c r="N198" s="166">
        <f t="shared" si="196"/>
        <v>3045.5159999999996</v>
      </c>
      <c r="O198" s="166">
        <f t="shared" si="196"/>
        <v>3045.5159999999996</v>
      </c>
      <c r="P198" s="166">
        <f t="shared" si="196"/>
        <v>3045.5159999999996</v>
      </c>
      <c r="Q198" s="166">
        <f t="shared" si="196"/>
        <v>3045.5159999999996</v>
      </c>
      <c r="R198" s="166">
        <f t="shared" si="196"/>
        <v>3045.5159999999996</v>
      </c>
      <c r="S198" s="166">
        <f t="shared" si="196"/>
        <v>3045.5159999999996</v>
      </c>
      <c r="T198" s="166">
        <f t="shared" si="196"/>
        <v>3045.5159999999996</v>
      </c>
      <c r="U198" s="166">
        <f t="shared" si="196"/>
        <v>3045.5159999999996</v>
      </c>
      <c r="V198" s="166">
        <f t="shared" si="196"/>
        <v>3045.5159999999996</v>
      </c>
      <c r="W198" s="166">
        <f t="shared" si="196"/>
        <v>3045.5159999999996</v>
      </c>
      <c r="X198" s="166">
        <f t="shared" si="196"/>
        <v>3045.5159999999996</v>
      </c>
      <c r="Y198" s="138"/>
    </row>
    <row r="199" spans="2:25" s="137" customFormat="1" ht="25.2" customHeight="1" x14ac:dyDescent="0.25">
      <c r="B199" s="161">
        <v>2</v>
      </c>
      <c r="C199" s="162" t="s">
        <v>303</v>
      </c>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38"/>
    </row>
    <row r="200" spans="2:25" s="137" customFormat="1" ht="25.2" customHeight="1" x14ac:dyDescent="0.25">
      <c r="B200" s="167" t="s">
        <v>250</v>
      </c>
      <c r="C200" s="133" t="s">
        <v>898</v>
      </c>
      <c r="D200" s="163">
        <v>0</v>
      </c>
      <c r="E200" s="166">
        <f>Measures_summary!F11</f>
        <v>2138.9402175089826</v>
      </c>
      <c r="F200" s="166">
        <f t="shared" ref="F200:X200" si="197">$E200*(1.028+0.028*(F195-$F$3))</f>
        <v>2019.1595653284799</v>
      </c>
      <c r="G200" s="166">
        <f t="shared" si="197"/>
        <v>2079.049891418731</v>
      </c>
      <c r="H200" s="166">
        <f t="shared" si="197"/>
        <v>2138.9402175089826</v>
      </c>
      <c r="I200" s="166">
        <f t="shared" si="197"/>
        <v>2198.8305435992343</v>
      </c>
      <c r="J200" s="166">
        <f t="shared" si="197"/>
        <v>2258.7208696894859</v>
      </c>
      <c r="K200" s="166">
        <f t="shared" si="197"/>
        <v>2318.6111957797375</v>
      </c>
      <c r="L200" s="166">
        <f t="shared" si="197"/>
        <v>2378.5015218699891</v>
      </c>
      <c r="M200" s="166">
        <f t="shared" si="197"/>
        <v>2438.3918479602403</v>
      </c>
      <c r="N200" s="166">
        <f t="shared" si="197"/>
        <v>2498.2821740504919</v>
      </c>
      <c r="O200" s="166">
        <f t="shared" si="197"/>
        <v>2558.1725001407431</v>
      </c>
      <c r="P200" s="166">
        <f t="shared" si="197"/>
        <v>2618.0628262309947</v>
      </c>
      <c r="Q200" s="166">
        <f t="shared" si="197"/>
        <v>2677.9531523212463</v>
      </c>
      <c r="R200" s="166">
        <f t="shared" si="197"/>
        <v>2737.8434784114979</v>
      </c>
      <c r="S200" s="166">
        <f t="shared" si="197"/>
        <v>2797.7338045017495</v>
      </c>
      <c r="T200" s="166">
        <f t="shared" si="197"/>
        <v>2857.6241305920012</v>
      </c>
      <c r="U200" s="166">
        <f t="shared" si="197"/>
        <v>2917.5144566822523</v>
      </c>
      <c r="V200" s="166">
        <f t="shared" si="197"/>
        <v>2977.4047827725035</v>
      </c>
      <c r="W200" s="166">
        <f t="shared" si="197"/>
        <v>3037.2951088627551</v>
      </c>
      <c r="X200" s="166">
        <f t="shared" si="197"/>
        <v>3097.1854349530067</v>
      </c>
      <c r="Y200" s="138"/>
    </row>
    <row r="201" spans="2:25" s="137" customFormat="1" ht="25.2" customHeight="1" x14ac:dyDescent="0.25">
      <c r="B201" s="167" t="s">
        <v>251</v>
      </c>
      <c r="C201" s="133" t="s">
        <v>899</v>
      </c>
      <c r="D201" s="163">
        <v>0</v>
      </c>
      <c r="E201" s="166">
        <f>Measures_summary!J11</f>
        <v>1608.5349076460848</v>
      </c>
      <c r="F201" s="166">
        <f t="shared" ref="F201:X201" si="198">$E201*(1.028+0.028*(F195-$F$3))</f>
        <v>1518.456952817904</v>
      </c>
      <c r="G201" s="166">
        <f t="shared" si="198"/>
        <v>1563.4959302319944</v>
      </c>
      <c r="H201" s="166">
        <f t="shared" si="198"/>
        <v>1608.5349076460848</v>
      </c>
      <c r="I201" s="166">
        <f t="shared" si="198"/>
        <v>1653.5738850601751</v>
      </c>
      <c r="J201" s="166">
        <f t="shared" si="198"/>
        <v>1698.6128624742655</v>
      </c>
      <c r="K201" s="166">
        <f t="shared" si="198"/>
        <v>1743.6518398883561</v>
      </c>
      <c r="L201" s="166">
        <f t="shared" si="198"/>
        <v>1788.6908173024465</v>
      </c>
      <c r="M201" s="166">
        <f t="shared" si="198"/>
        <v>1833.7297947165368</v>
      </c>
      <c r="N201" s="166">
        <f t="shared" si="198"/>
        <v>1878.7687721306272</v>
      </c>
      <c r="O201" s="166">
        <f t="shared" si="198"/>
        <v>1923.8077495447174</v>
      </c>
      <c r="P201" s="166">
        <f t="shared" si="198"/>
        <v>1968.8467269588077</v>
      </c>
      <c r="Q201" s="166">
        <f t="shared" si="198"/>
        <v>2013.8857043728981</v>
      </c>
      <c r="R201" s="166">
        <f t="shared" si="198"/>
        <v>2058.9246817869885</v>
      </c>
      <c r="S201" s="166">
        <f t="shared" si="198"/>
        <v>2103.9636592010788</v>
      </c>
      <c r="T201" s="166">
        <f t="shared" si="198"/>
        <v>2149.0026366151692</v>
      </c>
      <c r="U201" s="166">
        <f t="shared" si="198"/>
        <v>2194.04161402926</v>
      </c>
      <c r="V201" s="166">
        <f t="shared" si="198"/>
        <v>2239.0805914433499</v>
      </c>
      <c r="W201" s="166">
        <f t="shared" si="198"/>
        <v>2284.1195688574403</v>
      </c>
      <c r="X201" s="166">
        <f t="shared" si="198"/>
        <v>2329.1585462715307</v>
      </c>
      <c r="Y201" s="138"/>
    </row>
    <row r="202" spans="2:25" s="137" customFormat="1" ht="25.2" customHeight="1" x14ac:dyDescent="0.25">
      <c r="B202" s="167" t="s">
        <v>252</v>
      </c>
      <c r="C202" s="133" t="s">
        <v>900</v>
      </c>
      <c r="D202" s="168">
        <f t="shared" ref="D202" si="199">D200-(D197+D198)</f>
        <v>-30000</v>
      </c>
      <c r="E202" s="168">
        <f>E200-(E197+E198)</f>
        <v>-906.57578249101698</v>
      </c>
      <c r="F202" s="168">
        <f t="shared" ref="F202:X202" si="200">F200-(F197+F198)</f>
        <v>-1026.3564346715198</v>
      </c>
      <c r="G202" s="168">
        <f t="shared" si="200"/>
        <v>-966.4661085812686</v>
      </c>
      <c r="H202" s="168">
        <f t="shared" si="200"/>
        <v>-906.57578249101698</v>
      </c>
      <c r="I202" s="168">
        <f t="shared" si="200"/>
        <v>-846.68545640076536</v>
      </c>
      <c r="J202" s="168">
        <f t="shared" si="200"/>
        <v>-786.79513031051374</v>
      </c>
      <c r="K202" s="168">
        <f t="shared" si="200"/>
        <v>-726.90480422026212</v>
      </c>
      <c r="L202" s="168">
        <f t="shared" si="200"/>
        <v>-667.0144781300105</v>
      </c>
      <c r="M202" s="168">
        <f t="shared" si="200"/>
        <v>-607.12415203975934</v>
      </c>
      <c r="N202" s="168">
        <f t="shared" si="200"/>
        <v>-547.23382594950772</v>
      </c>
      <c r="O202" s="168">
        <f t="shared" si="200"/>
        <v>-487.34349985925655</v>
      </c>
      <c r="P202" s="168">
        <f t="shared" si="200"/>
        <v>-427.45317376900493</v>
      </c>
      <c r="Q202" s="168">
        <f t="shared" si="200"/>
        <v>-367.56284767875331</v>
      </c>
      <c r="R202" s="168">
        <f t="shared" si="200"/>
        <v>-307.6725215885017</v>
      </c>
      <c r="S202" s="168">
        <f t="shared" si="200"/>
        <v>-247.78219549825008</v>
      </c>
      <c r="T202" s="168">
        <f t="shared" si="200"/>
        <v>-187.89186940799846</v>
      </c>
      <c r="U202" s="168">
        <f t="shared" si="200"/>
        <v>-128.00154331774729</v>
      </c>
      <c r="V202" s="168">
        <f t="shared" si="200"/>
        <v>-68.111217227496127</v>
      </c>
      <c r="W202" s="168">
        <f t="shared" si="200"/>
        <v>-8.2208911372445073</v>
      </c>
      <c r="X202" s="168">
        <f t="shared" si="200"/>
        <v>51.669434953007112</v>
      </c>
      <c r="Y202" s="138"/>
    </row>
    <row r="203" spans="2:25" s="137" customFormat="1" ht="25.2" customHeight="1" x14ac:dyDescent="0.25">
      <c r="B203" s="167" t="s">
        <v>253</v>
      </c>
      <c r="C203" s="133" t="s">
        <v>901</v>
      </c>
      <c r="D203" s="168">
        <f t="shared" ref="D203:X203" si="201">D201-(D197+D198)</f>
        <v>-30000</v>
      </c>
      <c r="E203" s="168">
        <f t="shared" si="201"/>
        <v>-1436.9810923539148</v>
      </c>
      <c r="F203" s="168">
        <f t="shared" si="201"/>
        <v>-1527.0590471820956</v>
      </c>
      <c r="G203" s="168">
        <f t="shared" si="201"/>
        <v>-1482.0200697680052</v>
      </c>
      <c r="H203" s="168">
        <f t="shared" si="201"/>
        <v>-1436.9810923539148</v>
      </c>
      <c r="I203" s="168">
        <f t="shared" si="201"/>
        <v>-1391.9421149398245</v>
      </c>
      <c r="J203" s="168">
        <f t="shared" si="201"/>
        <v>-1346.9031375257341</v>
      </c>
      <c r="K203" s="168">
        <f t="shared" si="201"/>
        <v>-1301.8641601116435</v>
      </c>
      <c r="L203" s="168">
        <f t="shared" si="201"/>
        <v>-1256.8251826975531</v>
      </c>
      <c r="M203" s="168">
        <f t="shared" si="201"/>
        <v>-1211.7862052834628</v>
      </c>
      <c r="N203" s="168">
        <f t="shared" si="201"/>
        <v>-1166.7472278693724</v>
      </c>
      <c r="O203" s="168">
        <f t="shared" si="201"/>
        <v>-1121.7082504552823</v>
      </c>
      <c r="P203" s="168">
        <f t="shared" si="201"/>
        <v>-1076.6692730411919</v>
      </c>
      <c r="Q203" s="168">
        <f t="shared" si="201"/>
        <v>-1031.6302956271015</v>
      </c>
      <c r="R203" s="168">
        <f t="shared" si="201"/>
        <v>-986.59131821301116</v>
      </c>
      <c r="S203" s="168">
        <f t="shared" si="201"/>
        <v>-941.5523407989208</v>
      </c>
      <c r="T203" s="168">
        <f t="shared" si="201"/>
        <v>-896.51336338483043</v>
      </c>
      <c r="U203" s="168">
        <f t="shared" si="201"/>
        <v>-851.4743859707396</v>
      </c>
      <c r="V203" s="168">
        <f t="shared" si="201"/>
        <v>-806.43540855664969</v>
      </c>
      <c r="W203" s="168">
        <f t="shared" si="201"/>
        <v>-761.39643114255932</v>
      </c>
      <c r="X203" s="168">
        <f t="shared" si="201"/>
        <v>-716.35745372846895</v>
      </c>
      <c r="Y203" s="138"/>
    </row>
    <row r="204" spans="2:25" s="137" customFormat="1" ht="25.2" customHeight="1" x14ac:dyDescent="0.25">
      <c r="B204" s="161" t="s">
        <v>254</v>
      </c>
      <c r="C204" s="169" t="s">
        <v>304</v>
      </c>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38"/>
    </row>
    <row r="205" spans="2:25" s="137" customFormat="1" ht="25.2" customHeight="1" x14ac:dyDescent="0.25">
      <c r="B205" s="167" t="s">
        <v>255</v>
      </c>
      <c r="C205" s="133" t="s">
        <v>902</v>
      </c>
      <c r="D205" s="168">
        <f>D202</f>
        <v>-30000</v>
      </c>
      <c r="E205" s="178">
        <f t="shared" ref="E205:X205" si="202">E200/POWER(1+0.04,E$3-$D$3)</f>
        <v>2056.6732860663292</v>
      </c>
      <c r="F205" s="178">
        <f t="shared" si="202"/>
        <v>1866.8265211986684</v>
      </c>
      <c r="G205" s="178">
        <f t="shared" si="202"/>
        <v>1848.2677829664126</v>
      </c>
      <c r="H205" s="178">
        <f t="shared" si="202"/>
        <v>1828.3750622887114</v>
      </c>
      <c r="I205" s="178">
        <f t="shared" si="202"/>
        <v>1807.2784269546107</v>
      </c>
      <c r="J205" s="178">
        <f t="shared" si="202"/>
        <v>1785.0999128854282</v>
      </c>
      <c r="K205" s="178">
        <f t="shared" si="202"/>
        <v>1761.9539495627591</v>
      </c>
      <c r="L205" s="178">
        <f t="shared" si="202"/>
        <v>1737.9477646127127</v>
      </c>
      <c r="M205" s="178">
        <f t="shared" si="202"/>
        <v>1713.1817685204171</v>
      </c>
      <c r="N205" s="178">
        <f t="shared" si="202"/>
        <v>1687.7499204047297</v>
      </c>
      <c r="O205" s="178">
        <f t="shared" si="202"/>
        <v>1661.740075740958</v>
      </c>
      <c r="P205" s="178">
        <f t="shared" si="202"/>
        <v>1635.234316879126</v>
      </c>
      <c r="Q205" s="178">
        <f t="shared" si="202"/>
        <v>1608.3092671668126</v>
      </c>
      <c r="R205" s="178">
        <f t="shared" si="202"/>
        <v>1581.0363894488205</v>
      </c>
      <c r="S205" s="178">
        <f t="shared" si="202"/>
        <v>1553.4822696807823</v>
      </c>
      <c r="T205" s="178">
        <f t="shared" si="202"/>
        <v>1525.708886360213</v>
      </c>
      <c r="U205" s="178">
        <f t="shared" si="202"/>
        <v>1497.7738664464318</v>
      </c>
      <c r="V205" s="178">
        <f t="shared" si="202"/>
        <v>1469.7307284101007</v>
      </c>
      <c r="W205" s="178">
        <f t="shared" si="202"/>
        <v>1441.6291130238335</v>
      </c>
      <c r="X205" s="178">
        <f t="shared" si="202"/>
        <v>1413.5150024773232</v>
      </c>
      <c r="Y205" s="138"/>
    </row>
    <row r="206" spans="2:25" s="137" customFormat="1" ht="25.2" customHeight="1" x14ac:dyDescent="0.25">
      <c r="B206" s="167" t="s">
        <v>256</v>
      </c>
      <c r="C206" s="133" t="s">
        <v>903</v>
      </c>
      <c r="D206" s="168">
        <f>D203</f>
        <v>-30000</v>
      </c>
      <c r="E206" s="178">
        <f t="shared" ref="E206:X206" si="203">E201/POWER(1+0.04,E$3-$D$3)</f>
        <v>1546.6681804289276</v>
      </c>
      <c r="F206" s="178">
        <f t="shared" si="203"/>
        <v>1403.8988099277958</v>
      </c>
      <c r="G206" s="178">
        <f t="shared" si="203"/>
        <v>1389.9421887730377</v>
      </c>
      <c r="H206" s="178">
        <f t="shared" si="203"/>
        <v>1374.982380473486</v>
      </c>
      <c r="I206" s="178">
        <f t="shared" si="203"/>
        <v>1359.1171991603303</v>
      </c>
      <c r="J206" s="178">
        <f t="shared" si="203"/>
        <v>1342.4384188054744</v>
      </c>
      <c r="K206" s="178">
        <f t="shared" si="203"/>
        <v>1325.0320931537137</v>
      </c>
      <c r="L206" s="178">
        <f t="shared" si="203"/>
        <v>1306.9788599798906</v>
      </c>
      <c r="M206" s="178">
        <f t="shared" si="203"/>
        <v>1288.3542304035307</v>
      </c>
      <c r="N206" s="178">
        <f t="shared" si="203"/>
        <v>1269.2288639602932</v>
      </c>
      <c r="O206" s="178">
        <f t="shared" si="203"/>
        <v>1249.6688300978915</v>
      </c>
      <c r="P206" s="178">
        <f t="shared" si="203"/>
        <v>1229.7358567338395</v>
      </c>
      <c r="Q206" s="178">
        <f t="shared" si="203"/>
        <v>1209.4875664834456</v>
      </c>
      <c r="R206" s="178">
        <f t="shared" si="203"/>
        <v>1188.9777011388012</v>
      </c>
      <c r="S206" s="178">
        <f t="shared" si="203"/>
        <v>1168.256334953089</v>
      </c>
      <c r="T206" s="178">
        <f t="shared" si="203"/>
        <v>1147.3700772592674</v>
      </c>
      <c r="U206" s="178">
        <f t="shared" si="203"/>
        <v>1126.362264928058</v>
      </c>
      <c r="V206" s="178">
        <f t="shared" si="203"/>
        <v>1105.2731451470902</v>
      </c>
      <c r="W206" s="178">
        <f t="shared" si="203"/>
        <v>1084.1400489810374</v>
      </c>
      <c r="X206" s="178">
        <f t="shared" si="203"/>
        <v>1062.9975561515048</v>
      </c>
      <c r="Y206" s="138"/>
    </row>
    <row r="207" spans="2:25" s="137" customFormat="1" ht="25.2" customHeight="1" x14ac:dyDescent="0.25">
      <c r="B207" s="167" t="s">
        <v>257</v>
      </c>
      <c r="C207" s="133" t="s">
        <v>904</v>
      </c>
      <c r="D207" s="166">
        <f>NPV(0.04,E202:X202)+D202</f>
        <v>-37908.042017725413</v>
      </c>
      <c r="E207" s="179"/>
      <c r="F207" s="171"/>
      <c r="G207" s="171"/>
      <c r="H207" s="171"/>
      <c r="I207" s="171"/>
      <c r="J207" s="171"/>
      <c r="K207" s="171"/>
      <c r="L207" s="171"/>
      <c r="M207" s="171"/>
      <c r="N207" s="171"/>
      <c r="O207" s="171"/>
      <c r="P207" s="171"/>
      <c r="Q207" s="171"/>
      <c r="R207" s="171"/>
      <c r="S207" s="171"/>
      <c r="T207" s="171"/>
      <c r="U207" s="171"/>
      <c r="V207" s="171"/>
      <c r="W207" s="171"/>
      <c r="X207" s="171"/>
      <c r="Y207" s="138"/>
    </row>
    <row r="208" spans="2:25" s="137" customFormat="1" ht="25.2" customHeight="1" x14ac:dyDescent="0.25">
      <c r="B208" s="167" t="s">
        <v>258</v>
      </c>
      <c r="C208" s="133" t="s">
        <v>905</v>
      </c>
      <c r="D208" s="166">
        <f>NPV(0.04,E203:X203)+D203</f>
        <v>-46210.645721880086</v>
      </c>
      <c r="E208" s="171"/>
      <c r="F208" s="171"/>
      <c r="G208" s="171"/>
      <c r="H208" s="171"/>
      <c r="I208" s="171"/>
      <c r="J208" s="171"/>
      <c r="K208" s="171"/>
      <c r="L208" s="171"/>
      <c r="M208" s="171"/>
      <c r="N208" s="171"/>
      <c r="O208" s="171"/>
      <c r="P208" s="171"/>
      <c r="Q208" s="171"/>
      <c r="R208" s="171"/>
      <c r="S208" s="171"/>
      <c r="T208" s="171"/>
      <c r="U208" s="171"/>
      <c r="V208" s="171"/>
      <c r="W208" s="171"/>
      <c r="X208" s="171"/>
      <c r="Y208" s="138"/>
    </row>
    <row r="209" spans="2:28" s="137" customFormat="1" ht="25.2" customHeight="1" x14ac:dyDescent="0.25">
      <c r="B209" s="167" t="s">
        <v>259</v>
      </c>
      <c r="C209" s="133" t="s">
        <v>906</v>
      </c>
      <c r="D209" s="168">
        <f>D200-(D197+D198)</f>
        <v>-30000</v>
      </c>
      <c r="E209" s="178">
        <f>D209+E205</f>
        <v>-27943.326713933671</v>
      </c>
      <c r="F209" s="166">
        <f t="shared" ref="F209:F210" si="204">E209+F205</f>
        <v>-26076.500192735002</v>
      </c>
      <c r="G209" s="166">
        <f t="shared" ref="G209:G210" si="205">F209+G205</f>
        <v>-24228.232409768589</v>
      </c>
      <c r="H209" s="166">
        <f t="shared" ref="H209:H210" si="206">G209+H205</f>
        <v>-22399.857347479876</v>
      </c>
      <c r="I209" s="166">
        <f t="shared" ref="I209:I210" si="207">H209+I205</f>
        <v>-20592.578920525266</v>
      </c>
      <c r="J209" s="166">
        <f t="shared" ref="J209:J210" si="208">I209+J205</f>
        <v>-18807.479007639839</v>
      </c>
      <c r="K209" s="166">
        <f t="shared" ref="K209:K210" si="209">J209+K205</f>
        <v>-17045.525058077081</v>
      </c>
      <c r="L209" s="166">
        <f t="shared" ref="L209:L210" si="210">K209+L205</f>
        <v>-15307.577293464368</v>
      </c>
      <c r="M209" s="166">
        <f t="shared" ref="M209:M210" si="211">L209+M205</f>
        <v>-13594.395524943951</v>
      </c>
      <c r="N209" s="166">
        <f t="shared" ref="N209:N210" si="212">M209+N205</f>
        <v>-11906.645604539222</v>
      </c>
      <c r="O209" s="166">
        <f t="shared" ref="O209:O210" si="213">N209+O205</f>
        <v>-10244.905528798265</v>
      </c>
      <c r="P209" s="166">
        <f t="shared" ref="P209:P210" si="214">O209+P205</f>
        <v>-8609.6712119191379</v>
      </c>
      <c r="Q209" s="166">
        <f t="shared" ref="Q209:Q210" si="215">P209+Q205</f>
        <v>-7001.3619447523251</v>
      </c>
      <c r="R209" s="166">
        <f t="shared" ref="R209:R210" si="216">Q209+R205</f>
        <v>-5420.3255553035051</v>
      </c>
      <c r="S209" s="166">
        <f t="shared" ref="S209:S210" si="217">R209+S205</f>
        <v>-3866.8432856227228</v>
      </c>
      <c r="T209" s="166">
        <f t="shared" ref="T209:T210" si="218">S209+T205</f>
        <v>-2341.1343992625098</v>
      </c>
      <c r="U209" s="166">
        <f t="shared" ref="U209:U210" si="219">T209+U205</f>
        <v>-843.36053281607792</v>
      </c>
      <c r="V209" s="166">
        <f t="shared" ref="V209:V210" si="220">U209+V205</f>
        <v>626.37019559402279</v>
      </c>
      <c r="W209" s="166">
        <f t="shared" ref="W209:W210" si="221">V209+W205</f>
        <v>2067.9993086178565</v>
      </c>
      <c r="X209" s="166">
        <f t="shared" ref="X209:X210" si="222">W209+X205</f>
        <v>3481.5143110951794</v>
      </c>
      <c r="Y209" s="138"/>
      <c r="Z209" s="213"/>
      <c r="AA209" s="215"/>
      <c r="AB209" s="214"/>
    </row>
    <row r="210" spans="2:28" s="137" customFormat="1" ht="25.2" customHeight="1" x14ac:dyDescent="0.25">
      <c r="B210" s="167" t="s">
        <v>260</v>
      </c>
      <c r="C210" s="133" t="s">
        <v>907</v>
      </c>
      <c r="D210" s="168">
        <f>D201-(D197+D198)</f>
        <v>-30000</v>
      </c>
      <c r="E210" s="178">
        <f>D210+E206</f>
        <v>-28453.331819571071</v>
      </c>
      <c r="F210" s="166">
        <f t="shared" si="204"/>
        <v>-27049.433009643275</v>
      </c>
      <c r="G210" s="166">
        <f t="shared" si="205"/>
        <v>-25659.490820870236</v>
      </c>
      <c r="H210" s="166">
        <f t="shared" si="206"/>
        <v>-24284.508440396748</v>
      </c>
      <c r="I210" s="166">
        <f t="shared" si="207"/>
        <v>-22925.391241236419</v>
      </c>
      <c r="J210" s="166">
        <f t="shared" si="208"/>
        <v>-21582.952822430943</v>
      </c>
      <c r="K210" s="166">
        <f t="shared" si="209"/>
        <v>-20257.92072927723</v>
      </c>
      <c r="L210" s="166">
        <f t="shared" si="210"/>
        <v>-18950.941869297338</v>
      </c>
      <c r="M210" s="166">
        <f t="shared" si="211"/>
        <v>-17662.587638893809</v>
      </c>
      <c r="N210" s="166">
        <f t="shared" si="212"/>
        <v>-16393.358774933517</v>
      </c>
      <c r="O210" s="166">
        <f t="shared" si="213"/>
        <v>-15143.689944835625</v>
      </c>
      <c r="P210" s="166">
        <f t="shared" si="214"/>
        <v>-13913.954088101786</v>
      </c>
      <c r="Q210" s="166">
        <f t="shared" si="215"/>
        <v>-12704.46652161834</v>
      </c>
      <c r="R210" s="166">
        <f t="shared" si="216"/>
        <v>-11515.488820479539</v>
      </c>
      <c r="S210" s="166">
        <f t="shared" si="217"/>
        <v>-10347.232485526451</v>
      </c>
      <c r="T210" s="166">
        <f t="shared" si="218"/>
        <v>-9199.8624082671831</v>
      </c>
      <c r="U210" s="166">
        <f t="shared" si="219"/>
        <v>-8073.5001433391253</v>
      </c>
      <c r="V210" s="166">
        <f t="shared" si="220"/>
        <v>-6968.2269981920354</v>
      </c>
      <c r="W210" s="166">
        <f t="shared" si="221"/>
        <v>-5884.0869492109978</v>
      </c>
      <c r="X210" s="166">
        <f t="shared" si="222"/>
        <v>-4821.089393059493</v>
      </c>
      <c r="Y210" s="138"/>
      <c r="Z210" s="213"/>
    </row>
    <row r="211" spans="2:28" s="137" customFormat="1" ht="25.2" customHeight="1" x14ac:dyDescent="0.25">
      <c r="B211" s="167" t="s">
        <v>261</v>
      </c>
      <c r="C211" s="133" t="s">
        <v>316</v>
      </c>
      <c r="D211" s="216">
        <f t="array" aca="1" ref="D211" ca="1">MATCH(TRUE,INDEX($E209:$X209&gt;0,0),0)+(-LOOKUP(9.99999999999999E+307, IF($E209:$X209&lt;0, $E209:$X209))/LOOKUP(9.99999999999999E+307, IF($E209:$X209&lt;0, OFFSET($E205:$X205,0,1))))</f>
        <v>18.573819759302708</v>
      </c>
      <c r="E211" s="171"/>
      <c r="F211" s="171"/>
      <c r="G211" s="171"/>
      <c r="H211" s="171"/>
      <c r="I211" s="171"/>
      <c r="J211" s="171"/>
      <c r="K211" s="171"/>
      <c r="L211" s="171"/>
      <c r="M211" s="171"/>
      <c r="N211" s="171"/>
      <c r="O211" s="171"/>
      <c r="P211" s="171"/>
      <c r="Q211" s="171"/>
      <c r="R211" s="171"/>
      <c r="S211" s="171"/>
      <c r="T211" s="171"/>
      <c r="U211" s="171"/>
      <c r="V211" s="171"/>
      <c r="W211" s="171"/>
      <c r="X211" s="171"/>
      <c r="Y211" s="138"/>
    </row>
    <row r="212" spans="2:28" s="137" customFormat="1" ht="25.2" customHeight="1" x14ac:dyDescent="0.25">
      <c r="B212" s="167" t="s">
        <v>262</v>
      </c>
      <c r="C212" s="133" t="s">
        <v>317</v>
      </c>
      <c r="D212" s="216" t="e">
        <f t="array" aca="1" ref="D212" ca="1">MATCH(TRUE,INDEX($E210:$X210&gt;0,0),0)+(-LOOKUP(9.99999999999999E+307, IF($E210:$X210&lt;0, $E210:$X210))/LOOKUP(9.99999999999999E+307, IF($E210:$X210&lt;0, OFFSET($E206:$X206,0,1))))</f>
        <v>#N/A</v>
      </c>
      <c r="E212" s="171"/>
      <c r="F212" s="171"/>
      <c r="G212" s="171"/>
      <c r="H212" s="171"/>
      <c r="I212" s="171"/>
      <c r="J212" s="171"/>
      <c r="K212" s="171"/>
      <c r="L212" s="171"/>
      <c r="M212" s="171"/>
      <c r="N212" s="171"/>
      <c r="O212" s="171"/>
      <c r="P212" s="171"/>
      <c r="Q212" s="171"/>
      <c r="R212" s="171"/>
      <c r="S212" s="171"/>
      <c r="T212" s="171"/>
      <c r="U212" s="171"/>
      <c r="V212" s="171"/>
      <c r="W212" s="171"/>
      <c r="X212" s="171"/>
      <c r="Y212" s="138"/>
    </row>
    <row r="213" spans="2:28" s="137" customFormat="1" ht="25.2" customHeight="1" x14ac:dyDescent="0.25">
      <c r="B213" s="167" t="s">
        <v>263</v>
      </c>
      <c r="C213" s="133" t="s">
        <v>319</v>
      </c>
      <c r="D213" s="172" t="e">
        <f>IRR(D202:X202)</f>
        <v>#NUM!</v>
      </c>
      <c r="E213" s="180"/>
      <c r="F213" s="171"/>
      <c r="G213" s="171"/>
      <c r="H213" s="171"/>
      <c r="I213" s="171"/>
      <c r="J213" s="171"/>
      <c r="K213" s="171"/>
      <c r="L213" s="171"/>
      <c r="M213" s="171"/>
      <c r="N213" s="171"/>
      <c r="O213" s="171"/>
      <c r="P213" s="171"/>
      <c r="Q213" s="171"/>
      <c r="R213" s="171"/>
      <c r="S213" s="171"/>
      <c r="T213" s="171"/>
      <c r="U213" s="171"/>
      <c r="V213" s="171"/>
      <c r="W213" s="171"/>
      <c r="X213" s="171"/>
      <c r="Y213" s="138"/>
    </row>
    <row r="214" spans="2:28" s="137" customFormat="1" ht="25.2" customHeight="1" x14ac:dyDescent="0.25">
      <c r="B214" s="167" t="s">
        <v>264</v>
      </c>
      <c r="C214" s="133" t="s">
        <v>320</v>
      </c>
      <c r="D214" s="172" t="e">
        <f>IRR(D203:X203)</f>
        <v>#NUM!</v>
      </c>
      <c r="E214" s="171"/>
      <c r="F214" s="171"/>
      <c r="G214" s="171"/>
      <c r="H214" s="171"/>
      <c r="I214" s="171"/>
      <c r="J214" s="171"/>
      <c r="K214" s="171"/>
      <c r="L214" s="171"/>
      <c r="M214" s="171"/>
      <c r="N214" s="171"/>
      <c r="O214" s="171"/>
      <c r="P214" s="171"/>
      <c r="Q214" s="171"/>
      <c r="R214" s="171"/>
      <c r="S214" s="171"/>
      <c r="T214" s="171"/>
      <c r="U214" s="171"/>
      <c r="V214" s="171"/>
      <c r="W214" s="171"/>
      <c r="X214" s="171"/>
      <c r="Y214" s="138"/>
    </row>
    <row r="215" spans="2:28" s="137" customFormat="1" ht="116.85" customHeight="1" x14ac:dyDescent="0.25">
      <c r="B215" s="839" t="s">
        <v>266</v>
      </c>
      <c r="C215" s="839"/>
      <c r="D215" s="839"/>
      <c r="E215" s="839"/>
      <c r="F215" s="839"/>
      <c r="G215" s="839"/>
      <c r="H215" s="839"/>
      <c r="I215" s="839"/>
      <c r="J215" s="839"/>
      <c r="K215" s="839"/>
      <c r="L215" s="839"/>
      <c r="M215" s="839"/>
      <c r="N215" s="839"/>
      <c r="O215" s="839"/>
      <c r="P215" s="839"/>
      <c r="Q215" s="839"/>
      <c r="R215" s="839"/>
      <c r="S215" s="839"/>
      <c r="T215" s="839"/>
      <c r="U215" s="839"/>
      <c r="V215" s="839"/>
      <c r="W215" s="839"/>
      <c r="X215" s="839"/>
      <c r="Y215" s="138"/>
    </row>
    <row r="218" spans="2:28" s="137" customFormat="1" ht="30" customHeight="1" x14ac:dyDescent="0.25">
      <c r="B218" s="489" t="s">
        <v>471</v>
      </c>
      <c r="C218" s="840" t="str">
        <f>Measures_summary!C12</f>
        <v>Replacement of inneficient electrical equipment</v>
      </c>
      <c r="D218" s="841"/>
      <c r="E218" s="841"/>
      <c r="F218" s="841"/>
      <c r="G218" s="841"/>
      <c r="H218" s="841"/>
      <c r="I218" s="841"/>
      <c r="J218" s="841"/>
      <c r="K218" s="841"/>
      <c r="L218" s="841"/>
      <c r="M218" s="841"/>
      <c r="N218" s="841"/>
      <c r="O218" s="841"/>
      <c r="P218" s="841"/>
      <c r="Q218" s="841"/>
      <c r="R218" s="841"/>
      <c r="S218" s="841"/>
      <c r="T218" s="841"/>
      <c r="U218" s="841"/>
      <c r="V218" s="841"/>
      <c r="W218" s="841"/>
      <c r="X218" s="842"/>
      <c r="Y218" s="138"/>
    </row>
    <row r="219" spans="2:28" s="137" customFormat="1" ht="30" customHeight="1" x14ac:dyDescent="0.25">
      <c r="B219" s="490" t="s">
        <v>42</v>
      </c>
      <c r="C219" s="491" t="s">
        <v>265</v>
      </c>
      <c r="D219" s="491">
        <v>2023</v>
      </c>
      <c r="E219" s="491">
        <v>2024</v>
      </c>
      <c r="F219" s="491">
        <v>2025</v>
      </c>
      <c r="G219" s="491">
        <v>2026</v>
      </c>
      <c r="H219" s="491">
        <v>2027</v>
      </c>
      <c r="I219" s="491">
        <v>2028</v>
      </c>
      <c r="J219" s="491">
        <v>2029</v>
      </c>
      <c r="K219" s="491">
        <v>2030</v>
      </c>
      <c r="L219" s="491">
        <v>2031</v>
      </c>
      <c r="M219" s="491">
        <v>2032</v>
      </c>
      <c r="N219" s="491">
        <v>2033</v>
      </c>
      <c r="O219" s="491">
        <v>2034</v>
      </c>
      <c r="P219" s="491">
        <v>2035</v>
      </c>
      <c r="Q219" s="491">
        <v>2036</v>
      </c>
      <c r="R219" s="491">
        <v>2037</v>
      </c>
      <c r="S219" s="491">
        <v>2038</v>
      </c>
      <c r="T219" s="491">
        <v>2039</v>
      </c>
      <c r="U219" s="491">
        <v>2040</v>
      </c>
      <c r="V219" s="491">
        <v>2041</v>
      </c>
      <c r="W219" s="491">
        <v>2042</v>
      </c>
      <c r="X219" s="491">
        <v>2043</v>
      </c>
      <c r="Y219" s="138"/>
    </row>
    <row r="220" spans="2:28" s="137" customFormat="1" ht="25.2" customHeight="1" x14ac:dyDescent="0.25">
      <c r="B220" s="492">
        <v>1</v>
      </c>
      <c r="C220" s="493" t="s">
        <v>302</v>
      </c>
      <c r="D220" s="494"/>
      <c r="E220" s="494"/>
      <c r="F220" s="494"/>
      <c r="G220" s="494"/>
      <c r="H220" s="494"/>
      <c r="I220" s="494"/>
      <c r="J220" s="494"/>
      <c r="K220" s="494"/>
      <c r="L220" s="494"/>
      <c r="M220" s="495"/>
      <c r="N220" s="495"/>
      <c r="O220" s="495"/>
      <c r="P220" s="495"/>
      <c r="Q220" s="495"/>
      <c r="R220" s="495"/>
      <c r="S220" s="495"/>
      <c r="T220" s="495"/>
      <c r="U220" s="495"/>
      <c r="V220" s="495"/>
      <c r="W220" s="495"/>
      <c r="X220" s="495"/>
      <c r="Y220" s="138"/>
    </row>
    <row r="221" spans="2:28" s="137" customFormat="1" ht="25.2" customHeight="1" x14ac:dyDescent="0.25">
      <c r="B221" s="496" t="s">
        <v>248</v>
      </c>
      <c r="C221" s="497" t="s">
        <v>896</v>
      </c>
      <c r="D221" s="498">
        <f>Measures_summary!D12</f>
        <v>4170</v>
      </c>
      <c r="E221" s="494"/>
      <c r="F221" s="494"/>
      <c r="G221" s="494"/>
      <c r="H221" s="494"/>
      <c r="I221" s="494"/>
      <c r="J221" s="494"/>
      <c r="K221" s="494"/>
      <c r="L221" s="494"/>
      <c r="M221" s="494"/>
      <c r="N221" s="494"/>
      <c r="O221" s="494"/>
      <c r="P221" s="494"/>
      <c r="Q221" s="494"/>
      <c r="R221" s="494"/>
      <c r="S221" s="494"/>
      <c r="T221" s="494"/>
      <c r="U221" s="494"/>
      <c r="V221" s="494"/>
      <c r="W221" s="494"/>
      <c r="X221" s="494"/>
      <c r="Y221" s="138"/>
    </row>
    <row r="222" spans="2:28" s="137" customFormat="1" ht="25.2" customHeight="1" x14ac:dyDescent="0.25">
      <c r="B222" s="496" t="s">
        <v>249</v>
      </c>
      <c r="C222" s="497" t="s">
        <v>897</v>
      </c>
      <c r="D222" s="494"/>
      <c r="E222" s="498">
        <f>4%*$D$5</f>
        <v>3045.5159999999996</v>
      </c>
      <c r="F222" s="498">
        <f t="shared" ref="F222:X222" si="223">4%*$D$5</f>
        <v>3045.5159999999996</v>
      </c>
      <c r="G222" s="498">
        <f t="shared" si="223"/>
        <v>3045.5159999999996</v>
      </c>
      <c r="H222" s="498">
        <f t="shared" si="223"/>
        <v>3045.5159999999996</v>
      </c>
      <c r="I222" s="498">
        <f t="shared" si="223"/>
        <v>3045.5159999999996</v>
      </c>
      <c r="J222" s="498">
        <f t="shared" si="223"/>
        <v>3045.5159999999996</v>
      </c>
      <c r="K222" s="498">
        <f t="shared" si="223"/>
        <v>3045.5159999999996</v>
      </c>
      <c r="L222" s="498">
        <f t="shared" si="223"/>
        <v>3045.5159999999996</v>
      </c>
      <c r="M222" s="498">
        <f t="shared" si="223"/>
        <v>3045.5159999999996</v>
      </c>
      <c r="N222" s="498">
        <f t="shared" si="223"/>
        <v>3045.5159999999996</v>
      </c>
      <c r="O222" s="498">
        <f t="shared" si="223"/>
        <v>3045.5159999999996</v>
      </c>
      <c r="P222" s="498">
        <f t="shared" si="223"/>
        <v>3045.5159999999996</v>
      </c>
      <c r="Q222" s="498">
        <f t="shared" si="223"/>
        <v>3045.5159999999996</v>
      </c>
      <c r="R222" s="498">
        <f t="shared" si="223"/>
        <v>3045.5159999999996</v>
      </c>
      <c r="S222" s="498">
        <f t="shared" si="223"/>
        <v>3045.5159999999996</v>
      </c>
      <c r="T222" s="498">
        <f t="shared" si="223"/>
        <v>3045.5159999999996</v>
      </c>
      <c r="U222" s="498">
        <f t="shared" si="223"/>
        <v>3045.5159999999996</v>
      </c>
      <c r="V222" s="498">
        <f t="shared" si="223"/>
        <v>3045.5159999999996</v>
      </c>
      <c r="W222" s="498">
        <f t="shared" si="223"/>
        <v>3045.5159999999996</v>
      </c>
      <c r="X222" s="498">
        <f t="shared" si="223"/>
        <v>3045.5159999999996</v>
      </c>
      <c r="Y222" s="138"/>
    </row>
    <row r="223" spans="2:28" s="137" customFormat="1" ht="25.2" customHeight="1" x14ac:dyDescent="0.25">
      <c r="B223" s="492">
        <v>2</v>
      </c>
      <c r="C223" s="493" t="s">
        <v>303</v>
      </c>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138"/>
    </row>
    <row r="224" spans="2:28" s="137" customFormat="1" ht="25.2" customHeight="1" x14ac:dyDescent="0.25">
      <c r="B224" s="499" t="s">
        <v>250</v>
      </c>
      <c r="C224" s="500" t="s">
        <v>898</v>
      </c>
      <c r="D224" s="494">
        <v>0</v>
      </c>
      <c r="E224" s="498">
        <f>Measures_summary!F12</f>
        <v>544.63867099135086</v>
      </c>
      <c r="F224" s="498">
        <f t="shared" ref="F224:X224" si="224">$E224*(1.028+0.028*(F219-$F$3))</f>
        <v>514.13890541583521</v>
      </c>
      <c r="G224" s="498">
        <f t="shared" si="224"/>
        <v>529.38878820359298</v>
      </c>
      <c r="H224" s="498">
        <f t="shared" si="224"/>
        <v>544.63867099135086</v>
      </c>
      <c r="I224" s="498">
        <f t="shared" si="224"/>
        <v>559.88855377910875</v>
      </c>
      <c r="J224" s="498">
        <f t="shared" si="224"/>
        <v>575.13843656686652</v>
      </c>
      <c r="K224" s="498">
        <f t="shared" si="224"/>
        <v>590.3883193546244</v>
      </c>
      <c r="L224" s="498">
        <f t="shared" si="224"/>
        <v>605.63820214238217</v>
      </c>
      <c r="M224" s="498">
        <f t="shared" si="224"/>
        <v>620.88808493014005</v>
      </c>
      <c r="N224" s="498">
        <f t="shared" si="224"/>
        <v>636.13796771789794</v>
      </c>
      <c r="O224" s="498">
        <f t="shared" si="224"/>
        <v>651.38785050565559</v>
      </c>
      <c r="P224" s="498">
        <f t="shared" si="224"/>
        <v>666.63773329341348</v>
      </c>
      <c r="Q224" s="498">
        <f t="shared" si="224"/>
        <v>681.88761608117125</v>
      </c>
      <c r="R224" s="498">
        <f t="shared" si="224"/>
        <v>697.13749886892913</v>
      </c>
      <c r="S224" s="498">
        <f t="shared" si="224"/>
        <v>712.38738165668701</v>
      </c>
      <c r="T224" s="498">
        <f t="shared" si="224"/>
        <v>727.63726444444478</v>
      </c>
      <c r="U224" s="498">
        <f t="shared" si="224"/>
        <v>742.88714723220266</v>
      </c>
      <c r="V224" s="498">
        <f t="shared" si="224"/>
        <v>758.13703001996032</v>
      </c>
      <c r="W224" s="498">
        <f t="shared" si="224"/>
        <v>773.3869128077182</v>
      </c>
      <c r="X224" s="498">
        <f t="shared" si="224"/>
        <v>788.63679559547597</v>
      </c>
      <c r="Y224" s="138"/>
    </row>
    <row r="225" spans="2:28" s="137" customFormat="1" ht="25.2" customHeight="1" x14ac:dyDescent="0.25">
      <c r="B225" s="499" t="s">
        <v>251</v>
      </c>
      <c r="C225" s="500" t="s">
        <v>899</v>
      </c>
      <c r="D225" s="494">
        <v>0</v>
      </c>
      <c r="E225" s="498">
        <f>Measures_summary!J12</f>
        <v>233.27521354989997</v>
      </c>
      <c r="F225" s="498">
        <f t="shared" ref="F225:X225" si="225">$E225*(1.028+0.028*(F219-$F$3))</f>
        <v>220.2118015911056</v>
      </c>
      <c r="G225" s="498">
        <f t="shared" si="225"/>
        <v>226.74350757050277</v>
      </c>
      <c r="H225" s="498">
        <f t="shared" si="225"/>
        <v>233.27521354989997</v>
      </c>
      <c r="I225" s="498">
        <f t="shared" si="225"/>
        <v>239.80691952929718</v>
      </c>
      <c r="J225" s="498">
        <f t="shared" si="225"/>
        <v>246.33862550869438</v>
      </c>
      <c r="K225" s="498">
        <f t="shared" si="225"/>
        <v>252.87033148809158</v>
      </c>
      <c r="L225" s="498">
        <f t="shared" si="225"/>
        <v>259.40203746748881</v>
      </c>
      <c r="M225" s="498">
        <f t="shared" si="225"/>
        <v>265.93374344688601</v>
      </c>
      <c r="N225" s="498">
        <f t="shared" si="225"/>
        <v>272.46544942628321</v>
      </c>
      <c r="O225" s="498">
        <f t="shared" si="225"/>
        <v>278.99715540568036</v>
      </c>
      <c r="P225" s="498">
        <f t="shared" si="225"/>
        <v>285.52886138507756</v>
      </c>
      <c r="Q225" s="498">
        <f t="shared" si="225"/>
        <v>292.06056736447476</v>
      </c>
      <c r="R225" s="498">
        <f t="shared" si="225"/>
        <v>298.59227334387197</v>
      </c>
      <c r="S225" s="498">
        <f t="shared" si="225"/>
        <v>305.12397932326917</v>
      </c>
      <c r="T225" s="498">
        <f t="shared" si="225"/>
        <v>311.65568530266637</v>
      </c>
      <c r="U225" s="498">
        <f t="shared" si="225"/>
        <v>318.18739128206357</v>
      </c>
      <c r="V225" s="498">
        <f t="shared" si="225"/>
        <v>324.71909726146072</v>
      </c>
      <c r="W225" s="498">
        <f t="shared" si="225"/>
        <v>331.25080324085792</v>
      </c>
      <c r="X225" s="498">
        <f t="shared" si="225"/>
        <v>337.78250922025518</v>
      </c>
      <c r="Y225" s="138"/>
    </row>
    <row r="226" spans="2:28" s="137" customFormat="1" ht="25.2" customHeight="1" x14ac:dyDescent="0.25">
      <c r="B226" s="499" t="s">
        <v>252</v>
      </c>
      <c r="C226" s="500" t="s">
        <v>900</v>
      </c>
      <c r="D226" s="501">
        <f t="shared" ref="D226" si="226">D224-(D221+D222)</f>
        <v>-4170</v>
      </c>
      <c r="E226" s="501">
        <f>E224-(E221+E222)</f>
        <v>-2500.8773290086488</v>
      </c>
      <c r="F226" s="501">
        <f t="shared" ref="F226:X226" si="227">F224-(F221+F222)</f>
        <v>-2531.3770945841643</v>
      </c>
      <c r="G226" s="501">
        <f t="shared" si="227"/>
        <v>-2516.1272117964068</v>
      </c>
      <c r="H226" s="501">
        <f t="shared" si="227"/>
        <v>-2500.8773290086488</v>
      </c>
      <c r="I226" s="501">
        <f t="shared" si="227"/>
        <v>-2485.6274462208908</v>
      </c>
      <c r="J226" s="501">
        <f t="shared" si="227"/>
        <v>-2470.3775634331332</v>
      </c>
      <c r="K226" s="501">
        <f t="shared" si="227"/>
        <v>-2455.1276806453752</v>
      </c>
      <c r="L226" s="501">
        <f t="shared" si="227"/>
        <v>-2439.8777978576172</v>
      </c>
      <c r="M226" s="501">
        <f t="shared" si="227"/>
        <v>-2424.6279150698597</v>
      </c>
      <c r="N226" s="501">
        <f t="shared" si="227"/>
        <v>-2409.3780322821017</v>
      </c>
      <c r="O226" s="501">
        <f t="shared" si="227"/>
        <v>-2394.1281494943441</v>
      </c>
      <c r="P226" s="501">
        <f t="shared" si="227"/>
        <v>-2378.8782667065861</v>
      </c>
      <c r="Q226" s="501">
        <f t="shared" si="227"/>
        <v>-2363.6283839188281</v>
      </c>
      <c r="R226" s="501">
        <f t="shared" si="227"/>
        <v>-2348.3785011310706</v>
      </c>
      <c r="S226" s="501">
        <f t="shared" si="227"/>
        <v>-2333.1286183433126</v>
      </c>
      <c r="T226" s="501">
        <f t="shared" si="227"/>
        <v>-2317.8787355555551</v>
      </c>
      <c r="U226" s="501">
        <f t="shared" si="227"/>
        <v>-2302.6288527677971</v>
      </c>
      <c r="V226" s="501">
        <f t="shared" si="227"/>
        <v>-2287.3789699800391</v>
      </c>
      <c r="W226" s="501">
        <f t="shared" si="227"/>
        <v>-2272.1290871922815</v>
      </c>
      <c r="X226" s="501">
        <f t="shared" si="227"/>
        <v>-2256.8792044045235</v>
      </c>
      <c r="Y226" s="138"/>
    </row>
    <row r="227" spans="2:28" s="137" customFormat="1" ht="25.2" customHeight="1" x14ac:dyDescent="0.25">
      <c r="B227" s="499" t="s">
        <v>253</v>
      </c>
      <c r="C227" s="500" t="s">
        <v>901</v>
      </c>
      <c r="D227" s="501">
        <f t="shared" ref="D227:X227" si="228">D225-(D221+D222)</f>
        <v>-4170</v>
      </c>
      <c r="E227" s="501">
        <f t="shared" si="228"/>
        <v>-2812.2407864500997</v>
      </c>
      <c r="F227" s="501">
        <f t="shared" si="228"/>
        <v>-2825.3041984088941</v>
      </c>
      <c r="G227" s="501">
        <f t="shared" si="228"/>
        <v>-2818.7724924294967</v>
      </c>
      <c r="H227" s="501">
        <f t="shared" si="228"/>
        <v>-2812.2407864500997</v>
      </c>
      <c r="I227" s="501">
        <f t="shared" si="228"/>
        <v>-2805.7090804707022</v>
      </c>
      <c r="J227" s="501">
        <f t="shared" si="228"/>
        <v>-2799.1773744913053</v>
      </c>
      <c r="K227" s="501">
        <f t="shared" si="228"/>
        <v>-2792.6456685119078</v>
      </c>
      <c r="L227" s="501">
        <f t="shared" si="228"/>
        <v>-2786.1139625325109</v>
      </c>
      <c r="M227" s="501">
        <f t="shared" si="228"/>
        <v>-2779.5822565531134</v>
      </c>
      <c r="N227" s="501">
        <f t="shared" si="228"/>
        <v>-2773.0505505737165</v>
      </c>
      <c r="O227" s="501">
        <f t="shared" si="228"/>
        <v>-2766.5188445943195</v>
      </c>
      <c r="P227" s="501">
        <f t="shared" si="228"/>
        <v>-2759.9871386149221</v>
      </c>
      <c r="Q227" s="501">
        <f t="shared" si="228"/>
        <v>-2753.4554326355246</v>
      </c>
      <c r="R227" s="501">
        <f t="shared" si="228"/>
        <v>-2746.9237266561277</v>
      </c>
      <c r="S227" s="501">
        <f t="shared" si="228"/>
        <v>-2740.3920206767307</v>
      </c>
      <c r="T227" s="501">
        <f t="shared" si="228"/>
        <v>-2733.8603146973333</v>
      </c>
      <c r="U227" s="501">
        <f t="shared" si="228"/>
        <v>-2727.3286087179358</v>
      </c>
      <c r="V227" s="501">
        <f t="shared" si="228"/>
        <v>-2720.7969027385388</v>
      </c>
      <c r="W227" s="501">
        <f t="shared" si="228"/>
        <v>-2714.2651967591419</v>
      </c>
      <c r="X227" s="501">
        <f t="shared" si="228"/>
        <v>-2707.7334907797444</v>
      </c>
      <c r="Y227" s="138"/>
    </row>
    <row r="228" spans="2:28" s="137" customFormat="1" ht="25.2" customHeight="1" x14ac:dyDescent="0.25">
      <c r="B228" s="492" t="s">
        <v>254</v>
      </c>
      <c r="C228" s="502" t="s">
        <v>304</v>
      </c>
      <c r="D228" s="503"/>
      <c r="E228" s="503"/>
      <c r="F228" s="503"/>
      <c r="G228" s="503"/>
      <c r="H228" s="503"/>
      <c r="I228" s="503"/>
      <c r="J228" s="503"/>
      <c r="K228" s="503"/>
      <c r="L228" s="503"/>
      <c r="M228" s="503"/>
      <c r="N228" s="503"/>
      <c r="O228" s="503"/>
      <c r="P228" s="503"/>
      <c r="Q228" s="503"/>
      <c r="R228" s="503"/>
      <c r="S228" s="503"/>
      <c r="T228" s="503"/>
      <c r="U228" s="503"/>
      <c r="V228" s="503"/>
      <c r="W228" s="503"/>
      <c r="X228" s="503"/>
      <c r="Y228" s="138"/>
    </row>
    <row r="229" spans="2:28" s="137" customFormat="1" ht="25.2" customHeight="1" x14ac:dyDescent="0.25">
      <c r="B229" s="499" t="s">
        <v>255</v>
      </c>
      <c r="C229" s="500" t="s">
        <v>902</v>
      </c>
      <c r="D229" s="501">
        <f>D226</f>
        <v>-4170</v>
      </c>
      <c r="E229" s="504">
        <f t="shared" ref="E229:X229" si="229">E224/POWER(1+0.04,E$3-$D$3)</f>
        <v>523.69102979937577</v>
      </c>
      <c r="F229" s="504">
        <f t="shared" si="229"/>
        <v>475.35031935635647</v>
      </c>
      <c r="G229" s="504">
        <f t="shared" si="229"/>
        <v>470.62470503420229</v>
      </c>
      <c r="H229" s="504">
        <f t="shared" si="229"/>
        <v>465.55941856026658</v>
      </c>
      <c r="I229" s="504">
        <f t="shared" si="229"/>
        <v>460.18757911534044</v>
      </c>
      <c r="J229" s="504">
        <f t="shared" si="229"/>
        <v>454.54026072452058</v>
      </c>
      <c r="K229" s="504">
        <f t="shared" si="229"/>
        <v>448.64660058400756</v>
      </c>
      <c r="L229" s="504">
        <f t="shared" si="229"/>
        <v>442.5339020804501</v>
      </c>
      <c r="M229" s="504">
        <f t="shared" si="229"/>
        <v>436.22773275085876</v>
      </c>
      <c r="N229" s="504">
        <f t="shared" si="229"/>
        <v>429.75201741987439</v>
      </c>
      <c r="O229" s="504">
        <f t="shared" si="229"/>
        <v>423.12912674045845</v>
      </c>
      <c r="P229" s="504">
        <f t="shared" si="229"/>
        <v>416.37996135380843</v>
      </c>
      <c r="Q229" s="504">
        <f t="shared" si="229"/>
        <v>409.52403187450358</v>
      </c>
      <c r="R229" s="504">
        <f t="shared" si="229"/>
        <v>402.5795348975214</v>
      </c>
      <c r="S229" s="504">
        <f t="shared" si="229"/>
        <v>395.56342521481224</v>
      </c>
      <c r="T229" s="504">
        <f t="shared" si="229"/>
        <v>388.49148442056941</v>
      </c>
      <c r="U229" s="504">
        <f t="shared" si="229"/>
        <v>381.37838607615782</v>
      </c>
      <c r="V229" s="504">
        <f t="shared" si="229"/>
        <v>374.23775759785383</v>
      </c>
      <c r="W229" s="504">
        <f t="shared" si="229"/>
        <v>367.08223902309385</v>
      </c>
      <c r="X229" s="504">
        <f t="shared" si="229"/>
        <v>359.92353880379187</v>
      </c>
      <c r="Y229" s="138"/>
    </row>
    <row r="230" spans="2:28" s="137" customFormat="1" ht="25.2" customHeight="1" x14ac:dyDescent="0.25">
      <c r="B230" s="499" t="s">
        <v>256</v>
      </c>
      <c r="C230" s="500" t="s">
        <v>903</v>
      </c>
      <c r="D230" s="501">
        <f>D227</f>
        <v>-4170</v>
      </c>
      <c r="E230" s="504">
        <f t="shared" ref="E230:X230" si="230">E225/POWER(1+0.04,E$3-$D$3)</f>
        <v>224.30308995182688</v>
      </c>
      <c r="F230" s="504">
        <f t="shared" si="230"/>
        <v>203.59818934088904</v>
      </c>
      <c r="G230" s="504">
        <f t="shared" si="230"/>
        <v>201.57415258244797</v>
      </c>
      <c r="H230" s="504">
        <f t="shared" si="230"/>
        <v>199.40463020580876</v>
      </c>
      <c r="I230" s="504">
        <f t="shared" si="230"/>
        <v>197.10380754958786</v>
      </c>
      <c r="J230" s="504">
        <f t="shared" si="230"/>
        <v>194.68499398791977</v>
      </c>
      <c r="K230" s="504">
        <f t="shared" si="230"/>
        <v>192.1606693281114</v>
      </c>
      <c r="L230" s="504">
        <f t="shared" si="230"/>
        <v>189.54252793505168</v>
      </c>
      <c r="M230" s="504">
        <f t="shared" si="230"/>
        <v>186.84152068860584</v>
      </c>
      <c r="N230" s="504">
        <f t="shared" si="230"/>
        <v>184.06789487541468</v>
      </c>
      <c r="O230" s="504">
        <f t="shared" si="230"/>
        <v>181.23123211192367</v>
      </c>
      <c r="P230" s="504">
        <f t="shared" si="230"/>
        <v>178.34048439107482</v>
      </c>
      <c r="Q230" s="504">
        <f t="shared" si="230"/>
        <v>175.40400834089499</v>
      </c>
      <c r="R230" s="504">
        <f t="shared" si="230"/>
        <v>172.42959777920373</v>
      </c>
      <c r="S230" s="504">
        <f t="shared" si="230"/>
        <v>169.42451464483059</v>
      </c>
      <c r="T230" s="504">
        <f t="shared" si="230"/>
        <v>166.39551838206719</v>
      </c>
      <c r="U230" s="504">
        <f t="shared" si="230"/>
        <v>163.34889385158024</v>
      </c>
      <c r="V230" s="504">
        <f t="shared" si="230"/>
        <v>160.29047783766609</v>
      </c>
      <c r="W230" s="504">
        <f t="shared" si="230"/>
        <v>157.22568421853302</v>
      </c>
      <c r="X230" s="504">
        <f t="shared" si="230"/>
        <v>154.15952786324203</v>
      </c>
      <c r="Y230" s="138"/>
    </row>
    <row r="231" spans="2:28" s="137" customFormat="1" ht="25.2" customHeight="1" x14ac:dyDescent="0.25">
      <c r="B231" s="499" t="s">
        <v>257</v>
      </c>
      <c r="C231" s="500" t="s">
        <v>904</v>
      </c>
      <c r="D231" s="498">
        <f>NPV(0.04,E226:X226)+D226</f>
        <v>-37034.153277392768</v>
      </c>
      <c r="E231" s="505"/>
      <c r="F231" s="506"/>
      <c r="G231" s="506"/>
      <c r="H231" s="506"/>
      <c r="I231" s="506"/>
      <c r="J231" s="506"/>
      <c r="K231" s="506"/>
      <c r="L231" s="506"/>
      <c r="M231" s="506"/>
      <c r="N231" s="506"/>
      <c r="O231" s="506"/>
      <c r="P231" s="506"/>
      <c r="Q231" s="506"/>
      <c r="R231" s="506"/>
      <c r="S231" s="506"/>
      <c r="T231" s="506"/>
      <c r="U231" s="506"/>
      <c r="V231" s="506"/>
      <c r="W231" s="506"/>
      <c r="X231" s="506"/>
      <c r="Y231" s="138"/>
    </row>
    <row r="232" spans="2:28" s="137" customFormat="1" ht="25.2" customHeight="1" x14ac:dyDescent="0.25">
      <c r="B232" s="499" t="s">
        <v>258</v>
      </c>
      <c r="C232" s="500" t="s">
        <v>905</v>
      </c>
      <c r="D232" s="498">
        <f>NPV(0.04,E227:X227)+D227</f>
        <v>-41908.024912953915</v>
      </c>
      <c r="E232" s="506"/>
      <c r="F232" s="506"/>
      <c r="G232" s="506"/>
      <c r="H232" s="506"/>
      <c r="I232" s="506"/>
      <c r="J232" s="506"/>
      <c r="K232" s="506"/>
      <c r="L232" s="506"/>
      <c r="M232" s="506"/>
      <c r="N232" s="506"/>
      <c r="O232" s="506"/>
      <c r="P232" s="506"/>
      <c r="Q232" s="506"/>
      <c r="R232" s="506"/>
      <c r="S232" s="506"/>
      <c r="T232" s="506"/>
      <c r="U232" s="506"/>
      <c r="V232" s="506"/>
      <c r="W232" s="506"/>
      <c r="X232" s="506"/>
      <c r="Y232" s="138"/>
    </row>
    <row r="233" spans="2:28" s="137" customFormat="1" ht="25.2" customHeight="1" x14ac:dyDescent="0.25">
      <c r="B233" s="499" t="s">
        <v>259</v>
      </c>
      <c r="C233" s="500" t="s">
        <v>906</v>
      </c>
      <c r="D233" s="501">
        <f>D224-(D221+D222)</f>
        <v>-4170</v>
      </c>
      <c r="E233" s="504">
        <f>D233+E229</f>
        <v>-3646.3089702006241</v>
      </c>
      <c r="F233" s="498">
        <f t="shared" ref="F233:F234" si="231">E233+F229</f>
        <v>-3170.9586508442676</v>
      </c>
      <c r="G233" s="498">
        <f t="shared" ref="G233:G234" si="232">F233+G229</f>
        <v>-2700.3339458100654</v>
      </c>
      <c r="H233" s="498">
        <f t="shared" ref="H233:H234" si="233">G233+H229</f>
        <v>-2234.7745272497987</v>
      </c>
      <c r="I233" s="498">
        <f t="shared" ref="I233:I234" si="234">H233+I229</f>
        <v>-1774.5869481344582</v>
      </c>
      <c r="J233" s="498">
        <f t="shared" ref="J233:J234" si="235">I233+J229</f>
        <v>-1320.0466874099377</v>
      </c>
      <c r="K233" s="498">
        <f t="shared" ref="K233:K234" si="236">J233+K229</f>
        <v>-871.4000868259302</v>
      </c>
      <c r="L233" s="498">
        <f t="shared" ref="L233:L234" si="237">K233+L229</f>
        <v>-428.8661847454801</v>
      </c>
      <c r="M233" s="498">
        <f t="shared" ref="M233:M234" si="238">L233+M229</f>
        <v>7.3615480053786655</v>
      </c>
      <c r="N233" s="498">
        <f t="shared" ref="N233:N234" si="239">M233+N229</f>
        <v>437.11356542525306</v>
      </c>
      <c r="O233" s="498">
        <f t="shared" ref="O233:O234" si="240">N233+O229</f>
        <v>860.24269216571156</v>
      </c>
      <c r="P233" s="498">
        <f t="shared" ref="P233:P234" si="241">O233+P229</f>
        <v>1276.6226535195201</v>
      </c>
      <c r="Q233" s="498">
        <f t="shared" ref="Q233:Q234" si="242">P233+Q229</f>
        <v>1686.1466853940237</v>
      </c>
      <c r="R233" s="498">
        <f t="shared" ref="R233:R234" si="243">Q233+R229</f>
        <v>2088.7262202915454</v>
      </c>
      <c r="S233" s="498">
        <f t="shared" ref="S233:S234" si="244">R233+S229</f>
        <v>2484.2896455063574</v>
      </c>
      <c r="T233" s="498">
        <f t="shared" ref="T233:T234" si="245">S233+T229</f>
        <v>2872.781129926927</v>
      </c>
      <c r="U233" s="498">
        <f t="shared" ref="U233:U234" si="246">T233+U229</f>
        <v>3254.1595160030847</v>
      </c>
      <c r="V233" s="498">
        <f t="shared" ref="V233:V234" si="247">U233+V229</f>
        <v>3628.3972736009387</v>
      </c>
      <c r="W233" s="498">
        <f t="shared" ref="W233:W234" si="248">V233+W229</f>
        <v>3995.4795126240324</v>
      </c>
      <c r="X233" s="498">
        <f t="shared" ref="X233:X234" si="249">W233+X229</f>
        <v>4355.4030514278238</v>
      </c>
      <c r="Y233" s="138"/>
      <c r="Z233" s="213"/>
      <c r="AA233" s="215"/>
      <c r="AB233" s="214"/>
    </row>
    <row r="234" spans="2:28" s="137" customFormat="1" ht="25.2" customHeight="1" x14ac:dyDescent="0.25">
      <c r="B234" s="499" t="s">
        <v>260</v>
      </c>
      <c r="C234" s="500" t="s">
        <v>907</v>
      </c>
      <c r="D234" s="501">
        <f>D225-(D221+D222)</f>
        <v>-4170</v>
      </c>
      <c r="E234" s="504">
        <f>D234+E230</f>
        <v>-3945.6969100481733</v>
      </c>
      <c r="F234" s="498">
        <f t="shared" si="231"/>
        <v>-3742.0987207072844</v>
      </c>
      <c r="G234" s="498">
        <f t="shared" si="232"/>
        <v>-3540.5245681248366</v>
      </c>
      <c r="H234" s="498">
        <f t="shared" si="233"/>
        <v>-3341.119937919028</v>
      </c>
      <c r="I234" s="498">
        <f t="shared" si="234"/>
        <v>-3144.0161303694399</v>
      </c>
      <c r="J234" s="498">
        <f t="shared" si="235"/>
        <v>-2949.3311363815201</v>
      </c>
      <c r="K234" s="498">
        <f t="shared" si="236"/>
        <v>-2757.1704670534086</v>
      </c>
      <c r="L234" s="498">
        <f t="shared" si="237"/>
        <v>-2567.6279391183571</v>
      </c>
      <c r="M234" s="498">
        <f t="shared" si="238"/>
        <v>-2380.7864184297514</v>
      </c>
      <c r="N234" s="498">
        <f t="shared" si="239"/>
        <v>-2196.7185235543366</v>
      </c>
      <c r="O234" s="498">
        <f t="shared" si="240"/>
        <v>-2015.4872914424129</v>
      </c>
      <c r="P234" s="498">
        <f t="shared" si="241"/>
        <v>-1837.1468070513381</v>
      </c>
      <c r="Q234" s="498">
        <f t="shared" si="242"/>
        <v>-1661.7427987104431</v>
      </c>
      <c r="R234" s="498">
        <f t="shared" si="243"/>
        <v>-1489.3132009312394</v>
      </c>
      <c r="S234" s="498">
        <f t="shared" si="244"/>
        <v>-1319.8886862864088</v>
      </c>
      <c r="T234" s="498">
        <f t="shared" si="245"/>
        <v>-1153.4931679043416</v>
      </c>
      <c r="U234" s="498">
        <f t="shared" si="246"/>
        <v>-990.14427405276138</v>
      </c>
      <c r="V234" s="498">
        <f t="shared" si="247"/>
        <v>-829.85379621509526</v>
      </c>
      <c r="W234" s="498">
        <f t="shared" si="248"/>
        <v>-672.62811199656221</v>
      </c>
      <c r="X234" s="498">
        <f t="shared" si="249"/>
        <v>-518.46858413332018</v>
      </c>
      <c r="Y234" s="138"/>
      <c r="Z234" s="213"/>
    </row>
    <row r="235" spans="2:28" s="137" customFormat="1" ht="25.2" customHeight="1" x14ac:dyDescent="0.25">
      <c r="B235" s="499" t="s">
        <v>261</v>
      </c>
      <c r="C235" s="500" t="s">
        <v>316</v>
      </c>
      <c r="D235" s="507">
        <f t="array" aca="1" ref="D235" ca="1">MATCH(TRUE,INDEX($E233:$X233&gt;0,0),0)+(-LOOKUP(9.99999999999999E+307, IF($E233:$X233&lt;0, $E233:$X233))/LOOKUP(9.99999999999999E+307, IF($E233:$X233&lt;0, OFFSET($E229:$X229,0,1))))</f>
        <v>9.9831245300271103</v>
      </c>
      <c r="E235" s="506"/>
      <c r="F235" s="506"/>
      <c r="G235" s="506"/>
      <c r="H235" s="506"/>
      <c r="I235" s="506"/>
      <c r="J235" s="506"/>
      <c r="K235" s="506"/>
      <c r="L235" s="506"/>
      <c r="M235" s="506"/>
      <c r="N235" s="506"/>
      <c r="O235" s="506"/>
      <c r="P235" s="506"/>
      <c r="Q235" s="506"/>
      <c r="R235" s="506"/>
      <c r="S235" s="506"/>
      <c r="T235" s="506"/>
      <c r="U235" s="506"/>
      <c r="V235" s="506"/>
      <c r="W235" s="506"/>
      <c r="X235" s="506"/>
      <c r="Y235" s="138"/>
    </row>
    <row r="236" spans="2:28" s="137" customFormat="1" ht="25.2" customHeight="1" x14ac:dyDescent="0.25">
      <c r="B236" s="499" t="s">
        <v>262</v>
      </c>
      <c r="C236" s="500" t="s">
        <v>317</v>
      </c>
      <c r="D236" s="507" t="e">
        <f t="array" aca="1" ref="D236" ca="1">MATCH(TRUE,INDEX($E234:$X234&gt;0,0),0)+(-LOOKUP(9.99999999999999E+307, IF($E234:$X234&lt;0, $E234:$X234))/LOOKUP(9.99999999999999E+307, IF($E234:$X234&lt;0, OFFSET($E230:$X230,0,1))))</f>
        <v>#N/A</v>
      </c>
      <c r="E236" s="506"/>
      <c r="F236" s="506"/>
      <c r="G236" s="506"/>
      <c r="H236" s="506"/>
      <c r="I236" s="506"/>
      <c r="J236" s="506"/>
      <c r="K236" s="506"/>
      <c r="L236" s="506"/>
      <c r="M236" s="506"/>
      <c r="N236" s="506"/>
      <c r="O236" s="506"/>
      <c r="P236" s="506"/>
      <c r="Q236" s="506"/>
      <c r="R236" s="506"/>
      <c r="S236" s="506"/>
      <c r="T236" s="506"/>
      <c r="U236" s="506"/>
      <c r="V236" s="506"/>
      <c r="W236" s="506"/>
      <c r="X236" s="506"/>
      <c r="Y236" s="138"/>
    </row>
    <row r="237" spans="2:28" s="137" customFormat="1" ht="25.2" customHeight="1" x14ac:dyDescent="0.25">
      <c r="B237" s="499" t="s">
        <v>263</v>
      </c>
      <c r="C237" s="500" t="s">
        <v>844</v>
      </c>
      <c r="D237" s="508" t="e">
        <f>IRR(D226:X226)</f>
        <v>#NUM!</v>
      </c>
      <c r="E237" s="509"/>
      <c r="F237" s="506"/>
      <c r="G237" s="506"/>
      <c r="H237" s="506"/>
      <c r="I237" s="506"/>
      <c r="J237" s="506"/>
      <c r="K237" s="506"/>
      <c r="L237" s="506"/>
      <c r="M237" s="506"/>
      <c r="N237" s="506"/>
      <c r="O237" s="506"/>
      <c r="P237" s="506"/>
      <c r="Q237" s="506"/>
      <c r="R237" s="506"/>
      <c r="S237" s="506"/>
      <c r="T237" s="506"/>
      <c r="U237" s="506"/>
      <c r="V237" s="506"/>
      <c r="W237" s="506"/>
      <c r="X237" s="506"/>
      <c r="Y237" s="138"/>
    </row>
    <row r="238" spans="2:28" s="137" customFormat="1" ht="25.2" customHeight="1" x14ac:dyDescent="0.25">
      <c r="B238" s="499" t="s">
        <v>264</v>
      </c>
      <c r="C238" s="500" t="s">
        <v>845</v>
      </c>
      <c r="D238" s="508" t="e">
        <f>IRR(D227:X227)</f>
        <v>#NUM!</v>
      </c>
      <c r="E238" s="506"/>
      <c r="F238" s="506"/>
      <c r="G238" s="506"/>
      <c r="H238" s="506"/>
      <c r="I238" s="506"/>
      <c r="J238" s="506"/>
      <c r="K238" s="506"/>
      <c r="L238" s="506"/>
      <c r="M238" s="506"/>
      <c r="N238" s="506"/>
      <c r="O238" s="506"/>
      <c r="P238" s="506"/>
      <c r="Q238" s="506"/>
      <c r="R238" s="506"/>
      <c r="S238" s="506"/>
      <c r="T238" s="506"/>
      <c r="U238" s="506"/>
      <c r="V238" s="506"/>
      <c r="W238" s="506"/>
      <c r="X238" s="506"/>
      <c r="Y238" s="138"/>
    </row>
    <row r="239" spans="2:28" s="137" customFormat="1" ht="145.80000000000001" customHeight="1" x14ac:dyDescent="0.25">
      <c r="B239" s="843" t="s">
        <v>266</v>
      </c>
      <c r="C239" s="843"/>
      <c r="D239" s="843"/>
      <c r="E239" s="843"/>
      <c r="F239" s="843"/>
      <c r="G239" s="843"/>
      <c r="H239" s="843"/>
      <c r="I239" s="843"/>
      <c r="J239" s="843"/>
      <c r="K239" s="843"/>
      <c r="L239" s="843"/>
      <c r="M239" s="843"/>
      <c r="N239" s="843"/>
      <c r="O239" s="843"/>
      <c r="P239" s="843"/>
      <c r="Q239" s="843"/>
      <c r="R239" s="843"/>
      <c r="S239" s="843"/>
      <c r="T239" s="843"/>
      <c r="U239" s="843"/>
      <c r="V239" s="843"/>
      <c r="W239" s="843"/>
      <c r="X239" s="843"/>
      <c r="Y239" s="138"/>
    </row>
    <row r="242" spans="2:25" s="137" customFormat="1" ht="30" customHeight="1" x14ac:dyDescent="0.25">
      <c r="B242" s="217" t="s">
        <v>471</v>
      </c>
      <c r="C242" s="703" t="e">
        <f>Measures_summary!#REF!</f>
        <v>#REF!</v>
      </c>
      <c r="D242" s="704"/>
      <c r="E242" s="704"/>
      <c r="F242" s="704"/>
      <c r="G242" s="704"/>
      <c r="H242" s="704"/>
      <c r="I242" s="704"/>
      <c r="J242" s="704"/>
      <c r="K242" s="704"/>
      <c r="L242" s="704"/>
      <c r="M242" s="704"/>
      <c r="N242" s="704"/>
      <c r="O242" s="704"/>
      <c r="P242" s="704"/>
      <c r="Q242" s="704"/>
      <c r="R242" s="704"/>
      <c r="S242" s="704"/>
      <c r="T242" s="704"/>
      <c r="U242" s="704"/>
      <c r="V242" s="704"/>
      <c r="W242" s="704"/>
      <c r="X242" s="705"/>
      <c r="Y242" s="138"/>
    </row>
    <row r="243" spans="2:25" s="137" customFormat="1" ht="30" customHeight="1" x14ac:dyDescent="0.25">
      <c r="B243" s="158" t="s">
        <v>42</v>
      </c>
      <c r="C243" s="28" t="s">
        <v>265</v>
      </c>
      <c r="D243" s="28">
        <v>2023</v>
      </c>
      <c r="E243" s="28">
        <v>2024</v>
      </c>
      <c r="F243" s="28">
        <v>2025</v>
      </c>
      <c r="G243" s="28">
        <v>2026</v>
      </c>
      <c r="H243" s="28">
        <v>2027</v>
      </c>
      <c r="I243" s="28">
        <v>2028</v>
      </c>
      <c r="J243" s="28">
        <v>2029</v>
      </c>
      <c r="K243" s="28">
        <v>2030</v>
      </c>
      <c r="L243" s="28">
        <v>2031</v>
      </c>
      <c r="M243" s="28">
        <v>2032</v>
      </c>
      <c r="N243" s="28">
        <v>2033</v>
      </c>
      <c r="O243" s="28">
        <v>2034</v>
      </c>
      <c r="P243" s="28">
        <v>2035</v>
      </c>
      <c r="Q243" s="28">
        <v>2036</v>
      </c>
      <c r="R243" s="28">
        <v>2037</v>
      </c>
      <c r="S243" s="28">
        <v>2038</v>
      </c>
      <c r="T243" s="28">
        <v>2039</v>
      </c>
      <c r="U243" s="28">
        <v>2040</v>
      </c>
      <c r="V243" s="28">
        <v>2041</v>
      </c>
      <c r="W243" s="28">
        <v>2042</v>
      </c>
      <c r="X243" s="28">
        <v>2043</v>
      </c>
      <c r="Y243" s="138"/>
    </row>
    <row r="244" spans="2:25" s="137" customFormat="1" ht="25.2" customHeight="1" x14ac:dyDescent="0.25">
      <c r="B244" s="161">
        <v>1</v>
      </c>
      <c r="C244" s="162" t="s">
        <v>302</v>
      </c>
      <c r="D244" s="163"/>
      <c r="E244" s="163"/>
      <c r="F244" s="163"/>
      <c r="G244" s="163"/>
      <c r="H244" s="163"/>
      <c r="I244" s="163"/>
      <c r="J244" s="163"/>
      <c r="K244" s="163"/>
      <c r="L244" s="163"/>
      <c r="M244" s="30"/>
      <c r="N244" s="30"/>
      <c r="O244" s="30"/>
      <c r="P244" s="30"/>
      <c r="Q244" s="30"/>
      <c r="R244" s="30"/>
      <c r="S244" s="30"/>
      <c r="T244" s="30"/>
      <c r="U244" s="30"/>
      <c r="V244" s="30"/>
      <c r="W244" s="30"/>
      <c r="X244" s="30"/>
      <c r="Y244" s="138"/>
    </row>
    <row r="245" spans="2:25" s="137" customFormat="1" ht="25.2" customHeight="1" x14ac:dyDescent="0.25">
      <c r="B245" s="164" t="s">
        <v>248</v>
      </c>
      <c r="C245" s="165" t="s">
        <v>896</v>
      </c>
      <c r="D245" s="166" t="e">
        <f>Measures_summary!#REF!</f>
        <v>#REF!</v>
      </c>
      <c r="E245" s="163"/>
      <c r="F245" s="163"/>
      <c r="G245" s="163"/>
      <c r="H245" s="163"/>
      <c r="I245" s="163"/>
      <c r="J245" s="163"/>
      <c r="K245" s="163"/>
      <c r="L245" s="163"/>
      <c r="M245" s="163"/>
      <c r="N245" s="163"/>
      <c r="O245" s="163"/>
      <c r="P245" s="163"/>
      <c r="Q245" s="163"/>
      <c r="R245" s="163"/>
      <c r="S245" s="163"/>
      <c r="T245" s="163"/>
      <c r="U245" s="163"/>
      <c r="V245" s="163"/>
      <c r="W245" s="163"/>
      <c r="X245" s="163"/>
      <c r="Y245" s="138"/>
    </row>
    <row r="246" spans="2:25" s="137" customFormat="1" ht="25.2" customHeight="1" x14ac:dyDescent="0.25">
      <c r="B246" s="164" t="s">
        <v>249</v>
      </c>
      <c r="C246" s="165" t="s">
        <v>897</v>
      </c>
      <c r="D246" s="163"/>
      <c r="E246" s="166">
        <f>4%*$D$5</f>
        <v>3045.5159999999996</v>
      </c>
      <c r="F246" s="166">
        <f t="shared" ref="F246:X246" si="250">4%*$D$5</f>
        <v>3045.5159999999996</v>
      </c>
      <c r="G246" s="166">
        <f t="shared" si="250"/>
        <v>3045.5159999999996</v>
      </c>
      <c r="H246" s="166">
        <f t="shared" si="250"/>
        <v>3045.5159999999996</v>
      </c>
      <c r="I246" s="166">
        <f t="shared" si="250"/>
        <v>3045.5159999999996</v>
      </c>
      <c r="J246" s="166">
        <f t="shared" si="250"/>
        <v>3045.5159999999996</v>
      </c>
      <c r="K246" s="166">
        <f t="shared" si="250"/>
        <v>3045.5159999999996</v>
      </c>
      <c r="L246" s="166">
        <f t="shared" si="250"/>
        <v>3045.5159999999996</v>
      </c>
      <c r="M246" s="166">
        <f t="shared" si="250"/>
        <v>3045.5159999999996</v>
      </c>
      <c r="N246" s="166">
        <f t="shared" si="250"/>
        <v>3045.5159999999996</v>
      </c>
      <c r="O246" s="166">
        <f t="shared" si="250"/>
        <v>3045.5159999999996</v>
      </c>
      <c r="P246" s="166">
        <f t="shared" si="250"/>
        <v>3045.5159999999996</v>
      </c>
      <c r="Q246" s="166">
        <f t="shared" si="250"/>
        <v>3045.5159999999996</v>
      </c>
      <c r="R246" s="166">
        <f t="shared" si="250"/>
        <v>3045.5159999999996</v>
      </c>
      <c r="S246" s="166">
        <f t="shared" si="250"/>
        <v>3045.5159999999996</v>
      </c>
      <c r="T246" s="166">
        <f t="shared" si="250"/>
        <v>3045.5159999999996</v>
      </c>
      <c r="U246" s="166">
        <f t="shared" si="250"/>
        <v>3045.5159999999996</v>
      </c>
      <c r="V246" s="166">
        <f t="shared" si="250"/>
        <v>3045.5159999999996</v>
      </c>
      <c r="W246" s="166">
        <f t="shared" si="250"/>
        <v>3045.5159999999996</v>
      </c>
      <c r="X246" s="166">
        <f t="shared" si="250"/>
        <v>3045.5159999999996</v>
      </c>
      <c r="Y246" s="138"/>
    </row>
    <row r="247" spans="2:25" s="137" customFormat="1" ht="25.2" customHeight="1" x14ac:dyDescent="0.25">
      <c r="B247" s="161">
        <v>2</v>
      </c>
      <c r="C247" s="162" t="s">
        <v>303</v>
      </c>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38"/>
    </row>
    <row r="248" spans="2:25" s="137" customFormat="1" ht="25.2" customHeight="1" x14ac:dyDescent="0.25">
      <c r="B248" s="167" t="s">
        <v>250</v>
      </c>
      <c r="C248" s="133" t="s">
        <v>898</v>
      </c>
      <c r="D248" s="163">
        <v>0</v>
      </c>
      <c r="E248" s="166" t="e">
        <f>Measures_summary!#REF!</f>
        <v>#REF!</v>
      </c>
      <c r="F248" s="166" t="e">
        <f t="shared" ref="F248:X248" si="251">$E248*(1.028+0.028*(F243-$F$3))</f>
        <v>#REF!</v>
      </c>
      <c r="G248" s="166" t="e">
        <f t="shared" si="251"/>
        <v>#REF!</v>
      </c>
      <c r="H248" s="166" t="e">
        <f t="shared" si="251"/>
        <v>#REF!</v>
      </c>
      <c r="I248" s="166" t="e">
        <f t="shared" si="251"/>
        <v>#REF!</v>
      </c>
      <c r="J248" s="166" t="e">
        <f t="shared" si="251"/>
        <v>#REF!</v>
      </c>
      <c r="K248" s="166" t="e">
        <f t="shared" si="251"/>
        <v>#REF!</v>
      </c>
      <c r="L248" s="166" t="e">
        <f t="shared" si="251"/>
        <v>#REF!</v>
      </c>
      <c r="M248" s="166" t="e">
        <f t="shared" si="251"/>
        <v>#REF!</v>
      </c>
      <c r="N248" s="166" t="e">
        <f t="shared" si="251"/>
        <v>#REF!</v>
      </c>
      <c r="O248" s="166" t="e">
        <f t="shared" si="251"/>
        <v>#REF!</v>
      </c>
      <c r="P248" s="166" t="e">
        <f t="shared" si="251"/>
        <v>#REF!</v>
      </c>
      <c r="Q248" s="166" t="e">
        <f t="shared" si="251"/>
        <v>#REF!</v>
      </c>
      <c r="R248" s="166" t="e">
        <f t="shared" si="251"/>
        <v>#REF!</v>
      </c>
      <c r="S248" s="166" t="e">
        <f t="shared" si="251"/>
        <v>#REF!</v>
      </c>
      <c r="T248" s="166" t="e">
        <f t="shared" si="251"/>
        <v>#REF!</v>
      </c>
      <c r="U248" s="166" t="e">
        <f t="shared" si="251"/>
        <v>#REF!</v>
      </c>
      <c r="V248" s="166" t="e">
        <f t="shared" si="251"/>
        <v>#REF!</v>
      </c>
      <c r="W248" s="166" t="e">
        <f t="shared" si="251"/>
        <v>#REF!</v>
      </c>
      <c r="X248" s="166" t="e">
        <f t="shared" si="251"/>
        <v>#REF!</v>
      </c>
      <c r="Y248" s="138"/>
    </row>
    <row r="249" spans="2:25" s="137" customFormat="1" ht="25.2" customHeight="1" x14ac:dyDescent="0.25">
      <c r="B249" s="167" t="s">
        <v>251</v>
      </c>
      <c r="C249" s="133" t="s">
        <v>899</v>
      </c>
      <c r="D249" s="163">
        <v>0</v>
      </c>
      <c r="E249" s="166" t="e">
        <f>Measures_summary!#REF!</f>
        <v>#REF!</v>
      </c>
      <c r="F249" s="166" t="e">
        <f t="shared" ref="F249:X249" si="252">$E249*(1.028+0.028*(F243-$F$3))</f>
        <v>#REF!</v>
      </c>
      <c r="G249" s="166" t="e">
        <f t="shared" si="252"/>
        <v>#REF!</v>
      </c>
      <c r="H249" s="166" t="e">
        <f t="shared" si="252"/>
        <v>#REF!</v>
      </c>
      <c r="I249" s="166" t="e">
        <f t="shared" si="252"/>
        <v>#REF!</v>
      </c>
      <c r="J249" s="166" t="e">
        <f t="shared" si="252"/>
        <v>#REF!</v>
      </c>
      <c r="K249" s="166" t="e">
        <f t="shared" si="252"/>
        <v>#REF!</v>
      </c>
      <c r="L249" s="166" t="e">
        <f t="shared" si="252"/>
        <v>#REF!</v>
      </c>
      <c r="M249" s="166" t="e">
        <f t="shared" si="252"/>
        <v>#REF!</v>
      </c>
      <c r="N249" s="166" t="e">
        <f t="shared" si="252"/>
        <v>#REF!</v>
      </c>
      <c r="O249" s="166" t="e">
        <f t="shared" si="252"/>
        <v>#REF!</v>
      </c>
      <c r="P249" s="166" t="e">
        <f t="shared" si="252"/>
        <v>#REF!</v>
      </c>
      <c r="Q249" s="166" t="e">
        <f t="shared" si="252"/>
        <v>#REF!</v>
      </c>
      <c r="R249" s="166" t="e">
        <f t="shared" si="252"/>
        <v>#REF!</v>
      </c>
      <c r="S249" s="166" t="e">
        <f t="shared" si="252"/>
        <v>#REF!</v>
      </c>
      <c r="T249" s="166" t="e">
        <f t="shared" si="252"/>
        <v>#REF!</v>
      </c>
      <c r="U249" s="166" t="e">
        <f t="shared" si="252"/>
        <v>#REF!</v>
      </c>
      <c r="V249" s="166" t="e">
        <f t="shared" si="252"/>
        <v>#REF!</v>
      </c>
      <c r="W249" s="166" t="e">
        <f t="shared" si="252"/>
        <v>#REF!</v>
      </c>
      <c r="X249" s="166" t="e">
        <f t="shared" si="252"/>
        <v>#REF!</v>
      </c>
      <c r="Y249" s="138"/>
    </row>
    <row r="250" spans="2:25" s="137" customFormat="1" ht="25.2" customHeight="1" x14ac:dyDescent="0.25">
      <c r="B250" s="167" t="s">
        <v>252</v>
      </c>
      <c r="C250" s="133" t="s">
        <v>900</v>
      </c>
      <c r="D250" s="168" t="e">
        <f t="shared" ref="D250" si="253">D248-(D245+D246)</f>
        <v>#REF!</v>
      </c>
      <c r="E250" s="168" t="e">
        <f>E248-(E245+E246)</f>
        <v>#REF!</v>
      </c>
      <c r="F250" s="168" t="e">
        <f t="shared" ref="F250:X250" si="254">F248-(F245+F246)</f>
        <v>#REF!</v>
      </c>
      <c r="G250" s="168" t="e">
        <f t="shared" si="254"/>
        <v>#REF!</v>
      </c>
      <c r="H250" s="168" t="e">
        <f t="shared" si="254"/>
        <v>#REF!</v>
      </c>
      <c r="I250" s="168" t="e">
        <f t="shared" si="254"/>
        <v>#REF!</v>
      </c>
      <c r="J250" s="168" t="e">
        <f t="shared" si="254"/>
        <v>#REF!</v>
      </c>
      <c r="K250" s="168" t="e">
        <f t="shared" si="254"/>
        <v>#REF!</v>
      </c>
      <c r="L250" s="168" t="e">
        <f t="shared" si="254"/>
        <v>#REF!</v>
      </c>
      <c r="M250" s="168" t="e">
        <f t="shared" si="254"/>
        <v>#REF!</v>
      </c>
      <c r="N250" s="168" t="e">
        <f t="shared" si="254"/>
        <v>#REF!</v>
      </c>
      <c r="O250" s="168" t="e">
        <f t="shared" si="254"/>
        <v>#REF!</v>
      </c>
      <c r="P250" s="168" t="e">
        <f t="shared" si="254"/>
        <v>#REF!</v>
      </c>
      <c r="Q250" s="168" t="e">
        <f t="shared" si="254"/>
        <v>#REF!</v>
      </c>
      <c r="R250" s="168" t="e">
        <f t="shared" si="254"/>
        <v>#REF!</v>
      </c>
      <c r="S250" s="168" t="e">
        <f t="shared" si="254"/>
        <v>#REF!</v>
      </c>
      <c r="T250" s="168" t="e">
        <f t="shared" si="254"/>
        <v>#REF!</v>
      </c>
      <c r="U250" s="168" t="e">
        <f t="shared" si="254"/>
        <v>#REF!</v>
      </c>
      <c r="V250" s="168" t="e">
        <f t="shared" si="254"/>
        <v>#REF!</v>
      </c>
      <c r="W250" s="168" t="e">
        <f t="shared" si="254"/>
        <v>#REF!</v>
      </c>
      <c r="X250" s="168" t="e">
        <f t="shared" si="254"/>
        <v>#REF!</v>
      </c>
      <c r="Y250" s="138"/>
    </row>
    <row r="251" spans="2:25" s="137" customFormat="1" ht="25.2" customHeight="1" x14ac:dyDescent="0.25">
      <c r="B251" s="167" t="s">
        <v>253</v>
      </c>
      <c r="C251" s="133" t="s">
        <v>901</v>
      </c>
      <c r="D251" s="168" t="e">
        <f t="shared" ref="D251:X251" si="255">D249-(D245+D246)</f>
        <v>#REF!</v>
      </c>
      <c r="E251" s="168" t="e">
        <f t="shared" si="255"/>
        <v>#REF!</v>
      </c>
      <c r="F251" s="168" t="e">
        <f t="shared" si="255"/>
        <v>#REF!</v>
      </c>
      <c r="G251" s="168" t="e">
        <f t="shared" si="255"/>
        <v>#REF!</v>
      </c>
      <c r="H251" s="168" t="e">
        <f t="shared" si="255"/>
        <v>#REF!</v>
      </c>
      <c r="I251" s="168" t="e">
        <f t="shared" si="255"/>
        <v>#REF!</v>
      </c>
      <c r="J251" s="168" t="e">
        <f t="shared" si="255"/>
        <v>#REF!</v>
      </c>
      <c r="K251" s="168" t="e">
        <f t="shared" si="255"/>
        <v>#REF!</v>
      </c>
      <c r="L251" s="168" t="e">
        <f t="shared" si="255"/>
        <v>#REF!</v>
      </c>
      <c r="M251" s="168" t="e">
        <f t="shared" si="255"/>
        <v>#REF!</v>
      </c>
      <c r="N251" s="168" t="e">
        <f t="shared" si="255"/>
        <v>#REF!</v>
      </c>
      <c r="O251" s="168" t="e">
        <f t="shared" si="255"/>
        <v>#REF!</v>
      </c>
      <c r="P251" s="168" t="e">
        <f t="shared" si="255"/>
        <v>#REF!</v>
      </c>
      <c r="Q251" s="168" t="e">
        <f t="shared" si="255"/>
        <v>#REF!</v>
      </c>
      <c r="R251" s="168" t="e">
        <f t="shared" si="255"/>
        <v>#REF!</v>
      </c>
      <c r="S251" s="168" t="e">
        <f t="shared" si="255"/>
        <v>#REF!</v>
      </c>
      <c r="T251" s="168" t="e">
        <f t="shared" si="255"/>
        <v>#REF!</v>
      </c>
      <c r="U251" s="168" t="e">
        <f t="shared" si="255"/>
        <v>#REF!</v>
      </c>
      <c r="V251" s="168" t="e">
        <f t="shared" si="255"/>
        <v>#REF!</v>
      </c>
      <c r="W251" s="168" t="e">
        <f t="shared" si="255"/>
        <v>#REF!</v>
      </c>
      <c r="X251" s="168" t="e">
        <f t="shared" si="255"/>
        <v>#REF!</v>
      </c>
      <c r="Y251" s="138"/>
    </row>
    <row r="252" spans="2:25" s="137" customFormat="1" ht="25.2" customHeight="1" x14ac:dyDescent="0.25">
      <c r="B252" s="161" t="s">
        <v>254</v>
      </c>
      <c r="C252" s="169" t="s">
        <v>304</v>
      </c>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38"/>
    </row>
    <row r="253" spans="2:25" s="137" customFormat="1" ht="25.2" customHeight="1" x14ac:dyDescent="0.25">
      <c r="B253" s="167" t="s">
        <v>255</v>
      </c>
      <c r="C253" s="133" t="s">
        <v>902</v>
      </c>
      <c r="D253" s="168" t="e">
        <f>D250</f>
        <v>#REF!</v>
      </c>
      <c r="E253" s="178" t="e">
        <f t="shared" ref="E253:X253" si="256">E248/POWER(1+0.04,E$3-$D$3)</f>
        <v>#REF!</v>
      </c>
      <c r="F253" s="178" t="e">
        <f t="shared" si="256"/>
        <v>#REF!</v>
      </c>
      <c r="G253" s="178" t="e">
        <f t="shared" si="256"/>
        <v>#REF!</v>
      </c>
      <c r="H253" s="178" t="e">
        <f t="shared" si="256"/>
        <v>#REF!</v>
      </c>
      <c r="I253" s="178" t="e">
        <f t="shared" si="256"/>
        <v>#REF!</v>
      </c>
      <c r="J253" s="178" t="e">
        <f t="shared" si="256"/>
        <v>#REF!</v>
      </c>
      <c r="K253" s="178" t="e">
        <f t="shared" si="256"/>
        <v>#REF!</v>
      </c>
      <c r="L253" s="178" t="e">
        <f t="shared" si="256"/>
        <v>#REF!</v>
      </c>
      <c r="M253" s="178" t="e">
        <f t="shared" si="256"/>
        <v>#REF!</v>
      </c>
      <c r="N253" s="178" t="e">
        <f t="shared" si="256"/>
        <v>#REF!</v>
      </c>
      <c r="O253" s="178" t="e">
        <f t="shared" si="256"/>
        <v>#REF!</v>
      </c>
      <c r="P253" s="178" t="e">
        <f t="shared" si="256"/>
        <v>#REF!</v>
      </c>
      <c r="Q253" s="178" t="e">
        <f t="shared" si="256"/>
        <v>#REF!</v>
      </c>
      <c r="R253" s="178" t="e">
        <f t="shared" si="256"/>
        <v>#REF!</v>
      </c>
      <c r="S253" s="178" t="e">
        <f t="shared" si="256"/>
        <v>#REF!</v>
      </c>
      <c r="T253" s="178" t="e">
        <f t="shared" si="256"/>
        <v>#REF!</v>
      </c>
      <c r="U253" s="178" t="e">
        <f t="shared" si="256"/>
        <v>#REF!</v>
      </c>
      <c r="V253" s="178" t="e">
        <f t="shared" si="256"/>
        <v>#REF!</v>
      </c>
      <c r="W253" s="178" t="e">
        <f t="shared" si="256"/>
        <v>#REF!</v>
      </c>
      <c r="X253" s="178" t="e">
        <f t="shared" si="256"/>
        <v>#REF!</v>
      </c>
      <c r="Y253" s="138"/>
    </row>
    <row r="254" spans="2:25" s="137" customFormat="1" ht="25.2" customHeight="1" x14ac:dyDescent="0.25">
      <c r="B254" s="167" t="s">
        <v>256</v>
      </c>
      <c r="C254" s="133" t="s">
        <v>903</v>
      </c>
      <c r="D254" s="168" t="e">
        <f>D251</f>
        <v>#REF!</v>
      </c>
      <c r="E254" s="178" t="e">
        <f t="shared" ref="E254:X254" si="257">E249/POWER(1+0.04,E$3-$D$3)</f>
        <v>#REF!</v>
      </c>
      <c r="F254" s="178" t="e">
        <f t="shared" si="257"/>
        <v>#REF!</v>
      </c>
      <c r="G254" s="178" t="e">
        <f t="shared" si="257"/>
        <v>#REF!</v>
      </c>
      <c r="H254" s="178" t="e">
        <f t="shared" si="257"/>
        <v>#REF!</v>
      </c>
      <c r="I254" s="178" t="e">
        <f t="shared" si="257"/>
        <v>#REF!</v>
      </c>
      <c r="J254" s="178" t="e">
        <f t="shared" si="257"/>
        <v>#REF!</v>
      </c>
      <c r="K254" s="178" t="e">
        <f t="shared" si="257"/>
        <v>#REF!</v>
      </c>
      <c r="L254" s="178" t="e">
        <f t="shared" si="257"/>
        <v>#REF!</v>
      </c>
      <c r="M254" s="178" t="e">
        <f t="shared" si="257"/>
        <v>#REF!</v>
      </c>
      <c r="N254" s="178" t="e">
        <f t="shared" si="257"/>
        <v>#REF!</v>
      </c>
      <c r="O254" s="178" t="e">
        <f t="shared" si="257"/>
        <v>#REF!</v>
      </c>
      <c r="P254" s="178" t="e">
        <f t="shared" si="257"/>
        <v>#REF!</v>
      </c>
      <c r="Q254" s="178" t="e">
        <f t="shared" si="257"/>
        <v>#REF!</v>
      </c>
      <c r="R254" s="178" t="e">
        <f t="shared" si="257"/>
        <v>#REF!</v>
      </c>
      <c r="S254" s="178" t="e">
        <f t="shared" si="257"/>
        <v>#REF!</v>
      </c>
      <c r="T254" s="178" t="e">
        <f t="shared" si="257"/>
        <v>#REF!</v>
      </c>
      <c r="U254" s="178" t="e">
        <f t="shared" si="257"/>
        <v>#REF!</v>
      </c>
      <c r="V254" s="178" t="e">
        <f t="shared" si="257"/>
        <v>#REF!</v>
      </c>
      <c r="W254" s="178" t="e">
        <f t="shared" si="257"/>
        <v>#REF!</v>
      </c>
      <c r="X254" s="178" t="e">
        <f t="shared" si="257"/>
        <v>#REF!</v>
      </c>
      <c r="Y254" s="138"/>
    </row>
    <row r="255" spans="2:25" s="137" customFormat="1" ht="25.2" customHeight="1" x14ac:dyDescent="0.25">
      <c r="B255" s="167" t="s">
        <v>257</v>
      </c>
      <c r="C255" s="133" t="s">
        <v>904</v>
      </c>
      <c r="D255" s="166" t="e">
        <f>NPV(0.04,E250:X250)+D250</f>
        <v>#REF!</v>
      </c>
      <c r="E255" s="179"/>
      <c r="F255" s="171"/>
      <c r="G255" s="171"/>
      <c r="H255" s="171"/>
      <c r="I255" s="171"/>
      <c r="J255" s="171"/>
      <c r="K255" s="171"/>
      <c r="L255" s="171"/>
      <c r="M255" s="171"/>
      <c r="N255" s="171"/>
      <c r="O255" s="171"/>
      <c r="P255" s="171"/>
      <c r="Q255" s="171"/>
      <c r="R255" s="171"/>
      <c r="S255" s="171"/>
      <c r="T255" s="171"/>
      <c r="U255" s="171"/>
      <c r="V255" s="171"/>
      <c r="W255" s="171"/>
      <c r="X255" s="171"/>
      <c r="Y255" s="138"/>
    </row>
    <row r="256" spans="2:25" s="137" customFormat="1" ht="25.2" customHeight="1" x14ac:dyDescent="0.25">
      <c r="B256" s="167" t="s">
        <v>258</v>
      </c>
      <c r="C256" s="133" t="s">
        <v>905</v>
      </c>
      <c r="D256" s="166" t="e">
        <f>NPV(0.04,E251:X251)+D251</f>
        <v>#REF!</v>
      </c>
      <c r="E256" s="171"/>
      <c r="F256" s="171"/>
      <c r="G256" s="171"/>
      <c r="H256" s="171"/>
      <c r="I256" s="171"/>
      <c r="J256" s="171"/>
      <c r="K256" s="171"/>
      <c r="L256" s="171"/>
      <c r="M256" s="171"/>
      <c r="N256" s="171"/>
      <c r="O256" s="171"/>
      <c r="P256" s="171"/>
      <c r="Q256" s="171"/>
      <c r="R256" s="171"/>
      <c r="S256" s="171"/>
      <c r="T256" s="171"/>
      <c r="U256" s="171"/>
      <c r="V256" s="171"/>
      <c r="W256" s="171"/>
      <c r="X256" s="171"/>
      <c r="Y256" s="138"/>
    </row>
    <row r="257" spans="2:28" s="137" customFormat="1" ht="25.2" customHeight="1" x14ac:dyDescent="0.25">
      <c r="B257" s="167" t="s">
        <v>259</v>
      </c>
      <c r="C257" s="133" t="s">
        <v>906</v>
      </c>
      <c r="D257" s="168" t="e">
        <f>D248-(D245+D246)</f>
        <v>#REF!</v>
      </c>
      <c r="E257" s="178" t="e">
        <f>D257+E253</f>
        <v>#REF!</v>
      </c>
      <c r="F257" s="166" t="e">
        <f t="shared" ref="F257:F258" si="258">E257+F253</f>
        <v>#REF!</v>
      </c>
      <c r="G257" s="166" t="e">
        <f t="shared" ref="G257:G258" si="259">F257+G253</f>
        <v>#REF!</v>
      </c>
      <c r="H257" s="166" t="e">
        <f t="shared" ref="H257:H258" si="260">G257+H253</f>
        <v>#REF!</v>
      </c>
      <c r="I257" s="166" t="e">
        <f t="shared" ref="I257:I258" si="261">H257+I253</f>
        <v>#REF!</v>
      </c>
      <c r="J257" s="166" t="e">
        <f t="shared" ref="J257:J258" si="262">I257+J253</f>
        <v>#REF!</v>
      </c>
      <c r="K257" s="166" t="e">
        <f t="shared" ref="K257:K258" si="263">J257+K253</f>
        <v>#REF!</v>
      </c>
      <c r="L257" s="166" t="e">
        <f t="shared" ref="L257:L258" si="264">K257+L253</f>
        <v>#REF!</v>
      </c>
      <c r="M257" s="166" t="e">
        <f t="shared" ref="M257:M258" si="265">L257+M253</f>
        <v>#REF!</v>
      </c>
      <c r="N257" s="166" t="e">
        <f t="shared" ref="N257:N258" si="266">M257+N253</f>
        <v>#REF!</v>
      </c>
      <c r="O257" s="166" t="e">
        <f t="shared" ref="O257:O258" si="267">N257+O253</f>
        <v>#REF!</v>
      </c>
      <c r="P257" s="166" t="e">
        <f t="shared" ref="P257:P258" si="268">O257+P253</f>
        <v>#REF!</v>
      </c>
      <c r="Q257" s="166" t="e">
        <f t="shared" ref="Q257:Q258" si="269">P257+Q253</f>
        <v>#REF!</v>
      </c>
      <c r="R257" s="166" t="e">
        <f t="shared" ref="R257:R258" si="270">Q257+R253</f>
        <v>#REF!</v>
      </c>
      <c r="S257" s="166" t="e">
        <f t="shared" ref="S257:S258" si="271">R257+S253</f>
        <v>#REF!</v>
      </c>
      <c r="T257" s="166" t="e">
        <f t="shared" ref="T257:T258" si="272">S257+T253</f>
        <v>#REF!</v>
      </c>
      <c r="U257" s="166" t="e">
        <f t="shared" ref="U257:U258" si="273">T257+U253</f>
        <v>#REF!</v>
      </c>
      <c r="V257" s="166" t="e">
        <f t="shared" ref="V257:V258" si="274">U257+V253</f>
        <v>#REF!</v>
      </c>
      <c r="W257" s="166" t="e">
        <f t="shared" ref="W257:W258" si="275">V257+W253</f>
        <v>#REF!</v>
      </c>
      <c r="X257" s="166" t="e">
        <f t="shared" ref="X257:X258" si="276">W257+X253</f>
        <v>#REF!</v>
      </c>
      <c r="Y257" s="138"/>
      <c r="Z257" s="213"/>
      <c r="AA257" s="215"/>
      <c r="AB257" s="214"/>
    </row>
    <row r="258" spans="2:28" s="137" customFormat="1" ht="25.2" customHeight="1" x14ac:dyDescent="0.25">
      <c r="B258" s="167" t="s">
        <v>260</v>
      </c>
      <c r="C258" s="133" t="s">
        <v>907</v>
      </c>
      <c r="D258" s="168" t="e">
        <f>D249-(D245+D246)</f>
        <v>#REF!</v>
      </c>
      <c r="E258" s="178" t="e">
        <f>D258+E254</f>
        <v>#REF!</v>
      </c>
      <c r="F258" s="166" t="e">
        <f t="shared" si="258"/>
        <v>#REF!</v>
      </c>
      <c r="G258" s="166" t="e">
        <f t="shared" si="259"/>
        <v>#REF!</v>
      </c>
      <c r="H258" s="166" t="e">
        <f t="shared" si="260"/>
        <v>#REF!</v>
      </c>
      <c r="I258" s="166" t="e">
        <f t="shared" si="261"/>
        <v>#REF!</v>
      </c>
      <c r="J258" s="166" t="e">
        <f t="shared" si="262"/>
        <v>#REF!</v>
      </c>
      <c r="K258" s="166" t="e">
        <f t="shared" si="263"/>
        <v>#REF!</v>
      </c>
      <c r="L258" s="166" t="e">
        <f t="shared" si="264"/>
        <v>#REF!</v>
      </c>
      <c r="M258" s="166" t="e">
        <f t="shared" si="265"/>
        <v>#REF!</v>
      </c>
      <c r="N258" s="166" t="e">
        <f t="shared" si="266"/>
        <v>#REF!</v>
      </c>
      <c r="O258" s="166" t="e">
        <f t="shared" si="267"/>
        <v>#REF!</v>
      </c>
      <c r="P258" s="166" t="e">
        <f t="shared" si="268"/>
        <v>#REF!</v>
      </c>
      <c r="Q258" s="166" t="e">
        <f t="shared" si="269"/>
        <v>#REF!</v>
      </c>
      <c r="R258" s="166" t="e">
        <f t="shared" si="270"/>
        <v>#REF!</v>
      </c>
      <c r="S258" s="166" t="e">
        <f t="shared" si="271"/>
        <v>#REF!</v>
      </c>
      <c r="T258" s="166" t="e">
        <f t="shared" si="272"/>
        <v>#REF!</v>
      </c>
      <c r="U258" s="166" t="e">
        <f t="shared" si="273"/>
        <v>#REF!</v>
      </c>
      <c r="V258" s="166" t="e">
        <f t="shared" si="274"/>
        <v>#REF!</v>
      </c>
      <c r="W258" s="166" t="e">
        <f t="shared" si="275"/>
        <v>#REF!</v>
      </c>
      <c r="X258" s="166" t="e">
        <f t="shared" si="276"/>
        <v>#REF!</v>
      </c>
      <c r="Y258" s="138"/>
      <c r="Z258" s="213"/>
    </row>
    <row r="259" spans="2:28" s="137" customFormat="1" ht="25.2" customHeight="1" x14ac:dyDescent="0.25">
      <c r="B259" s="167" t="s">
        <v>261</v>
      </c>
      <c r="C259" s="133" t="s">
        <v>316</v>
      </c>
      <c r="D259" s="216" t="e">
        <f t="array" aca="1" ref="D259" ca="1">MATCH(TRUE,INDEX($E257:$X257&gt;0,0),0)+(-LOOKUP(9.99999999999999E+307, IF($E257:$X257&lt;0, $E257:$X257))/LOOKUP(9.99999999999999E+307, IF($E257:$X257&lt;0, OFFSET($E253:$X253,0,1))))</f>
        <v>#N/A</v>
      </c>
      <c r="E259" s="171"/>
      <c r="F259" s="171"/>
      <c r="G259" s="171"/>
      <c r="H259" s="171"/>
      <c r="I259" s="171"/>
      <c r="J259" s="171"/>
      <c r="K259" s="171"/>
      <c r="L259" s="171"/>
      <c r="M259" s="171"/>
      <c r="N259" s="171"/>
      <c r="O259" s="171"/>
      <c r="P259" s="171"/>
      <c r="Q259" s="171"/>
      <c r="R259" s="171"/>
      <c r="S259" s="171"/>
      <c r="T259" s="171"/>
      <c r="U259" s="171"/>
      <c r="V259" s="171"/>
      <c r="W259" s="171"/>
      <c r="X259" s="171"/>
      <c r="Y259" s="138"/>
    </row>
    <row r="260" spans="2:28" s="137" customFormat="1" ht="25.2" customHeight="1" x14ac:dyDescent="0.25">
      <c r="B260" s="167" t="s">
        <v>262</v>
      </c>
      <c r="C260" s="133" t="s">
        <v>317</v>
      </c>
      <c r="D260" s="216" t="e">
        <f t="array" aca="1" ref="D260" ca="1">MATCH(TRUE,INDEX($E258:$X258&gt;0,0),0)+(-LOOKUP(9.99999999999999E+307, IF($E258:$X258&lt;0, $E258:$X258))/LOOKUP(9.99999999999999E+307, IF($E258:$X258&lt;0, OFFSET($E254:$X254,0,1))))</f>
        <v>#N/A</v>
      </c>
      <c r="E260" s="171"/>
      <c r="F260" s="171"/>
      <c r="G260" s="171"/>
      <c r="H260" s="171"/>
      <c r="I260" s="171"/>
      <c r="J260" s="171"/>
      <c r="K260" s="171"/>
      <c r="L260" s="171"/>
      <c r="M260" s="171"/>
      <c r="N260" s="171"/>
      <c r="O260" s="171"/>
      <c r="P260" s="171"/>
      <c r="Q260" s="171"/>
      <c r="R260" s="171"/>
      <c r="S260" s="171"/>
      <c r="T260" s="171"/>
      <c r="U260" s="171"/>
      <c r="V260" s="171"/>
      <c r="W260" s="171"/>
      <c r="X260" s="171"/>
      <c r="Y260" s="138"/>
    </row>
    <row r="261" spans="2:28" s="137" customFormat="1" ht="25.2" customHeight="1" x14ac:dyDescent="0.25">
      <c r="B261" s="167" t="s">
        <v>263</v>
      </c>
      <c r="C261" s="133" t="s">
        <v>319</v>
      </c>
      <c r="D261" s="172" t="e">
        <f>IRR(D250:X250)</f>
        <v>#VALUE!</v>
      </c>
      <c r="E261" s="180"/>
      <c r="F261" s="171"/>
      <c r="G261" s="171"/>
      <c r="H261" s="171"/>
      <c r="I261" s="171"/>
      <c r="J261" s="171"/>
      <c r="K261" s="171"/>
      <c r="L261" s="171"/>
      <c r="M261" s="171"/>
      <c r="N261" s="171"/>
      <c r="O261" s="171"/>
      <c r="P261" s="171"/>
      <c r="Q261" s="171"/>
      <c r="R261" s="171"/>
      <c r="S261" s="171"/>
      <c r="T261" s="171"/>
      <c r="U261" s="171"/>
      <c r="V261" s="171"/>
      <c r="W261" s="171"/>
      <c r="X261" s="171"/>
      <c r="Y261" s="138"/>
    </row>
    <row r="262" spans="2:28" s="137" customFormat="1" ht="25.2" customHeight="1" x14ac:dyDescent="0.25">
      <c r="B262" s="167" t="s">
        <v>264</v>
      </c>
      <c r="C262" s="133" t="s">
        <v>320</v>
      </c>
      <c r="D262" s="172" t="e">
        <f>IRR(D251:X251)</f>
        <v>#VALUE!</v>
      </c>
      <c r="E262" s="171"/>
      <c r="F262" s="171"/>
      <c r="G262" s="171"/>
      <c r="H262" s="171"/>
      <c r="I262" s="171"/>
      <c r="J262" s="171"/>
      <c r="K262" s="171"/>
      <c r="L262" s="171"/>
      <c r="M262" s="171"/>
      <c r="N262" s="171"/>
      <c r="O262" s="171"/>
      <c r="P262" s="171"/>
      <c r="Q262" s="171"/>
      <c r="R262" s="171"/>
      <c r="S262" s="171"/>
      <c r="T262" s="171"/>
      <c r="U262" s="171"/>
      <c r="V262" s="171"/>
      <c r="W262" s="171"/>
      <c r="X262" s="171"/>
      <c r="Y262" s="138"/>
    </row>
    <row r="263" spans="2:28" s="137" customFormat="1" ht="116.85" customHeight="1" x14ac:dyDescent="0.25">
      <c r="B263" s="839" t="s">
        <v>266</v>
      </c>
      <c r="C263" s="839"/>
      <c r="D263" s="839"/>
      <c r="E263" s="839"/>
      <c r="F263" s="839"/>
      <c r="G263" s="839"/>
      <c r="H263" s="839"/>
      <c r="I263" s="839"/>
      <c r="J263" s="839"/>
      <c r="K263" s="839"/>
      <c r="L263" s="839"/>
      <c r="M263" s="839"/>
      <c r="N263" s="839"/>
      <c r="O263" s="839"/>
      <c r="P263" s="839"/>
      <c r="Q263" s="839"/>
      <c r="R263" s="839"/>
      <c r="S263" s="839"/>
      <c r="T263" s="839"/>
      <c r="U263" s="839"/>
      <c r="V263" s="839"/>
      <c r="W263" s="839"/>
      <c r="X263" s="839"/>
      <c r="Y263" s="138"/>
    </row>
    <row r="266" spans="2:28" s="137" customFormat="1" ht="30" customHeight="1" x14ac:dyDescent="0.25">
      <c r="B266" s="217" t="s">
        <v>471</v>
      </c>
      <c r="C266" s="703" t="str">
        <f>Measures_summary!C13</f>
        <v>Installation of PV system</v>
      </c>
      <c r="D266" s="704"/>
      <c r="E266" s="704"/>
      <c r="F266" s="704"/>
      <c r="G266" s="704"/>
      <c r="H266" s="704"/>
      <c r="I266" s="704"/>
      <c r="J266" s="704"/>
      <c r="K266" s="704"/>
      <c r="L266" s="704"/>
      <c r="M266" s="704"/>
      <c r="N266" s="704"/>
      <c r="O266" s="704"/>
      <c r="P266" s="704"/>
      <c r="Q266" s="704"/>
      <c r="R266" s="704"/>
      <c r="S266" s="704"/>
      <c r="T266" s="704"/>
      <c r="U266" s="704"/>
      <c r="V266" s="704"/>
      <c r="W266" s="704"/>
      <c r="X266" s="705"/>
      <c r="Y266" s="138"/>
    </row>
    <row r="267" spans="2:28" s="137" customFormat="1" ht="30" customHeight="1" x14ac:dyDescent="0.25">
      <c r="B267" s="158" t="s">
        <v>42</v>
      </c>
      <c r="C267" s="28" t="s">
        <v>265</v>
      </c>
      <c r="D267" s="28">
        <v>2023</v>
      </c>
      <c r="E267" s="28">
        <v>2024</v>
      </c>
      <c r="F267" s="28">
        <v>2025</v>
      </c>
      <c r="G267" s="28">
        <v>2026</v>
      </c>
      <c r="H267" s="28">
        <v>2027</v>
      </c>
      <c r="I267" s="28">
        <v>2028</v>
      </c>
      <c r="J267" s="28">
        <v>2029</v>
      </c>
      <c r="K267" s="28">
        <v>2030</v>
      </c>
      <c r="L267" s="28">
        <v>2031</v>
      </c>
      <c r="M267" s="28">
        <v>2032</v>
      </c>
      <c r="N267" s="28">
        <v>2033</v>
      </c>
      <c r="O267" s="28">
        <v>2034</v>
      </c>
      <c r="P267" s="28">
        <v>2035</v>
      </c>
      <c r="Q267" s="28">
        <v>2036</v>
      </c>
      <c r="R267" s="28">
        <v>2037</v>
      </c>
      <c r="S267" s="28">
        <v>2038</v>
      </c>
      <c r="T267" s="28">
        <v>2039</v>
      </c>
      <c r="U267" s="28">
        <v>2040</v>
      </c>
      <c r="V267" s="28">
        <v>2041</v>
      </c>
      <c r="W267" s="28">
        <v>2042</v>
      </c>
      <c r="X267" s="28">
        <v>2043</v>
      </c>
      <c r="Y267" s="138"/>
    </row>
    <row r="268" spans="2:28" s="137" customFormat="1" ht="25.2" customHeight="1" x14ac:dyDescent="0.25">
      <c r="B268" s="161">
        <v>1</v>
      </c>
      <c r="C268" s="162" t="s">
        <v>302</v>
      </c>
      <c r="D268" s="163"/>
      <c r="E268" s="163"/>
      <c r="F268" s="163"/>
      <c r="G268" s="163"/>
      <c r="H268" s="163"/>
      <c r="I268" s="163"/>
      <c r="J268" s="163"/>
      <c r="K268" s="163"/>
      <c r="L268" s="163"/>
      <c r="M268" s="30"/>
      <c r="N268" s="30"/>
      <c r="O268" s="30"/>
      <c r="P268" s="30"/>
      <c r="Q268" s="30"/>
      <c r="R268" s="30"/>
      <c r="S268" s="30"/>
      <c r="T268" s="30"/>
      <c r="U268" s="30"/>
      <c r="V268" s="30"/>
      <c r="W268" s="30"/>
      <c r="X268" s="30"/>
      <c r="Y268" s="138"/>
    </row>
    <row r="269" spans="2:28" s="137" customFormat="1" ht="25.2" customHeight="1" x14ac:dyDescent="0.25">
      <c r="B269" s="164" t="s">
        <v>248</v>
      </c>
      <c r="C269" s="165" t="s">
        <v>896</v>
      </c>
      <c r="D269" s="166">
        <f>Measures_summary!D13</f>
        <v>7268</v>
      </c>
      <c r="E269" s="163"/>
      <c r="F269" s="163"/>
      <c r="G269" s="163"/>
      <c r="H269" s="163"/>
      <c r="I269" s="163"/>
      <c r="J269" s="163"/>
      <c r="K269" s="163"/>
      <c r="L269" s="163"/>
      <c r="M269" s="163"/>
      <c r="N269" s="163"/>
      <c r="O269" s="163"/>
      <c r="P269" s="163"/>
      <c r="Q269" s="163"/>
      <c r="R269" s="163"/>
      <c r="S269" s="163"/>
      <c r="T269" s="163"/>
      <c r="U269" s="163"/>
      <c r="V269" s="163"/>
      <c r="W269" s="163"/>
      <c r="X269" s="163"/>
      <c r="Y269" s="138"/>
    </row>
    <row r="270" spans="2:28" s="137" customFormat="1" ht="25.2" customHeight="1" x14ac:dyDescent="0.25">
      <c r="B270" s="164" t="s">
        <v>249</v>
      </c>
      <c r="C270" s="165" t="s">
        <v>897</v>
      </c>
      <c r="D270" s="163"/>
      <c r="E270" s="166">
        <f>4%*$D$5</f>
        <v>3045.5159999999996</v>
      </c>
      <c r="F270" s="166">
        <f t="shared" ref="F270:X270" si="277">4%*$D$5</f>
        <v>3045.5159999999996</v>
      </c>
      <c r="G270" s="166">
        <f t="shared" si="277"/>
        <v>3045.5159999999996</v>
      </c>
      <c r="H270" s="166">
        <f t="shared" si="277"/>
        <v>3045.5159999999996</v>
      </c>
      <c r="I270" s="166">
        <f t="shared" si="277"/>
        <v>3045.5159999999996</v>
      </c>
      <c r="J270" s="166">
        <f t="shared" si="277"/>
        <v>3045.5159999999996</v>
      </c>
      <c r="K270" s="166">
        <f t="shared" si="277"/>
        <v>3045.5159999999996</v>
      </c>
      <c r="L270" s="166">
        <f t="shared" si="277"/>
        <v>3045.5159999999996</v>
      </c>
      <c r="M270" s="166">
        <f t="shared" si="277"/>
        <v>3045.5159999999996</v>
      </c>
      <c r="N270" s="166">
        <f t="shared" si="277"/>
        <v>3045.5159999999996</v>
      </c>
      <c r="O270" s="166">
        <f t="shared" si="277"/>
        <v>3045.5159999999996</v>
      </c>
      <c r="P270" s="166">
        <f t="shared" si="277"/>
        <v>3045.5159999999996</v>
      </c>
      <c r="Q270" s="166">
        <f t="shared" si="277"/>
        <v>3045.5159999999996</v>
      </c>
      <c r="R270" s="166">
        <f t="shared" si="277"/>
        <v>3045.5159999999996</v>
      </c>
      <c r="S270" s="166">
        <f t="shared" si="277"/>
        <v>3045.5159999999996</v>
      </c>
      <c r="T270" s="166">
        <f t="shared" si="277"/>
        <v>3045.5159999999996</v>
      </c>
      <c r="U270" s="166">
        <f t="shared" si="277"/>
        <v>3045.5159999999996</v>
      </c>
      <c r="V270" s="166">
        <f t="shared" si="277"/>
        <v>3045.5159999999996</v>
      </c>
      <c r="W270" s="166">
        <f t="shared" si="277"/>
        <v>3045.5159999999996</v>
      </c>
      <c r="X270" s="166">
        <f t="shared" si="277"/>
        <v>3045.5159999999996</v>
      </c>
      <c r="Y270" s="138"/>
    </row>
    <row r="271" spans="2:28" s="137" customFormat="1" ht="25.2" customHeight="1" x14ac:dyDescent="0.25">
      <c r="B271" s="161">
        <v>2</v>
      </c>
      <c r="C271" s="162" t="s">
        <v>303</v>
      </c>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38"/>
    </row>
    <row r="272" spans="2:28" s="137" customFormat="1" ht="25.2" customHeight="1" x14ac:dyDescent="0.25">
      <c r="B272" s="167" t="s">
        <v>250</v>
      </c>
      <c r="C272" s="133" t="s">
        <v>898</v>
      </c>
      <c r="D272" s="163">
        <v>0</v>
      </c>
      <c r="E272" s="166">
        <f>Measures_summary!F13</f>
        <v>1427.824517631404</v>
      </c>
      <c r="F272" s="166">
        <f t="shared" ref="F272:X272" si="278">$E272*(1.028+0.028*(F267-$F$3))</f>
        <v>1347.8663446440455</v>
      </c>
      <c r="G272" s="166">
        <f t="shared" si="278"/>
        <v>1387.8454311377245</v>
      </c>
      <c r="H272" s="166">
        <f t="shared" si="278"/>
        <v>1427.824517631404</v>
      </c>
      <c r="I272" s="166">
        <f t="shared" si="278"/>
        <v>1467.8036041250834</v>
      </c>
      <c r="J272" s="166">
        <f t="shared" si="278"/>
        <v>1507.7826906187627</v>
      </c>
      <c r="K272" s="166">
        <f t="shared" si="278"/>
        <v>1547.7617771124421</v>
      </c>
      <c r="L272" s="166">
        <f t="shared" si="278"/>
        <v>1587.7408636061214</v>
      </c>
      <c r="M272" s="166">
        <f t="shared" si="278"/>
        <v>1627.7199500998008</v>
      </c>
      <c r="N272" s="166">
        <f t="shared" si="278"/>
        <v>1667.6990365934801</v>
      </c>
      <c r="O272" s="166">
        <f t="shared" si="278"/>
        <v>1707.6781230871591</v>
      </c>
      <c r="P272" s="166">
        <f t="shared" si="278"/>
        <v>1747.6572095808385</v>
      </c>
      <c r="Q272" s="166">
        <f t="shared" si="278"/>
        <v>1787.6362960745178</v>
      </c>
      <c r="R272" s="166">
        <f t="shared" si="278"/>
        <v>1827.6153825681972</v>
      </c>
      <c r="S272" s="166">
        <f t="shared" si="278"/>
        <v>1867.5944690618765</v>
      </c>
      <c r="T272" s="166">
        <f t="shared" si="278"/>
        <v>1907.5735555555559</v>
      </c>
      <c r="U272" s="166">
        <f t="shared" si="278"/>
        <v>1947.5526420492351</v>
      </c>
      <c r="V272" s="166">
        <f t="shared" si="278"/>
        <v>1987.5317285429142</v>
      </c>
      <c r="W272" s="166">
        <f t="shared" si="278"/>
        <v>2027.5108150365936</v>
      </c>
      <c r="X272" s="166">
        <f t="shared" si="278"/>
        <v>2067.4899015302731</v>
      </c>
      <c r="Y272" s="138"/>
    </row>
    <row r="273" spans="2:28" s="137" customFormat="1" ht="25.2" customHeight="1" x14ac:dyDescent="0.25">
      <c r="B273" s="167" t="s">
        <v>251</v>
      </c>
      <c r="C273" s="133" t="s">
        <v>899</v>
      </c>
      <c r="D273" s="163">
        <v>0</v>
      </c>
      <c r="E273" s="166">
        <f>Measures_summary!J13</f>
        <v>1427.824517631404</v>
      </c>
      <c r="F273" s="166">
        <f t="shared" ref="F273:X273" si="279">$E273*(1.028+0.028*(F267-$F$3))</f>
        <v>1347.8663446440455</v>
      </c>
      <c r="G273" s="166">
        <f t="shared" si="279"/>
        <v>1387.8454311377245</v>
      </c>
      <c r="H273" s="166">
        <f t="shared" si="279"/>
        <v>1427.824517631404</v>
      </c>
      <c r="I273" s="166">
        <f t="shared" si="279"/>
        <v>1467.8036041250834</v>
      </c>
      <c r="J273" s="166">
        <f t="shared" si="279"/>
        <v>1507.7826906187627</v>
      </c>
      <c r="K273" s="166">
        <f t="shared" si="279"/>
        <v>1547.7617771124421</v>
      </c>
      <c r="L273" s="166">
        <f t="shared" si="279"/>
        <v>1587.7408636061214</v>
      </c>
      <c r="M273" s="166">
        <f t="shared" si="279"/>
        <v>1627.7199500998008</v>
      </c>
      <c r="N273" s="166">
        <f t="shared" si="279"/>
        <v>1667.6990365934801</v>
      </c>
      <c r="O273" s="166">
        <f t="shared" si="279"/>
        <v>1707.6781230871591</v>
      </c>
      <c r="P273" s="166">
        <f t="shared" si="279"/>
        <v>1747.6572095808385</v>
      </c>
      <c r="Q273" s="166">
        <f t="shared" si="279"/>
        <v>1787.6362960745178</v>
      </c>
      <c r="R273" s="166">
        <f t="shared" si="279"/>
        <v>1827.6153825681972</v>
      </c>
      <c r="S273" s="166">
        <f t="shared" si="279"/>
        <v>1867.5944690618765</v>
      </c>
      <c r="T273" s="166">
        <f t="shared" si="279"/>
        <v>1907.5735555555559</v>
      </c>
      <c r="U273" s="166">
        <f t="shared" si="279"/>
        <v>1947.5526420492351</v>
      </c>
      <c r="V273" s="166">
        <f t="shared" si="279"/>
        <v>1987.5317285429142</v>
      </c>
      <c r="W273" s="166">
        <f t="shared" si="279"/>
        <v>2027.5108150365936</v>
      </c>
      <c r="X273" s="166">
        <f t="shared" si="279"/>
        <v>2067.4899015302731</v>
      </c>
      <c r="Y273" s="138"/>
    </row>
    <row r="274" spans="2:28" s="137" customFormat="1" ht="25.2" customHeight="1" x14ac:dyDescent="0.25">
      <c r="B274" s="167" t="s">
        <v>252</v>
      </c>
      <c r="C274" s="133" t="s">
        <v>900</v>
      </c>
      <c r="D274" s="168">
        <f t="shared" ref="D274" si="280">D272-(D269+D270)</f>
        <v>-7268</v>
      </c>
      <c r="E274" s="168">
        <f>E272-(E269+E270)</f>
        <v>-1617.6914823685956</v>
      </c>
      <c r="F274" s="168">
        <f t="shared" ref="F274:X274" si="281">F272-(F269+F270)</f>
        <v>-1697.6496553559541</v>
      </c>
      <c r="G274" s="168">
        <f t="shared" si="281"/>
        <v>-1657.6705688622751</v>
      </c>
      <c r="H274" s="168">
        <f t="shared" si="281"/>
        <v>-1617.6914823685956</v>
      </c>
      <c r="I274" s="168">
        <f t="shared" si="281"/>
        <v>-1577.7123958749162</v>
      </c>
      <c r="J274" s="168">
        <f t="shared" si="281"/>
        <v>-1537.7333093812369</v>
      </c>
      <c r="K274" s="168">
        <f t="shared" si="281"/>
        <v>-1497.7542228875575</v>
      </c>
      <c r="L274" s="168">
        <f t="shared" si="281"/>
        <v>-1457.7751363938783</v>
      </c>
      <c r="M274" s="168">
        <f t="shared" si="281"/>
        <v>-1417.7960499001988</v>
      </c>
      <c r="N274" s="168">
        <f t="shared" si="281"/>
        <v>-1377.8169634065196</v>
      </c>
      <c r="O274" s="168">
        <f t="shared" si="281"/>
        <v>-1337.8378769128406</v>
      </c>
      <c r="P274" s="168">
        <f t="shared" si="281"/>
        <v>-1297.8587904191611</v>
      </c>
      <c r="Q274" s="168">
        <f t="shared" si="281"/>
        <v>-1257.8797039254819</v>
      </c>
      <c r="R274" s="168">
        <f t="shared" si="281"/>
        <v>-1217.9006174318024</v>
      </c>
      <c r="S274" s="168">
        <f t="shared" si="281"/>
        <v>-1177.9215309381232</v>
      </c>
      <c r="T274" s="168">
        <f t="shared" si="281"/>
        <v>-1137.9424444444437</v>
      </c>
      <c r="U274" s="168">
        <f t="shared" si="281"/>
        <v>-1097.9633579507645</v>
      </c>
      <c r="V274" s="168">
        <f t="shared" si="281"/>
        <v>-1057.9842714570855</v>
      </c>
      <c r="W274" s="168">
        <f t="shared" si="281"/>
        <v>-1018.005184963406</v>
      </c>
      <c r="X274" s="168">
        <f t="shared" si="281"/>
        <v>-978.02609846972655</v>
      </c>
      <c r="Y274" s="138"/>
    </row>
    <row r="275" spans="2:28" s="137" customFormat="1" ht="25.2" customHeight="1" x14ac:dyDescent="0.25">
      <c r="B275" s="167" t="s">
        <v>253</v>
      </c>
      <c r="C275" s="133" t="s">
        <v>901</v>
      </c>
      <c r="D275" s="168">
        <f t="shared" ref="D275:X275" si="282">D273-(D269+D270)</f>
        <v>-7268</v>
      </c>
      <c r="E275" s="168">
        <f t="shared" si="282"/>
        <v>-1617.6914823685956</v>
      </c>
      <c r="F275" s="168">
        <f t="shared" si="282"/>
        <v>-1697.6496553559541</v>
      </c>
      <c r="G275" s="168">
        <f t="shared" si="282"/>
        <v>-1657.6705688622751</v>
      </c>
      <c r="H275" s="168">
        <f t="shared" si="282"/>
        <v>-1617.6914823685956</v>
      </c>
      <c r="I275" s="168">
        <f t="shared" si="282"/>
        <v>-1577.7123958749162</v>
      </c>
      <c r="J275" s="168">
        <f t="shared" si="282"/>
        <v>-1537.7333093812369</v>
      </c>
      <c r="K275" s="168">
        <f t="shared" si="282"/>
        <v>-1497.7542228875575</v>
      </c>
      <c r="L275" s="168">
        <f t="shared" si="282"/>
        <v>-1457.7751363938783</v>
      </c>
      <c r="M275" s="168">
        <f t="shared" si="282"/>
        <v>-1417.7960499001988</v>
      </c>
      <c r="N275" s="168">
        <f t="shared" si="282"/>
        <v>-1377.8169634065196</v>
      </c>
      <c r="O275" s="168">
        <f t="shared" si="282"/>
        <v>-1337.8378769128406</v>
      </c>
      <c r="P275" s="168">
        <f t="shared" si="282"/>
        <v>-1297.8587904191611</v>
      </c>
      <c r="Q275" s="168">
        <f t="shared" si="282"/>
        <v>-1257.8797039254819</v>
      </c>
      <c r="R275" s="168">
        <f t="shared" si="282"/>
        <v>-1217.9006174318024</v>
      </c>
      <c r="S275" s="168">
        <f t="shared" si="282"/>
        <v>-1177.9215309381232</v>
      </c>
      <c r="T275" s="168">
        <f t="shared" si="282"/>
        <v>-1137.9424444444437</v>
      </c>
      <c r="U275" s="168">
        <f t="shared" si="282"/>
        <v>-1097.9633579507645</v>
      </c>
      <c r="V275" s="168">
        <f t="shared" si="282"/>
        <v>-1057.9842714570855</v>
      </c>
      <c r="W275" s="168">
        <f t="shared" si="282"/>
        <v>-1018.005184963406</v>
      </c>
      <c r="X275" s="168">
        <f t="shared" si="282"/>
        <v>-978.02609846972655</v>
      </c>
      <c r="Y275" s="138"/>
    </row>
    <row r="276" spans="2:28" s="137" customFormat="1" ht="25.2" customHeight="1" x14ac:dyDescent="0.25">
      <c r="B276" s="161" t="s">
        <v>254</v>
      </c>
      <c r="C276" s="169" t="s">
        <v>304</v>
      </c>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38"/>
    </row>
    <row r="277" spans="2:28" s="137" customFormat="1" ht="25.2" customHeight="1" x14ac:dyDescent="0.25">
      <c r="B277" s="167" t="s">
        <v>255</v>
      </c>
      <c r="C277" s="133" t="s">
        <v>902</v>
      </c>
      <c r="D277" s="168">
        <f>D274</f>
        <v>-7268</v>
      </c>
      <c r="E277" s="178">
        <f t="shared" ref="E277:X277" si="283">E272/POWER(1+0.04,E$3-$D$3)</f>
        <v>1372.908190030196</v>
      </c>
      <c r="F277" s="178">
        <f t="shared" si="283"/>
        <v>1246.178203258178</v>
      </c>
      <c r="G277" s="178">
        <f t="shared" si="283"/>
        <v>1233.789534679503</v>
      </c>
      <c r="H277" s="178">
        <f t="shared" si="283"/>
        <v>1220.5103817263205</v>
      </c>
      <c r="I277" s="178">
        <f t="shared" si="283"/>
        <v>1206.4275696294785</v>
      </c>
      <c r="J277" s="178">
        <f t="shared" si="283"/>
        <v>1191.6225620404905</v>
      </c>
      <c r="K277" s="178">
        <f t="shared" si="283"/>
        <v>1176.1717450210263</v>
      </c>
      <c r="L277" s="178">
        <f t="shared" si="283"/>
        <v>1160.1466971183836</v>
      </c>
      <c r="M277" s="178">
        <f t="shared" si="283"/>
        <v>1143.614446177156</v>
      </c>
      <c r="N277" s="178">
        <f t="shared" si="283"/>
        <v>1126.6377135078594</v>
      </c>
      <c r="O277" s="178">
        <f t="shared" si="283"/>
        <v>1109.2751460051697</v>
      </c>
      <c r="P277" s="178">
        <f t="shared" si="283"/>
        <v>1091.5815367815212</v>
      </c>
      <c r="Q277" s="178">
        <f t="shared" si="283"/>
        <v>1073.6080348561343</v>
      </c>
      <c r="R277" s="178">
        <f t="shared" si="283"/>
        <v>1055.4023444149759</v>
      </c>
      <c r="S277" s="178">
        <f t="shared" si="283"/>
        <v>1037.0089141337053</v>
      </c>
      <c r="T277" s="178">
        <f t="shared" si="283"/>
        <v>1018.4691170332203</v>
      </c>
      <c r="U277" s="178">
        <f t="shared" si="283"/>
        <v>999.82142131600665</v>
      </c>
      <c r="V277" s="178">
        <f t="shared" si="283"/>
        <v>981.10155261101465</v>
      </c>
      <c r="W277" s="178">
        <f t="shared" si="283"/>
        <v>962.34264803522944</v>
      </c>
      <c r="X277" s="178">
        <f t="shared" si="283"/>
        <v>943.57540246141139</v>
      </c>
      <c r="Y277" s="138"/>
    </row>
    <row r="278" spans="2:28" s="137" customFormat="1" ht="25.2" customHeight="1" x14ac:dyDescent="0.25">
      <c r="B278" s="167" t="s">
        <v>256</v>
      </c>
      <c r="C278" s="133" t="s">
        <v>903</v>
      </c>
      <c r="D278" s="168">
        <f>D275</f>
        <v>-7268</v>
      </c>
      <c r="E278" s="178">
        <f t="shared" ref="E278:X278" si="284">E273/POWER(1+0.04,E$3-$D$3)</f>
        <v>1372.908190030196</v>
      </c>
      <c r="F278" s="178">
        <f t="shared" si="284"/>
        <v>1246.178203258178</v>
      </c>
      <c r="G278" s="178">
        <f t="shared" si="284"/>
        <v>1233.789534679503</v>
      </c>
      <c r="H278" s="178">
        <f t="shared" si="284"/>
        <v>1220.5103817263205</v>
      </c>
      <c r="I278" s="178">
        <f t="shared" si="284"/>
        <v>1206.4275696294785</v>
      </c>
      <c r="J278" s="178">
        <f t="shared" si="284"/>
        <v>1191.6225620404905</v>
      </c>
      <c r="K278" s="178">
        <f t="shared" si="284"/>
        <v>1176.1717450210263</v>
      </c>
      <c r="L278" s="178">
        <f t="shared" si="284"/>
        <v>1160.1466971183836</v>
      </c>
      <c r="M278" s="178">
        <f t="shared" si="284"/>
        <v>1143.614446177156</v>
      </c>
      <c r="N278" s="178">
        <f t="shared" si="284"/>
        <v>1126.6377135078594</v>
      </c>
      <c r="O278" s="178">
        <f t="shared" si="284"/>
        <v>1109.2751460051697</v>
      </c>
      <c r="P278" s="178">
        <f t="shared" si="284"/>
        <v>1091.5815367815212</v>
      </c>
      <c r="Q278" s="178">
        <f t="shared" si="284"/>
        <v>1073.6080348561343</v>
      </c>
      <c r="R278" s="178">
        <f t="shared" si="284"/>
        <v>1055.4023444149759</v>
      </c>
      <c r="S278" s="178">
        <f t="shared" si="284"/>
        <v>1037.0089141337053</v>
      </c>
      <c r="T278" s="178">
        <f t="shared" si="284"/>
        <v>1018.4691170332203</v>
      </c>
      <c r="U278" s="178">
        <f t="shared" si="284"/>
        <v>999.82142131600665</v>
      </c>
      <c r="V278" s="178">
        <f t="shared" si="284"/>
        <v>981.10155261101465</v>
      </c>
      <c r="W278" s="178">
        <f t="shared" si="284"/>
        <v>962.34264803522944</v>
      </c>
      <c r="X278" s="178">
        <f t="shared" si="284"/>
        <v>943.57540246141139</v>
      </c>
      <c r="Y278" s="138"/>
    </row>
    <row r="279" spans="2:28" s="137" customFormat="1" ht="25.2" customHeight="1" x14ac:dyDescent="0.25">
      <c r="B279" s="167" t="s">
        <v>257</v>
      </c>
      <c r="C279" s="133" t="s">
        <v>904</v>
      </c>
      <c r="D279" s="166">
        <f>NPV(0.04,E274:X274)+D274</f>
        <v>-26307.363167983607</v>
      </c>
      <c r="E279" s="179"/>
      <c r="F279" s="171"/>
      <c r="G279" s="171"/>
      <c r="H279" s="171"/>
      <c r="I279" s="171"/>
      <c r="J279" s="171"/>
      <c r="K279" s="171"/>
      <c r="L279" s="171"/>
      <c r="M279" s="171"/>
      <c r="N279" s="171"/>
      <c r="O279" s="171"/>
      <c r="P279" s="171"/>
      <c r="Q279" s="171"/>
      <c r="R279" s="171"/>
      <c r="S279" s="171"/>
      <c r="T279" s="171"/>
      <c r="U279" s="171"/>
      <c r="V279" s="171"/>
      <c r="W279" s="171"/>
      <c r="X279" s="171"/>
      <c r="Y279" s="138"/>
    </row>
    <row r="280" spans="2:28" s="137" customFormat="1" ht="25.2" customHeight="1" x14ac:dyDescent="0.25">
      <c r="B280" s="167" t="s">
        <v>258</v>
      </c>
      <c r="C280" s="133" t="s">
        <v>905</v>
      </c>
      <c r="D280" s="166">
        <f>NPV(0.04,E275:X275)+D275</f>
        <v>-26307.363167983607</v>
      </c>
      <c r="E280" s="171"/>
      <c r="F280" s="171"/>
      <c r="G280" s="171"/>
      <c r="H280" s="171"/>
      <c r="I280" s="171"/>
      <c r="J280" s="171"/>
      <c r="K280" s="171"/>
      <c r="L280" s="171"/>
      <c r="M280" s="171"/>
      <c r="N280" s="171"/>
      <c r="O280" s="171"/>
      <c r="P280" s="171"/>
      <c r="Q280" s="171"/>
      <c r="R280" s="171"/>
      <c r="S280" s="171"/>
      <c r="T280" s="171"/>
      <c r="U280" s="171"/>
      <c r="V280" s="171"/>
      <c r="W280" s="171"/>
      <c r="X280" s="171"/>
      <c r="Y280" s="138"/>
    </row>
    <row r="281" spans="2:28" s="137" customFormat="1" ht="25.2" customHeight="1" x14ac:dyDescent="0.25">
      <c r="B281" s="167" t="s">
        <v>259</v>
      </c>
      <c r="C281" s="133" t="s">
        <v>906</v>
      </c>
      <c r="D281" s="168">
        <f>D272-(D269+D270)</f>
        <v>-7268</v>
      </c>
      <c r="E281" s="178">
        <f>D281+E277</f>
        <v>-5895.0918099698038</v>
      </c>
      <c r="F281" s="166">
        <f t="shared" ref="F281:F282" si="285">E281+F277</f>
        <v>-4648.913606711626</v>
      </c>
      <c r="G281" s="166">
        <f t="shared" ref="G281:G282" si="286">F281+G277</f>
        <v>-3415.124072032123</v>
      </c>
      <c r="H281" s="166">
        <f t="shared" ref="H281:H282" si="287">G281+H277</f>
        <v>-2194.6136903058023</v>
      </c>
      <c r="I281" s="166">
        <f t="shared" ref="I281:I282" si="288">H281+I277</f>
        <v>-988.18612067632375</v>
      </c>
      <c r="J281" s="166">
        <f t="shared" ref="J281:J282" si="289">I281+J277</f>
        <v>203.43644136416674</v>
      </c>
      <c r="K281" s="166">
        <f t="shared" ref="K281:K282" si="290">J281+K277</f>
        <v>1379.608186385193</v>
      </c>
      <c r="L281" s="166">
        <f t="shared" ref="L281:L282" si="291">K281+L277</f>
        <v>2539.7548835035768</v>
      </c>
      <c r="M281" s="166">
        <f t="shared" ref="M281:M282" si="292">L281+M277</f>
        <v>3683.3693296807328</v>
      </c>
      <c r="N281" s="166">
        <f t="shared" ref="N281:N282" si="293">M281+N277</f>
        <v>4810.0070431885924</v>
      </c>
      <c r="O281" s="166">
        <f t="shared" ref="O281:O282" si="294">N281+O277</f>
        <v>5919.282189193762</v>
      </c>
      <c r="P281" s="166">
        <f t="shared" ref="P281:P282" si="295">O281+P277</f>
        <v>7010.8637259752832</v>
      </c>
      <c r="Q281" s="166">
        <f t="shared" ref="Q281:Q282" si="296">P281+Q277</f>
        <v>8084.4717608314177</v>
      </c>
      <c r="R281" s="166">
        <f t="shared" ref="R281:R282" si="297">Q281+R277</f>
        <v>9139.8741052463938</v>
      </c>
      <c r="S281" s="166">
        <f t="shared" ref="S281:S282" si="298">R281+S277</f>
        <v>10176.883019380099</v>
      </c>
      <c r="T281" s="166">
        <f t="shared" ref="T281:T282" si="299">S281+T277</f>
        <v>11195.352136413319</v>
      </c>
      <c r="U281" s="166">
        <f t="shared" ref="U281:U282" si="300">T281+U277</f>
        <v>12195.173557729326</v>
      </c>
      <c r="V281" s="166">
        <f t="shared" ref="V281:V282" si="301">U281+V277</f>
        <v>13176.275110340341</v>
      </c>
      <c r="W281" s="166">
        <f t="shared" ref="W281:W282" si="302">V281+W277</f>
        <v>14138.617758375571</v>
      </c>
      <c r="X281" s="166">
        <f t="shared" ref="X281:X282" si="303">W281+X277</f>
        <v>15082.193160836981</v>
      </c>
      <c r="Y281" s="138"/>
      <c r="Z281" s="213"/>
      <c r="AA281" s="215"/>
      <c r="AB281" s="214"/>
    </row>
    <row r="282" spans="2:28" s="137" customFormat="1" ht="25.2" customHeight="1" x14ac:dyDescent="0.25">
      <c r="B282" s="167" t="s">
        <v>260</v>
      </c>
      <c r="C282" s="133" t="s">
        <v>907</v>
      </c>
      <c r="D282" s="168">
        <f>D273-(D269+D270)</f>
        <v>-7268</v>
      </c>
      <c r="E282" s="178">
        <f>D282+E278</f>
        <v>-5895.0918099698038</v>
      </c>
      <c r="F282" s="166">
        <f t="shared" si="285"/>
        <v>-4648.913606711626</v>
      </c>
      <c r="G282" s="166">
        <f t="shared" si="286"/>
        <v>-3415.124072032123</v>
      </c>
      <c r="H282" s="166">
        <f t="shared" si="287"/>
        <v>-2194.6136903058023</v>
      </c>
      <c r="I282" s="166">
        <f t="shared" si="288"/>
        <v>-988.18612067632375</v>
      </c>
      <c r="J282" s="166">
        <f t="shared" si="289"/>
        <v>203.43644136416674</v>
      </c>
      <c r="K282" s="166">
        <f t="shared" si="290"/>
        <v>1379.608186385193</v>
      </c>
      <c r="L282" s="166">
        <f t="shared" si="291"/>
        <v>2539.7548835035768</v>
      </c>
      <c r="M282" s="166">
        <f t="shared" si="292"/>
        <v>3683.3693296807328</v>
      </c>
      <c r="N282" s="166">
        <f t="shared" si="293"/>
        <v>4810.0070431885924</v>
      </c>
      <c r="O282" s="166">
        <f t="shared" si="294"/>
        <v>5919.282189193762</v>
      </c>
      <c r="P282" s="166">
        <f t="shared" si="295"/>
        <v>7010.8637259752832</v>
      </c>
      <c r="Q282" s="166">
        <f t="shared" si="296"/>
        <v>8084.4717608314177</v>
      </c>
      <c r="R282" s="166">
        <f t="shared" si="297"/>
        <v>9139.8741052463938</v>
      </c>
      <c r="S282" s="166">
        <f t="shared" si="298"/>
        <v>10176.883019380099</v>
      </c>
      <c r="T282" s="166">
        <f t="shared" si="299"/>
        <v>11195.352136413319</v>
      </c>
      <c r="U282" s="166">
        <f t="shared" si="300"/>
        <v>12195.173557729326</v>
      </c>
      <c r="V282" s="166">
        <f t="shared" si="301"/>
        <v>13176.275110340341</v>
      </c>
      <c r="W282" s="166">
        <f t="shared" si="302"/>
        <v>14138.617758375571</v>
      </c>
      <c r="X282" s="166">
        <f t="shared" si="303"/>
        <v>15082.193160836981</v>
      </c>
      <c r="Y282" s="138"/>
      <c r="Z282" s="213"/>
    </row>
    <row r="283" spans="2:28" s="137" customFormat="1" ht="25.2" customHeight="1" x14ac:dyDescent="0.25">
      <c r="B283" s="167" t="s">
        <v>261</v>
      </c>
      <c r="C283" s="133" t="s">
        <v>316</v>
      </c>
      <c r="D283" s="216">
        <f t="array" aca="1" ref="D283" ca="1">MATCH(TRUE,INDEX($E281:$X281&gt;0,0),0)+(-LOOKUP(9.99999999999999E+307, IF($E281:$X281&lt;0, $E281:$X281))/LOOKUP(9.99999999999999E+307, IF($E281:$X281&lt;0, OFFSET($E277:$X277,0,1))))</f>
        <v>6.8292777865704304</v>
      </c>
      <c r="E283" s="171"/>
      <c r="F283" s="171"/>
      <c r="G283" s="171"/>
      <c r="H283" s="171"/>
      <c r="I283" s="171"/>
      <c r="J283" s="171"/>
      <c r="K283" s="171"/>
      <c r="L283" s="171"/>
      <c r="M283" s="171"/>
      <c r="N283" s="171"/>
      <c r="O283" s="171"/>
      <c r="P283" s="171"/>
      <c r="Q283" s="171"/>
      <c r="R283" s="171"/>
      <c r="S283" s="171"/>
      <c r="T283" s="171"/>
      <c r="U283" s="171"/>
      <c r="V283" s="171"/>
      <c r="W283" s="171"/>
      <c r="X283" s="171"/>
      <c r="Y283" s="138"/>
    </row>
    <row r="284" spans="2:28" s="137" customFormat="1" ht="25.2" customHeight="1" x14ac:dyDescent="0.25">
      <c r="B284" s="167" t="s">
        <v>262</v>
      </c>
      <c r="C284" s="133" t="s">
        <v>317</v>
      </c>
      <c r="D284" s="216">
        <f t="array" aca="1" ref="D284" ca="1">MATCH(TRUE,INDEX($E282:$X282&gt;0,0),0)+(-LOOKUP(9.99999999999999E+307, IF($E282:$X282&lt;0, $E282:$X282))/LOOKUP(9.99999999999999E+307, IF($E282:$X282&lt;0, OFFSET($E278:$X278,0,1))))</f>
        <v>6.8292777865704304</v>
      </c>
      <c r="E284" s="171"/>
      <c r="F284" s="171"/>
      <c r="G284" s="171"/>
      <c r="H284" s="171"/>
      <c r="I284" s="171"/>
      <c r="J284" s="171"/>
      <c r="K284" s="171"/>
      <c r="L284" s="171"/>
      <c r="M284" s="171"/>
      <c r="N284" s="171"/>
      <c r="O284" s="171"/>
      <c r="P284" s="171"/>
      <c r="Q284" s="171"/>
      <c r="R284" s="171"/>
      <c r="S284" s="171"/>
      <c r="T284" s="171"/>
      <c r="U284" s="171"/>
      <c r="V284" s="171"/>
      <c r="W284" s="171"/>
      <c r="X284" s="171"/>
      <c r="Y284" s="138"/>
    </row>
    <row r="285" spans="2:28" s="137" customFormat="1" ht="25.2" customHeight="1" x14ac:dyDescent="0.25">
      <c r="B285" s="167" t="s">
        <v>263</v>
      </c>
      <c r="C285" s="133" t="s">
        <v>319</v>
      </c>
      <c r="D285" s="172" t="e">
        <f>IRR(D274:X274)</f>
        <v>#NUM!</v>
      </c>
      <c r="E285" s="180"/>
      <c r="F285" s="171"/>
      <c r="G285" s="171"/>
      <c r="H285" s="171"/>
      <c r="I285" s="171"/>
      <c r="J285" s="171"/>
      <c r="K285" s="171"/>
      <c r="L285" s="171"/>
      <c r="M285" s="171"/>
      <c r="N285" s="171"/>
      <c r="O285" s="171"/>
      <c r="P285" s="171"/>
      <c r="Q285" s="171"/>
      <c r="R285" s="171"/>
      <c r="S285" s="171"/>
      <c r="T285" s="171"/>
      <c r="U285" s="171"/>
      <c r="V285" s="171"/>
      <c r="W285" s="171"/>
      <c r="X285" s="171"/>
      <c r="Y285" s="138"/>
    </row>
    <row r="286" spans="2:28" s="137" customFormat="1" ht="25.2" customHeight="1" x14ac:dyDescent="0.25">
      <c r="B286" s="167" t="s">
        <v>264</v>
      </c>
      <c r="C286" s="133" t="s">
        <v>320</v>
      </c>
      <c r="D286" s="172" t="e">
        <f>IRR(D275:X275)</f>
        <v>#NUM!</v>
      </c>
      <c r="E286" s="171"/>
      <c r="F286" s="171"/>
      <c r="G286" s="171"/>
      <c r="H286" s="171"/>
      <c r="I286" s="171"/>
      <c r="J286" s="171"/>
      <c r="K286" s="171"/>
      <c r="L286" s="171"/>
      <c r="M286" s="171"/>
      <c r="N286" s="171"/>
      <c r="O286" s="171"/>
      <c r="P286" s="171"/>
      <c r="Q286" s="171"/>
      <c r="R286" s="171"/>
      <c r="S286" s="171"/>
      <c r="T286" s="171"/>
      <c r="U286" s="171"/>
      <c r="V286" s="171"/>
      <c r="W286" s="171"/>
      <c r="X286" s="171"/>
      <c r="Y286" s="138"/>
    </row>
    <row r="287" spans="2:28" s="137" customFormat="1" ht="116.85" customHeight="1" x14ac:dyDescent="0.25">
      <c r="B287" s="839" t="s">
        <v>266</v>
      </c>
      <c r="C287" s="839"/>
      <c r="D287" s="839"/>
      <c r="E287" s="839"/>
      <c r="F287" s="839"/>
      <c r="G287" s="839"/>
      <c r="H287" s="839"/>
      <c r="I287" s="839"/>
      <c r="J287" s="839"/>
      <c r="K287" s="839"/>
      <c r="L287" s="839"/>
      <c r="M287" s="839"/>
      <c r="N287" s="839"/>
      <c r="O287" s="839"/>
      <c r="P287" s="839"/>
      <c r="Q287" s="839"/>
      <c r="R287" s="839"/>
      <c r="S287" s="839"/>
      <c r="T287" s="839"/>
      <c r="U287" s="839"/>
      <c r="V287" s="839"/>
      <c r="W287" s="839"/>
      <c r="X287" s="839"/>
      <c r="Y287" s="138"/>
    </row>
    <row r="290" spans="2:25" s="137" customFormat="1" ht="30" customHeight="1" x14ac:dyDescent="0.25">
      <c r="B290" s="217" t="s">
        <v>471</v>
      </c>
      <c r="C290" s="703" t="str">
        <f>Measures_summary!C14</f>
        <v>Installation of solar DHW system</v>
      </c>
      <c r="D290" s="704"/>
      <c r="E290" s="704"/>
      <c r="F290" s="704"/>
      <c r="G290" s="704"/>
      <c r="H290" s="704"/>
      <c r="I290" s="704"/>
      <c r="J290" s="704"/>
      <c r="K290" s="704"/>
      <c r="L290" s="704"/>
      <c r="M290" s="704"/>
      <c r="N290" s="704"/>
      <c r="O290" s="704"/>
      <c r="P290" s="704"/>
      <c r="Q290" s="704"/>
      <c r="R290" s="704"/>
      <c r="S290" s="704"/>
      <c r="T290" s="704"/>
      <c r="U290" s="704"/>
      <c r="V290" s="704"/>
      <c r="W290" s="704"/>
      <c r="X290" s="705"/>
      <c r="Y290" s="138"/>
    </row>
    <row r="291" spans="2:25" s="137" customFormat="1" ht="30" customHeight="1" x14ac:dyDescent="0.25">
      <c r="B291" s="158" t="s">
        <v>42</v>
      </c>
      <c r="C291" s="28" t="s">
        <v>265</v>
      </c>
      <c r="D291" s="28">
        <v>2023</v>
      </c>
      <c r="E291" s="28">
        <v>2024</v>
      </c>
      <c r="F291" s="28">
        <v>2025</v>
      </c>
      <c r="G291" s="28">
        <v>2026</v>
      </c>
      <c r="H291" s="28">
        <v>2027</v>
      </c>
      <c r="I291" s="28">
        <v>2028</v>
      </c>
      <c r="J291" s="28">
        <v>2029</v>
      </c>
      <c r="K291" s="28">
        <v>2030</v>
      </c>
      <c r="L291" s="28">
        <v>2031</v>
      </c>
      <c r="M291" s="28">
        <v>2032</v>
      </c>
      <c r="N291" s="28">
        <v>2033</v>
      </c>
      <c r="O291" s="28">
        <v>2034</v>
      </c>
      <c r="P291" s="28">
        <v>2035</v>
      </c>
      <c r="Q291" s="28">
        <v>2036</v>
      </c>
      <c r="R291" s="28">
        <v>2037</v>
      </c>
      <c r="S291" s="28">
        <v>2038</v>
      </c>
      <c r="T291" s="28">
        <v>2039</v>
      </c>
      <c r="U291" s="28">
        <v>2040</v>
      </c>
      <c r="V291" s="28">
        <v>2041</v>
      </c>
      <c r="W291" s="28">
        <v>2042</v>
      </c>
      <c r="X291" s="28">
        <v>2043</v>
      </c>
      <c r="Y291" s="138"/>
    </row>
    <row r="292" spans="2:25" s="137" customFormat="1" ht="25.2" customHeight="1" x14ac:dyDescent="0.25">
      <c r="B292" s="161">
        <v>1</v>
      </c>
      <c r="C292" s="162" t="s">
        <v>302</v>
      </c>
      <c r="D292" s="163"/>
      <c r="E292" s="163"/>
      <c r="F292" s="163"/>
      <c r="G292" s="163"/>
      <c r="H292" s="163"/>
      <c r="I292" s="163"/>
      <c r="J292" s="163"/>
      <c r="K292" s="163"/>
      <c r="L292" s="163"/>
      <c r="M292" s="30"/>
      <c r="N292" s="30"/>
      <c r="O292" s="30"/>
      <c r="P292" s="30"/>
      <c r="Q292" s="30"/>
      <c r="R292" s="30"/>
      <c r="S292" s="30"/>
      <c r="T292" s="30"/>
      <c r="U292" s="30"/>
      <c r="V292" s="30"/>
      <c r="W292" s="30"/>
      <c r="X292" s="30"/>
      <c r="Y292" s="138"/>
    </row>
    <row r="293" spans="2:25" s="137" customFormat="1" ht="25.2" customHeight="1" x14ac:dyDescent="0.25">
      <c r="B293" s="164" t="s">
        <v>248</v>
      </c>
      <c r="C293" s="165" t="s">
        <v>896</v>
      </c>
      <c r="D293" s="166">
        <f>Measures_summary!D14</f>
        <v>4000</v>
      </c>
      <c r="E293" s="163"/>
      <c r="F293" s="163"/>
      <c r="G293" s="163"/>
      <c r="H293" s="163"/>
      <c r="I293" s="163"/>
      <c r="J293" s="163"/>
      <c r="K293" s="163"/>
      <c r="L293" s="163"/>
      <c r="M293" s="163"/>
      <c r="N293" s="163"/>
      <c r="O293" s="163"/>
      <c r="P293" s="163"/>
      <c r="Q293" s="163"/>
      <c r="R293" s="163"/>
      <c r="S293" s="163"/>
      <c r="T293" s="163"/>
      <c r="U293" s="163"/>
      <c r="V293" s="163"/>
      <c r="W293" s="163"/>
      <c r="X293" s="163"/>
      <c r="Y293" s="138"/>
    </row>
    <row r="294" spans="2:25" s="137" customFormat="1" ht="25.2" customHeight="1" x14ac:dyDescent="0.25">
      <c r="B294" s="164" t="s">
        <v>249</v>
      </c>
      <c r="C294" s="165" t="s">
        <v>897</v>
      </c>
      <c r="D294" s="163"/>
      <c r="E294" s="166">
        <f>4%*$D$5</f>
        <v>3045.5159999999996</v>
      </c>
      <c r="F294" s="166">
        <f t="shared" ref="F294:X294" si="304">4%*$D$5</f>
        <v>3045.5159999999996</v>
      </c>
      <c r="G294" s="166">
        <f t="shared" si="304"/>
        <v>3045.5159999999996</v>
      </c>
      <c r="H294" s="166">
        <f t="shared" si="304"/>
        <v>3045.5159999999996</v>
      </c>
      <c r="I294" s="166">
        <f t="shared" si="304"/>
        <v>3045.5159999999996</v>
      </c>
      <c r="J294" s="166">
        <f t="shared" si="304"/>
        <v>3045.5159999999996</v>
      </c>
      <c r="K294" s="166">
        <f t="shared" si="304"/>
        <v>3045.5159999999996</v>
      </c>
      <c r="L294" s="166">
        <f t="shared" si="304"/>
        <v>3045.5159999999996</v>
      </c>
      <c r="M294" s="166">
        <f t="shared" si="304"/>
        <v>3045.5159999999996</v>
      </c>
      <c r="N294" s="166">
        <f t="shared" si="304"/>
        <v>3045.5159999999996</v>
      </c>
      <c r="O294" s="166">
        <f t="shared" si="304"/>
        <v>3045.5159999999996</v>
      </c>
      <c r="P294" s="166">
        <f t="shared" si="304"/>
        <v>3045.5159999999996</v>
      </c>
      <c r="Q294" s="166">
        <f t="shared" si="304"/>
        <v>3045.5159999999996</v>
      </c>
      <c r="R294" s="166">
        <f t="shared" si="304"/>
        <v>3045.5159999999996</v>
      </c>
      <c r="S294" s="166">
        <f t="shared" si="304"/>
        <v>3045.5159999999996</v>
      </c>
      <c r="T294" s="166">
        <f t="shared" si="304"/>
        <v>3045.5159999999996</v>
      </c>
      <c r="U294" s="166">
        <f t="shared" si="304"/>
        <v>3045.5159999999996</v>
      </c>
      <c r="V294" s="166">
        <f t="shared" si="304"/>
        <v>3045.5159999999996</v>
      </c>
      <c r="W294" s="166">
        <f t="shared" si="304"/>
        <v>3045.5159999999996</v>
      </c>
      <c r="X294" s="166">
        <f t="shared" si="304"/>
        <v>3045.5159999999996</v>
      </c>
      <c r="Y294" s="138"/>
    </row>
    <row r="295" spans="2:25" s="137" customFormat="1" ht="25.2" customHeight="1" x14ac:dyDescent="0.25">
      <c r="B295" s="161">
        <v>2</v>
      </c>
      <c r="C295" s="162" t="s">
        <v>303</v>
      </c>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38"/>
    </row>
    <row r="296" spans="2:25" s="137" customFormat="1" ht="25.2" customHeight="1" x14ac:dyDescent="0.25">
      <c r="B296" s="167" t="s">
        <v>250</v>
      </c>
      <c r="C296" s="133" t="s">
        <v>898</v>
      </c>
      <c r="D296" s="163">
        <v>0</v>
      </c>
      <c r="E296" s="166">
        <f>Measures_summary!F14</f>
        <v>725.26447105788418</v>
      </c>
      <c r="F296" s="166">
        <f t="shared" ref="F296:X296" si="305">$E296*(1.028+0.028*(F291-$F$3))</f>
        <v>684.6496606786427</v>
      </c>
      <c r="G296" s="166">
        <f t="shared" si="305"/>
        <v>704.95706586826338</v>
      </c>
      <c r="H296" s="166">
        <f t="shared" si="305"/>
        <v>725.26447105788418</v>
      </c>
      <c r="I296" s="166">
        <f t="shared" si="305"/>
        <v>745.57187624750497</v>
      </c>
      <c r="J296" s="166">
        <f t="shared" si="305"/>
        <v>765.87928143712577</v>
      </c>
      <c r="K296" s="166">
        <f t="shared" si="305"/>
        <v>786.18668662674645</v>
      </c>
      <c r="L296" s="166">
        <f t="shared" si="305"/>
        <v>806.49409181636724</v>
      </c>
      <c r="M296" s="166">
        <f t="shared" si="305"/>
        <v>826.80149700598804</v>
      </c>
      <c r="N296" s="166">
        <f t="shared" si="305"/>
        <v>847.10890219560883</v>
      </c>
      <c r="O296" s="166">
        <f t="shared" si="305"/>
        <v>867.4163073852294</v>
      </c>
      <c r="P296" s="166">
        <f t="shared" si="305"/>
        <v>887.7237125748502</v>
      </c>
      <c r="Q296" s="166">
        <f t="shared" si="305"/>
        <v>908.03111776447099</v>
      </c>
      <c r="R296" s="166">
        <f t="shared" si="305"/>
        <v>928.33852295409179</v>
      </c>
      <c r="S296" s="166">
        <f t="shared" si="305"/>
        <v>948.64592814371258</v>
      </c>
      <c r="T296" s="166">
        <f t="shared" si="305"/>
        <v>968.95333333333338</v>
      </c>
      <c r="U296" s="166">
        <f t="shared" si="305"/>
        <v>989.26073852295406</v>
      </c>
      <c r="V296" s="166">
        <f t="shared" si="305"/>
        <v>1009.5681437125747</v>
      </c>
      <c r="W296" s="166">
        <f t="shared" si="305"/>
        <v>1029.8755489021955</v>
      </c>
      <c r="X296" s="166">
        <f t="shared" si="305"/>
        <v>1050.1829540918163</v>
      </c>
      <c r="Y296" s="138"/>
    </row>
    <row r="297" spans="2:25" s="137" customFormat="1" ht="25.2" customHeight="1" x14ac:dyDescent="0.25">
      <c r="B297" s="167" t="s">
        <v>251</v>
      </c>
      <c r="C297" s="133" t="s">
        <v>899</v>
      </c>
      <c r="D297" s="163">
        <v>0</v>
      </c>
      <c r="E297" s="166">
        <f>Measures_summary!J14</f>
        <v>173.5082466645656</v>
      </c>
      <c r="F297" s="166">
        <f t="shared" ref="F297:X297" si="306">$E297*(1.028+0.028*(F291-$F$3))</f>
        <v>163.79178485134995</v>
      </c>
      <c r="G297" s="166">
        <f t="shared" si="306"/>
        <v>168.65001575795776</v>
      </c>
      <c r="H297" s="166">
        <f t="shared" si="306"/>
        <v>173.5082466645656</v>
      </c>
      <c r="I297" s="166">
        <f t="shared" si="306"/>
        <v>178.36647757117345</v>
      </c>
      <c r="J297" s="166">
        <f t="shared" si="306"/>
        <v>183.22470847778129</v>
      </c>
      <c r="K297" s="166">
        <f t="shared" si="306"/>
        <v>188.08293938438914</v>
      </c>
      <c r="L297" s="166">
        <f t="shared" si="306"/>
        <v>192.94117029099698</v>
      </c>
      <c r="M297" s="166">
        <f t="shared" si="306"/>
        <v>197.79940119760482</v>
      </c>
      <c r="N297" s="166">
        <f t="shared" si="306"/>
        <v>202.65763210421264</v>
      </c>
      <c r="O297" s="166">
        <f t="shared" si="306"/>
        <v>207.51586301082045</v>
      </c>
      <c r="P297" s="166">
        <f t="shared" si="306"/>
        <v>212.3740939174283</v>
      </c>
      <c r="Q297" s="166">
        <f t="shared" si="306"/>
        <v>217.23232482403614</v>
      </c>
      <c r="R297" s="166">
        <f t="shared" si="306"/>
        <v>222.09055573064398</v>
      </c>
      <c r="S297" s="166">
        <f t="shared" si="306"/>
        <v>226.94878663725183</v>
      </c>
      <c r="T297" s="166">
        <f t="shared" si="306"/>
        <v>231.80701754385967</v>
      </c>
      <c r="U297" s="166">
        <f t="shared" si="306"/>
        <v>236.66524845046749</v>
      </c>
      <c r="V297" s="166">
        <f t="shared" si="306"/>
        <v>241.5234793570753</v>
      </c>
      <c r="W297" s="166">
        <f t="shared" si="306"/>
        <v>246.38171026368315</v>
      </c>
      <c r="X297" s="166">
        <f t="shared" si="306"/>
        <v>251.23994117029099</v>
      </c>
      <c r="Y297" s="138"/>
    </row>
    <row r="298" spans="2:25" s="137" customFormat="1" ht="25.2" customHeight="1" x14ac:dyDescent="0.25">
      <c r="B298" s="167" t="s">
        <v>252</v>
      </c>
      <c r="C298" s="133" t="s">
        <v>900</v>
      </c>
      <c r="D298" s="168">
        <f t="shared" ref="D298" si="307">D296-(D293+D294)</f>
        <v>-4000</v>
      </c>
      <c r="E298" s="168">
        <f>E296-(E293+E294)</f>
        <v>-2320.2515289421153</v>
      </c>
      <c r="F298" s="168">
        <f t="shared" ref="F298:X298" si="308">F296-(F293+F294)</f>
        <v>-2360.8663393213569</v>
      </c>
      <c r="G298" s="168">
        <f t="shared" si="308"/>
        <v>-2340.5589341317364</v>
      </c>
      <c r="H298" s="168">
        <f t="shared" si="308"/>
        <v>-2320.2515289421153</v>
      </c>
      <c r="I298" s="168">
        <f t="shared" si="308"/>
        <v>-2299.9441237524948</v>
      </c>
      <c r="J298" s="168">
        <f t="shared" si="308"/>
        <v>-2279.6367185628737</v>
      </c>
      <c r="K298" s="168">
        <f t="shared" si="308"/>
        <v>-2259.3293133732532</v>
      </c>
      <c r="L298" s="168">
        <f t="shared" si="308"/>
        <v>-2239.0219081836321</v>
      </c>
      <c r="M298" s="168">
        <f t="shared" si="308"/>
        <v>-2218.7145029940116</v>
      </c>
      <c r="N298" s="168">
        <f t="shared" si="308"/>
        <v>-2198.407097804391</v>
      </c>
      <c r="O298" s="168">
        <f t="shared" si="308"/>
        <v>-2178.09969261477</v>
      </c>
      <c r="P298" s="168">
        <f t="shared" si="308"/>
        <v>-2157.7922874251494</v>
      </c>
      <c r="Q298" s="168">
        <f t="shared" si="308"/>
        <v>-2137.4848822355289</v>
      </c>
      <c r="R298" s="168">
        <f t="shared" si="308"/>
        <v>-2117.1774770459078</v>
      </c>
      <c r="S298" s="168">
        <f t="shared" si="308"/>
        <v>-2096.8700718562868</v>
      </c>
      <c r="T298" s="168">
        <f t="shared" si="308"/>
        <v>-2076.5626666666662</v>
      </c>
      <c r="U298" s="168">
        <f t="shared" si="308"/>
        <v>-2056.2552614770457</v>
      </c>
      <c r="V298" s="168">
        <f t="shared" si="308"/>
        <v>-2035.9478562874249</v>
      </c>
      <c r="W298" s="168">
        <f t="shared" si="308"/>
        <v>-2015.6404510978041</v>
      </c>
      <c r="X298" s="168">
        <f t="shared" si="308"/>
        <v>-1995.3330459081833</v>
      </c>
      <c r="Y298" s="138"/>
    </row>
    <row r="299" spans="2:25" s="137" customFormat="1" ht="25.2" customHeight="1" x14ac:dyDescent="0.25">
      <c r="B299" s="167" t="s">
        <v>253</v>
      </c>
      <c r="C299" s="133" t="s">
        <v>901</v>
      </c>
      <c r="D299" s="168">
        <f t="shared" ref="D299:X299" si="309">D297-(D293+D294)</f>
        <v>-4000</v>
      </c>
      <c r="E299" s="168">
        <f t="shared" si="309"/>
        <v>-2872.0077533354342</v>
      </c>
      <c r="F299" s="168">
        <f t="shared" si="309"/>
        <v>-2881.7242151486498</v>
      </c>
      <c r="G299" s="168">
        <f t="shared" si="309"/>
        <v>-2876.865984242042</v>
      </c>
      <c r="H299" s="168">
        <f t="shared" si="309"/>
        <v>-2872.0077533354342</v>
      </c>
      <c r="I299" s="168">
        <f t="shared" si="309"/>
        <v>-2867.149522428826</v>
      </c>
      <c r="J299" s="168">
        <f t="shared" si="309"/>
        <v>-2862.2912915222182</v>
      </c>
      <c r="K299" s="168">
        <f t="shared" si="309"/>
        <v>-2857.4330606156104</v>
      </c>
      <c r="L299" s="168">
        <f t="shared" si="309"/>
        <v>-2852.5748297090026</v>
      </c>
      <c r="M299" s="168">
        <f t="shared" si="309"/>
        <v>-2847.7165988023949</v>
      </c>
      <c r="N299" s="168">
        <f t="shared" si="309"/>
        <v>-2842.8583678957871</v>
      </c>
      <c r="O299" s="168">
        <f t="shared" si="309"/>
        <v>-2838.0001369891793</v>
      </c>
      <c r="P299" s="168">
        <f t="shared" si="309"/>
        <v>-2833.1419060825715</v>
      </c>
      <c r="Q299" s="168">
        <f t="shared" si="309"/>
        <v>-2828.2836751759633</v>
      </c>
      <c r="R299" s="168">
        <f t="shared" si="309"/>
        <v>-2823.4254442693555</v>
      </c>
      <c r="S299" s="168">
        <f t="shared" si="309"/>
        <v>-2818.5672133627477</v>
      </c>
      <c r="T299" s="168">
        <f t="shared" si="309"/>
        <v>-2813.7089824561399</v>
      </c>
      <c r="U299" s="168">
        <f t="shared" si="309"/>
        <v>-2808.8507515495321</v>
      </c>
      <c r="V299" s="168">
        <f t="shared" si="309"/>
        <v>-2803.9925206429243</v>
      </c>
      <c r="W299" s="168">
        <f t="shared" si="309"/>
        <v>-2799.1342897363165</v>
      </c>
      <c r="X299" s="168">
        <f t="shared" si="309"/>
        <v>-2794.2760588297087</v>
      </c>
      <c r="Y299" s="138"/>
    </row>
    <row r="300" spans="2:25" s="137" customFormat="1" ht="25.2" customHeight="1" x14ac:dyDescent="0.25">
      <c r="B300" s="161" t="s">
        <v>254</v>
      </c>
      <c r="C300" s="169" t="s">
        <v>304</v>
      </c>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38"/>
    </row>
    <row r="301" spans="2:25" s="137" customFormat="1" ht="25.2" customHeight="1" x14ac:dyDescent="0.25">
      <c r="B301" s="167" t="s">
        <v>255</v>
      </c>
      <c r="C301" s="133" t="s">
        <v>902</v>
      </c>
      <c r="D301" s="168">
        <f>D298</f>
        <v>-4000</v>
      </c>
      <c r="E301" s="178">
        <f t="shared" ref="E301:X301" si="310">E296/POWER(1+0.04,E$3-$D$3)</f>
        <v>697.36968370950399</v>
      </c>
      <c r="F301" s="178">
        <f t="shared" si="310"/>
        <v>632.9970975209344</v>
      </c>
      <c r="G301" s="178">
        <f t="shared" si="310"/>
        <v>626.70426457621841</v>
      </c>
      <c r="H301" s="178">
        <f t="shared" si="310"/>
        <v>619.95910946523657</v>
      </c>
      <c r="I301" s="178">
        <f t="shared" si="310"/>
        <v>612.80573512525302</v>
      </c>
      <c r="J301" s="178">
        <f t="shared" si="310"/>
        <v>605.28552107552684</v>
      </c>
      <c r="K301" s="178">
        <f t="shared" si="310"/>
        <v>597.43726766997293</v>
      </c>
      <c r="L301" s="178">
        <f t="shared" si="310"/>
        <v>589.29733328219015</v>
      </c>
      <c r="M301" s="178">
        <f t="shared" si="310"/>
        <v>580.89976475312733</v>
      </c>
      <c r="N301" s="178">
        <f t="shared" si="310"/>
        <v>572.27642141671117</v>
      </c>
      <c r="O301" s="178">
        <f t="shared" si="310"/>
        <v>563.4570930044672</v>
      </c>
      <c r="P301" s="178">
        <f t="shared" si="310"/>
        <v>554.46961171651321</v>
      </c>
      <c r="Q301" s="178">
        <f t="shared" si="310"/>
        <v>545.33995873324739</v>
      </c>
      <c r="R301" s="178">
        <f t="shared" si="310"/>
        <v>536.09236542958695</v>
      </c>
      <c r="S301" s="178">
        <f t="shared" si="310"/>
        <v>526.74940954169153</v>
      </c>
      <c r="T301" s="178">
        <f t="shared" si="310"/>
        <v>517.33210652471473</v>
      </c>
      <c r="U301" s="178">
        <f t="shared" si="310"/>
        <v>507.8599963292483</v>
      </c>
      <c r="V301" s="178">
        <f t="shared" si="310"/>
        <v>498.35122581372201</v>
      </c>
      <c r="W301" s="178">
        <f t="shared" si="310"/>
        <v>488.82262700008653</v>
      </c>
      <c r="X301" s="178">
        <f t="shared" si="310"/>
        <v>479.28979137061577</v>
      </c>
      <c r="Y301" s="138"/>
    </row>
    <row r="302" spans="2:25" s="137" customFormat="1" ht="25.2" customHeight="1" x14ac:dyDescent="0.25">
      <c r="B302" s="167" t="s">
        <v>256</v>
      </c>
      <c r="C302" s="133" t="s">
        <v>903</v>
      </c>
      <c r="D302" s="168">
        <f>D299</f>
        <v>-4000</v>
      </c>
      <c r="E302" s="178">
        <f t="shared" ref="E302:X302" si="311">E297/POWER(1+0.04,E$3-$D$3)</f>
        <v>166.83485256208232</v>
      </c>
      <c r="F302" s="178">
        <f t="shared" si="311"/>
        <v>151.43471232558241</v>
      </c>
      <c r="G302" s="178">
        <f t="shared" si="311"/>
        <v>149.92924989861686</v>
      </c>
      <c r="H302" s="178">
        <f t="shared" si="311"/>
        <v>148.31557642709009</v>
      </c>
      <c r="I302" s="178">
        <f t="shared" si="311"/>
        <v>146.60424285293135</v>
      </c>
      <c r="J302" s="178">
        <f t="shared" si="311"/>
        <v>144.80514858266193</v>
      </c>
      <c r="K302" s="178">
        <f t="shared" si="311"/>
        <v>142.9275759976012</v>
      </c>
      <c r="L302" s="178">
        <f t="shared" si="311"/>
        <v>140.98022327325126</v>
      </c>
      <c r="M302" s="178">
        <f t="shared" si="311"/>
        <v>138.97123558687258</v>
      </c>
      <c r="N302" s="178">
        <f t="shared" si="311"/>
        <v>136.90823478868688</v>
      </c>
      <c r="O302" s="178">
        <f t="shared" si="311"/>
        <v>134.79834760872424</v>
      </c>
      <c r="P302" s="178">
        <f t="shared" si="311"/>
        <v>132.64823246806537</v>
      </c>
      <c r="Q302" s="178">
        <f t="shared" si="311"/>
        <v>130.46410496010702</v>
      </c>
      <c r="R302" s="178">
        <f t="shared" si="311"/>
        <v>128.2517620644945</v>
      </c>
      <c r="S302" s="178">
        <f t="shared" si="311"/>
        <v>126.01660515351475</v>
      </c>
      <c r="T302" s="178">
        <f t="shared" si="311"/>
        <v>123.76366184801788</v>
      </c>
      <c r="U302" s="178">
        <f t="shared" si="311"/>
        <v>121.49760677733214</v>
      </c>
      <c r="V302" s="178">
        <f t="shared" si="311"/>
        <v>119.22278129514881</v>
      </c>
      <c r="W302" s="178">
        <f t="shared" si="311"/>
        <v>116.94321220097764</v>
      </c>
      <c r="X302" s="178">
        <f t="shared" si="311"/>
        <v>114.66262951450138</v>
      </c>
      <c r="Y302" s="138"/>
    </row>
    <row r="303" spans="2:25" s="137" customFormat="1" ht="25.2" customHeight="1" x14ac:dyDescent="0.25">
      <c r="B303" s="167" t="s">
        <v>257</v>
      </c>
      <c r="C303" s="133" t="s">
        <v>904</v>
      </c>
      <c r="D303" s="166">
        <f>NPV(0.04,E298:X298)+D298</f>
        <v>-34036.759944762023</v>
      </c>
      <c r="E303" s="179"/>
      <c r="F303" s="171"/>
      <c r="G303" s="171"/>
      <c r="H303" s="171"/>
      <c r="I303" s="171"/>
      <c r="J303" s="171"/>
      <c r="K303" s="171"/>
      <c r="L303" s="171"/>
      <c r="M303" s="171"/>
      <c r="N303" s="171"/>
      <c r="O303" s="171"/>
      <c r="P303" s="171"/>
      <c r="Q303" s="171"/>
      <c r="R303" s="171"/>
      <c r="S303" s="171"/>
      <c r="T303" s="171"/>
      <c r="U303" s="171"/>
      <c r="V303" s="171"/>
      <c r="W303" s="171"/>
      <c r="X303" s="171"/>
      <c r="Y303" s="138"/>
    </row>
    <row r="304" spans="2:25" s="137" customFormat="1" ht="25.2" customHeight="1" x14ac:dyDescent="0.25">
      <c r="B304" s="167" t="s">
        <v>258</v>
      </c>
      <c r="C304" s="133" t="s">
        <v>905</v>
      </c>
      <c r="D304" s="166">
        <f>NPV(0.04,E299:X299)+D299</f>
        <v>-42673.576332634337</v>
      </c>
      <c r="E304" s="171"/>
      <c r="F304" s="171"/>
      <c r="G304" s="171"/>
      <c r="H304" s="171"/>
      <c r="I304" s="171"/>
      <c r="J304" s="171"/>
      <c r="K304" s="171"/>
      <c r="L304" s="171"/>
      <c r="M304" s="171"/>
      <c r="N304" s="171"/>
      <c r="O304" s="171"/>
      <c r="P304" s="171"/>
      <c r="Q304" s="171"/>
      <c r="R304" s="171"/>
      <c r="S304" s="171"/>
      <c r="T304" s="171"/>
      <c r="U304" s="171"/>
      <c r="V304" s="171"/>
      <c r="W304" s="171"/>
      <c r="X304" s="171"/>
      <c r="Y304" s="138"/>
    </row>
    <row r="305" spans="2:28" s="137" customFormat="1" ht="25.2" customHeight="1" x14ac:dyDescent="0.25">
      <c r="B305" s="167" t="s">
        <v>259</v>
      </c>
      <c r="C305" s="133" t="s">
        <v>906</v>
      </c>
      <c r="D305" s="168">
        <f>D296-(D293+D294)</f>
        <v>-4000</v>
      </c>
      <c r="E305" s="178">
        <f>D305+E301</f>
        <v>-3302.630316290496</v>
      </c>
      <c r="F305" s="166">
        <f t="shared" ref="F305:F306" si="312">E305+F301</f>
        <v>-2669.6332187695616</v>
      </c>
      <c r="G305" s="166">
        <f t="shared" ref="G305:G306" si="313">F305+G301</f>
        <v>-2042.9289541933431</v>
      </c>
      <c r="H305" s="166">
        <f t="shared" ref="H305:H306" si="314">G305+H301</f>
        <v>-1422.9698447281066</v>
      </c>
      <c r="I305" s="166">
        <f t="shared" ref="I305:I306" si="315">H305+I301</f>
        <v>-810.16410960285361</v>
      </c>
      <c r="J305" s="166">
        <f t="shared" ref="J305:J306" si="316">I305+J301</f>
        <v>-204.87858852732677</v>
      </c>
      <c r="K305" s="166">
        <f t="shared" ref="K305:K306" si="317">J305+K301</f>
        <v>392.55867914264616</v>
      </c>
      <c r="L305" s="166">
        <f t="shared" ref="L305:L306" si="318">K305+L301</f>
        <v>981.85601242483631</v>
      </c>
      <c r="M305" s="166">
        <f t="shared" ref="M305:M306" si="319">L305+M301</f>
        <v>1562.7557771779636</v>
      </c>
      <c r="N305" s="166">
        <f t="shared" ref="N305:N306" si="320">M305+N301</f>
        <v>2135.0321985946748</v>
      </c>
      <c r="O305" s="166">
        <f t="shared" ref="O305:O306" si="321">N305+O301</f>
        <v>2698.4892915991422</v>
      </c>
      <c r="P305" s="166">
        <f t="shared" ref="P305:P306" si="322">O305+P301</f>
        <v>3252.9589033156553</v>
      </c>
      <c r="Q305" s="166">
        <f t="shared" ref="Q305:Q306" si="323">P305+Q301</f>
        <v>3798.2988620489027</v>
      </c>
      <c r="R305" s="166">
        <f t="shared" ref="R305:R306" si="324">Q305+R301</f>
        <v>4334.3912274784898</v>
      </c>
      <c r="S305" s="166">
        <f t="shared" ref="S305:S306" si="325">R305+S301</f>
        <v>4861.1406370201812</v>
      </c>
      <c r="T305" s="166">
        <f t="shared" ref="T305:T306" si="326">S305+T301</f>
        <v>5378.4727435448958</v>
      </c>
      <c r="U305" s="166">
        <f t="shared" ref="U305:U306" si="327">T305+U301</f>
        <v>5886.332739874144</v>
      </c>
      <c r="V305" s="166">
        <f t="shared" ref="V305:V306" si="328">U305+V301</f>
        <v>6384.6839656878656</v>
      </c>
      <c r="W305" s="166">
        <f t="shared" ref="W305:W306" si="329">V305+W301</f>
        <v>6873.5065926879524</v>
      </c>
      <c r="X305" s="166">
        <f t="shared" ref="X305:X306" si="330">W305+X301</f>
        <v>7352.796384058568</v>
      </c>
      <c r="Y305" s="138"/>
      <c r="Z305" s="213"/>
      <c r="AA305" s="215"/>
      <c r="AB305" s="214"/>
    </row>
    <row r="306" spans="2:28" s="137" customFormat="1" ht="25.2" customHeight="1" x14ac:dyDescent="0.25">
      <c r="B306" s="167" t="s">
        <v>260</v>
      </c>
      <c r="C306" s="133" t="s">
        <v>907</v>
      </c>
      <c r="D306" s="168">
        <f>D297-(D293+D294)</f>
        <v>-4000</v>
      </c>
      <c r="E306" s="178">
        <f>D306+E302</f>
        <v>-3833.1651474379178</v>
      </c>
      <c r="F306" s="166">
        <f t="shared" si="312"/>
        <v>-3681.7304351123353</v>
      </c>
      <c r="G306" s="166">
        <f t="shared" si="313"/>
        <v>-3531.8011852137183</v>
      </c>
      <c r="H306" s="166">
        <f t="shared" si="314"/>
        <v>-3383.4856087866283</v>
      </c>
      <c r="I306" s="166">
        <f t="shared" si="315"/>
        <v>-3236.881365933697</v>
      </c>
      <c r="J306" s="166">
        <f t="shared" si="316"/>
        <v>-3092.0762173510352</v>
      </c>
      <c r="K306" s="166">
        <f t="shared" si="317"/>
        <v>-2949.148641353434</v>
      </c>
      <c r="L306" s="166">
        <f t="shared" si="318"/>
        <v>-2808.1684180801826</v>
      </c>
      <c r="M306" s="166">
        <f t="shared" si="319"/>
        <v>-2669.1971824933098</v>
      </c>
      <c r="N306" s="166">
        <f t="shared" si="320"/>
        <v>-2532.2889477046228</v>
      </c>
      <c r="O306" s="166">
        <f t="shared" si="321"/>
        <v>-2397.4906000958986</v>
      </c>
      <c r="P306" s="166">
        <f t="shared" si="322"/>
        <v>-2264.842367627833</v>
      </c>
      <c r="Q306" s="166">
        <f t="shared" si="323"/>
        <v>-2134.3782626677262</v>
      </c>
      <c r="R306" s="166">
        <f t="shared" si="324"/>
        <v>-2006.1265006032318</v>
      </c>
      <c r="S306" s="166">
        <f t="shared" si="325"/>
        <v>-1880.109895449717</v>
      </c>
      <c r="T306" s="166">
        <f t="shared" si="326"/>
        <v>-1756.3462336016992</v>
      </c>
      <c r="U306" s="166">
        <f t="shared" si="327"/>
        <v>-1634.8486268243671</v>
      </c>
      <c r="V306" s="166">
        <f t="shared" si="328"/>
        <v>-1515.6258455292184</v>
      </c>
      <c r="W306" s="166">
        <f t="shared" si="329"/>
        <v>-1398.6826333282409</v>
      </c>
      <c r="X306" s="166">
        <f t="shared" si="330"/>
        <v>-1284.0200038137395</v>
      </c>
      <c r="Y306" s="138"/>
      <c r="Z306" s="213"/>
    </row>
    <row r="307" spans="2:28" s="137" customFormat="1" ht="25.2" customHeight="1" x14ac:dyDescent="0.25">
      <c r="B307" s="167" t="s">
        <v>261</v>
      </c>
      <c r="C307" s="133" t="s">
        <v>316</v>
      </c>
      <c r="D307" s="216">
        <f t="array" aca="1" ref="D307" ca="1">MATCH(TRUE,INDEX($E305:$X305&gt;0,0),0)+(-LOOKUP(9.99999999999999E+307, IF($E305:$X305&lt;0, $E305:$X305))/LOOKUP(9.99999999999999E+307, IF($E305:$X305&lt;0, OFFSET($E301:$X301,0,1))))</f>
        <v>7.3429290397741021</v>
      </c>
      <c r="E307" s="171"/>
      <c r="F307" s="171"/>
      <c r="G307" s="171"/>
      <c r="H307" s="171"/>
      <c r="I307" s="171"/>
      <c r="J307" s="171"/>
      <c r="K307" s="171"/>
      <c r="L307" s="171"/>
      <c r="M307" s="171"/>
      <c r="N307" s="171"/>
      <c r="O307" s="171"/>
      <c r="P307" s="171"/>
      <c r="Q307" s="171"/>
      <c r="R307" s="171"/>
      <c r="S307" s="171"/>
      <c r="T307" s="171"/>
      <c r="U307" s="171"/>
      <c r="V307" s="171"/>
      <c r="W307" s="171"/>
      <c r="X307" s="171"/>
      <c r="Y307" s="138"/>
    </row>
    <row r="308" spans="2:28" s="137" customFormat="1" ht="25.2" customHeight="1" x14ac:dyDescent="0.25">
      <c r="B308" s="167" t="s">
        <v>262</v>
      </c>
      <c r="C308" s="133" t="s">
        <v>317</v>
      </c>
      <c r="D308" s="216" t="e">
        <f t="array" aca="1" ref="D308" ca="1">MATCH(TRUE,INDEX($E306:$X306&gt;0,0),0)+(-LOOKUP(9.99999999999999E+307, IF($E306:$X306&lt;0, $E306:$X306))/LOOKUP(9.99999999999999E+307, IF($E306:$X306&lt;0, OFFSET($E302:$X302,0,1))))</f>
        <v>#N/A</v>
      </c>
      <c r="E308" s="171"/>
      <c r="F308" s="171"/>
      <c r="G308" s="171"/>
      <c r="H308" s="171"/>
      <c r="I308" s="171"/>
      <c r="J308" s="171"/>
      <c r="K308" s="171"/>
      <c r="L308" s="171"/>
      <c r="M308" s="171"/>
      <c r="N308" s="171"/>
      <c r="O308" s="171"/>
      <c r="P308" s="171"/>
      <c r="Q308" s="171"/>
      <c r="R308" s="171"/>
      <c r="S308" s="171"/>
      <c r="T308" s="171"/>
      <c r="U308" s="171"/>
      <c r="V308" s="171"/>
      <c r="W308" s="171"/>
      <c r="X308" s="171"/>
      <c r="Y308" s="138"/>
    </row>
    <row r="309" spans="2:28" s="137" customFormat="1" ht="25.2" customHeight="1" x14ac:dyDescent="0.25">
      <c r="B309" s="167" t="s">
        <v>263</v>
      </c>
      <c r="C309" s="133" t="s">
        <v>319</v>
      </c>
      <c r="D309" s="172" t="e">
        <f>IRR(D298:X298)</f>
        <v>#NUM!</v>
      </c>
      <c r="E309" s="180"/>
      <c r="F309" s="171"/>
      <c r="G309" s="171"/>
      <c r="H309" s="171"/>
      <c r="I309" s="171"/>
      <c r="J309" s="171"/>
      <c r="K309" s="171"/>
      <c r="L309" s="171"/>
      <c r="M309" s="171"/>
      <c r="N309" s="171"/>
      <c r="O309" s="171"/>
      <c r="P309" s="171"/>
      <c r="Q309" s="171"/>
      <c r="R309" s="171"/>
      <c r="S309" s="171"/>
      <c r="T309" s="171"/>
      <c r="U309" s="171"/>
      <c r="V309" s="171"/>
      <c r="W309" s="171"/>
      <c r="X309" s="171"/>
      <c r="Y309" s="138"/>
    </row>
    <row r="310" spans="2:28" s="137" customFormat="1" ht="25.2" customHeight="1" x14ac:dyDescent="0.25">
      <c r="B310" s="167" t="s">
        <v>264</v>
      </c>
      <c r="C310" s="133" t="s">
        <v>320</v>
      </c>
      <c r="D310" s="172" t="e">
        <f>IRR(D299:X299)</f>
        <v>#NUM!</v>
      </c>
      <c r="E310" s="171"/>
      <c r="F310" s="171"/>
      <c r="G310" s="171"/>
      <c r="H310" s="171"/>
      <c r="I310" s="171"/>
      <c r="J310" s="171"/>
      <c r="K310" s="171"/>
      <c r="L310" s="171"/>
      <c r="M310" s="171"/>
      <c r="N310" s="171"/>
      <c r="O310" s="171"/>
      <c r="P310" s="171"/>
      <c r="Q310" s="171"/>
      <c r="R310" s="171"/>
      <c r="S310" s="171"/>
      <c r="T310" s="171"/>
      <c r="U310" s="171"/>
      <c r="V310" s="171"/>
      <c r="W310" s="171"/>
      <c r="X310" s="171"/>
      <c r="Y310" s="138"/>
    </row>
    <row r="311" spans="2:28" s="137" customFormat="1" ht="116.85" customHeight="1" x14ac:dyDescent="0.25">
      <c r="B311" s="839" t="s">
        <v>266</v>
      </c>
      <c r="C311" s="839"/>
      <c r="D311" s="839"/>
      <c r="E311" s="839"/>
      <c r="F311" s="839"/>
      <c r="G311" s="839"/>
      <c r="H311" s="839"/>
      <c r="I311" s="839"/>
      <c r="J311" s="839"/>
      <c r="K311" s="839"/>
      <c r="L311" s="839"/>
      <c r="M311" s="839"/>
      <c r="N311" s="839"/>
      <c r="O311" s="839"/>
      <c r="P311" s="839"/>
      <c r="Q311" s="839"/>
      <c r="R311" s="839"/>
      <c r="S311" s="839"/>
      <c r="T311" s="839"/>
      <c r="U311" s="839"/>
      <c r="V311" s="839"/>
      <c r="W311" s="839"/>
      <c r="X311" s="839"/>
      <c r="Y311" s="138"/>
    </row>
    <row r="314" spans="2:28" s="137" customFormat="1" ht="30" customHeight="1" x14ac:dyDescent="0.25">
      <c r="B314" s="217" t="s">
        <v>471</v>
      </c>
      <c r="C314" s="703" t="e">
        <f>Measures_summary!#REF!</f>
        <v>#REF!</v>
      </c>
      <c r="D314" s="704"/>
      <c r="E314" s="704"/>
      <c r="F314" s="704"/>
      <c r="G314" s="704"/>
      <c r="H314" s="704"/>
      <c r="I314" s="704"/>
      <c r="J314" s="704"/>
      <c r="K314" s="704"/>
      <c r="L314" s="704"/>
      <c r="M314" s="704"/>
      <c r="N314" s="704"/>
      <c r="O314" s="704"/>
      <c r="P314" s="704"/>
      <c r="Q314" s="704"/>
      <c r="R314" s="704"/>
      <c r="S314" s="704"/>
      <c r="T314" s="704"/>
      <c r="U314" s="704"/>
      <c r="V314" s="704"/>
      <c r="W314" s="704"/>
      <c r="X314" s="705"/>
      <c r="Y314" s="138"/>
    </row>
    <row r="315" spans="2:28" s="137" customFormat="1" ht="30" customHeight="1" x14ac:dyDescent="0.25">
      <c r="B315" s="158" t="s">
        <v>42</v>
      </c>
      <c r="C315" s="28" t="s">
        <v>265</v>
      </c>
      <c r="D315" s="28">
        <v>2023</v>
      </c>
      <c r="E315" s="28">
        <v>2024</v>
      </c>
      <c r="F315" s="28">
        <v>2025</v>
      </c>
      <c r="G315" s="28">
        <v>2026</v>
      </c>
      <c r="H315" s="28">
        <v>2027</v>
      </c>
      <c r="I315" s="28">
        <v>2028</v>
      </c>
      <c r="J315" s="28">
        <v>2029</v>
      </c>
      <c r="K315" s="28">
        <v>2030</v>
      </c>
      <c r="L315" s="28">
        <v>2031</v>
      </c>
      <c r="M315" s="28">
        <v>2032</v>
      </c>
      <c r="N315" s="28">
        <v>2033</v>
      </c>
      <c r="O315" s="28">
        <v>2034</v>
      </c>
      <c r="P315" s="28">
        <v>2035</v>
      </c>
      <c r="Q315" s="28">
        <v>2036</v>
      </c>
      <c r="R315" s="28">
        <v>2037</v>
      </c>
      <c r="S315" s="28">
        <v>2038</v>
      </c>
      <c r="T315" s="28">
        <v>2039</v>
      </c>
      <c r="U315" s="28">
        <v>2040</v>
      </c>
      <c r="V315" s="28">
        <v>2041</v>
      </c>
      <c r="W315" s="28">
        <v>2042</v>
      </c>
      <c r="X315" s="28">
        <v>2043</v>
      </c>
      <c r="Y315" s="138"/>
    </row>
    <row r="316" spans="2:28" s="137" customFormat="1" ht="25.2" customHeight="1" x14ac:dyDescent="0.25">
      <c r="B316" s="161">
        <v>1</v>
      </c>
      <c r="C316" s="162" t="s">
        <v>302</v>
      </c>
      <c r="D316" s="163"/>
      <c r="E316" s="163"/>
      <c r="F316" s="163"/>
      <c r="G316" s="163"/>
      <c r="H316" s="163"/>
      <c r="I316" s="163"/>
      <c r="J316" s="163"/>
      <c r="K316" s="163"/>
      <c r="L316" s="163"/>
      <c r="M316" s="30"/>
      <c r="N316" s="30"/>
      <c r="O316" s="30"/>
      <c r="P316" s="30"/>
      <c r="Q316" s="30"/>
      <c r="R316" s="30"/>
      <c r="S316" s="30"/>
      <c r="T316" s="30"/>
      <c r="U316" s="30"/>
      <c r="V316" s="30"/>
      <c r="W316" s="30"/>
      <c r="X316" s="30"/>
      <c r="Y316" s="138"/>
    </row>
    <row r="317" spans="2:28" s="137" customFormat="1" ht="25.2" customHeight="1" x14ac:dyDescent="0.25">
      <c r="B317" s="164" t="s">
        <v>248</v>
      </c>
      <c r="C317" s="165" t="s">
        <v>896</v>
      </c>
      <c r="D317" s="166" t="e">
        <f>Measures_summary!#REF!</f>
        <v>#REF!</v>
      </c>
      <c r="E317" s="163"/>
      <c r="F317" s="163"/>
      <c r="G317" s="163"/>
      <c r="H317" s="163"/>
      <c r="I317" s="163"/>
      <c r="J317" s="163"/>
      <c r="K317" s="163"/>
      <c r="L317" s="163"/>
      <c r="M317" s="163"/>
      <c r="N317" s="163"/>
      <c r="O317" s="163"/>
      <c r="P317" s="163"/>
      <c r="Q317" s="163"/>
      <c r="R317" s="163"/>
      <c r="S317" s="163"/>
      <c r="T317" s="163"/>
      <c r="U317" s="163"/>
      <c r="V317" s="163"/>
      <c r="W317" s="163"/>
      <c r="X317" s="163"/>
      <c r="Y317" s="138"/>
    </row>
    <row r="318" spans="2:28" s="137" customFormat="1" ht="25.2" customHeight="1" x14ac:dyDescent="0.25">
      <c r="B318" s="164" t="s">
        <v>249</v>
      </c>
      <c r="C318" s="165" t="s">
        <v>897</v>
      </c>
      <c r="D318" s="163"/>
      <c r="E318" s="166">
        <f>4%*$D$5</f>
        <v>3045.5159999999996</v>
      </c>
      <c r="F318" s="166">
        <f t="shared" ref="F318:X318" si="331">4%*$D$5</f>
        <v>3045.5159999999996</v>
      </c>
      <c r="G318" s="166">
        <f t="shared" si="331"/>
        <v>3045.5159999999996</v>
      </c>
      <c r="H318" s="166">
        <f t="shared" si="331"/>
        <v>3045.5159999999996</v>
      </c>
      <c r="I318" s="166">
        <f t="shared" si="331"/>
        <v>3045.5159999999996</v>
      </c>
      <c r="J318" s="166">
        <f t="shared" si="331"/>
        <v>3045.5159999999996</v>
      </c>
      <c r="K318" s="166">
        <f t="shared" si="331"/>
        <v>3045.5159999999996</v>
      </c>
      <c r="L318" s="166">
        <f t="shared" si="331"/>
        <v>3045.5159999999996</v>
      </c>
      <c r="M318" s="166">
        <f t="shared" si="331"/>
        <v>3045.5159999999996</v>
      </c>
      <c r="N318" s="166">
        <f t="shared" si="331"/>
        <v>3045.5159999999996</v>
      </c>
      <c r="O318" s="166">
        <f t="shared" si="331"/>
        <v>3045.5159999999996</v>
      </c>
      <c r="P318" s="166">
        <f t="shared" si="331"/>
        <v>3045.5159999999996</v>
      </c>
      <c r="Q318" s="166">
        <f t="shared" si="331"/>
        <v>3045.5159999999996</v>
      </c>
      <c r="R318" s="166">
        <f t="shared" si="331"/>
        <v>3045.5159999999996</v>
      </c>
      <c r="S318" s="166">
        <f t="shared" si="331"/>
        <v>3045.5159999999996</v>
      </c>
      <c r="T318" s="166">
        <f t="shared" si="331"/>
        <v>3045.5159999999996</v>
      </c>
      <c r="U318" s="166">
        <f t="shared" si="331"/>
        <v>3045.5159999999996</v>
      </c>
      <c r="V318" s="166">
        <f t="shared" si="331"/>
        <v>3045.5159999999996</v>
      </c>
      <c r="W318" s="166">
        <f t="shared" si="331"/>
        <v>3045.5159999999996</v>
      </c>
      <c r="X318" s="166">
        <f t="shared" si="331"/>
        <v>3045.5159999999996</v>
      </c>
      <c r="Y318" s="138"/>
    </row>
    <row r="319" spans="2:28" s="137" customFormat="1" ht="25.2" customHeight="1" x14ac:dyDescent="0.25">
      <c r="B319" s="161">
        <v>2</v>
      </c>
      <c r="C319" s="162" t="s">
        <v>303</v>
      </c>
      <c r="D319" s="163"/>
      <c r="E319" s="163"/>
      <c r="F319" s="163"/>
      <c r="G319" s="163"/>
      <c r="H319" s="163"/>
      <c r="I319" s="163"/>
      <c r="J319" s="163"/>
      <c r="K319" s="163"/>
      <c r="L319" s="163"/>
      <c r="M319" s="163"/>
      <c r="N319" s="163"/>
      <c r="O319" s="163"/>
      <c r="P319" s="163"/>
      <c r="Q319" s="163"/>
      <c r="R319" s="163"/>
      <c r="S319" s="163"/>
      <c r="T319" s="163"/>
      <c r="U319" s="163"/>
      <c r="V319" s="163"/>
      <c r="W319" s="163"/>
      <c r="X319" s="163"/>
      <c r="Y319" s="138"/>
    </row>
    <row r="320" spans="2:28" s="137" customFormat="1" ht="25.2" customHeight="1" x14ac:dyDescent="0.25">
      <c r="B320" s="167" t="s">
        <v>250</v>
      </c>
      <c r="C320" s="133" t="s">
        <v>898</v>
      </c>
      <c r="D320" s="163">
        <v>0</v>
      </c>
      <c r="E320" s="166" t="e">
        <f>Measures_summary!#REF!</f>
        <v>#REF!</v>
      </c>
      <c r="F320" s="166" t="e">
        <f t="shared" ref="F320:X320" si="332">$E320*(1.028+0.028*(F315-$F$3))</f>
        <v>#REF!</v>
      </c>
      <c r="G320" s="166" t="e">
        <f t="shared" si="332"/>
        <v>#REF!</v>
      </c>
      <c r="H320" s="166" t="e">
        <f t="shared" si="332"/>
        <v>#REF!</v>
      </c>
      <c r="I320" s="166" t="e">
        <f t="shared" si="332"/>
        <v>#REF!</v>
      </c>
      <c r="J320" s="166" t="e">
        <f t="shared" si="332"/>
        <v>#REF!</v>
      </c>
      <c r="K320" s="166" t="e">
        <f t="shared" si="332"/>
        <v>#REF!</v>
      </c>
      <c r="L320" s="166" t="e">
        <f t="shared" si="332"/>
        <v>#REF!</v>
      </c>
      <c r="M320" s="166" t="e">
        <f t="shared" si="332"/>
        <v>#REF!</v>
      </c>
      <c r="N320" s="166" t="e">
        <f t="shared" si="332"/>
        <v>#REF!</v>
      </c>
      <c r="O320" s="166" t="e">
        <f t="shared" si="332"/>
        <v>#REF!</v>
      </c>
      <c r="P320" s="166" t="e">
        <f t="shared" si="332"/>
        <v>#REF!</v>
      </c>
      <c r="Q320" s="166" t="e">
        <f t="shared" si="332"/>
        <v>#REF!</v>
      </c>
      <c r="R320" s="166" t="e">
        <f t="shared" si="332"/>
        <v>#REF!</v>
      </c>
      <c r="S320" s="166" t="e">
        <f t="shared" si="332"/>
        <v>#REF!</v>
      </c>
      <c r="T320" s="166" t="e">
        <f t="shared" si="332"/>
        <v>#REF!</v>
      </c>
      <c r="U320" s="166" t="e">
        <f t="shared" si="332"/>
        <v>#REF!</v>
      </c>
      <c r="V320" s="166" t="e">
        <f t="shared" si="332"/>
        <v>#REF!</v>
      </c>
      <c r="W320" s="166" t="e">
        <f t="shared" si="332"/>
        <v>#REF!</v>
      </c>
      <c r="X320" s="166" t="e">
        <f t="shared" si="332"/>
        <v>#REF!</v>
      </c>
      <c r="Y320" s="138"/>
    </row>
    <row r="321" spans="2:28" s="137" customFormat="1" ht="25.2" customHeight="1" x14ac:dyDescent="0.25">
      <c r="B321" s="167" t="s">
        <v>251</v>
      </c>
      <c r="C321" s="133" t="s">
        <v>899</v>
      </c>
      <c r="D321" s="163">
        <v>0</v>
      </c>
      <c r="E321" s="166" t="e">
        <f>Measures_summary!#REF!</f>
        <v>#REF!</v>
      </c>
      <c r="F321" s="166" t="e">
        <f t="shared" ref="F321:X321" si="333">$E321*(1.028+0.028*(F315-$F$3))</f>
        <v>#REF!</v>
      </c>
      <c r="G321" s="166" t="e">
        <f t="shared" si="333"/>
        <v>#REF!</v>
      </c>
      <c r="H321" s="166" t="e">
        <f t="shared" si="333"/>
        <v>#REF!</v>
      </c>
      <c r="I321" s="166" t="e">
        <f t="shared" si="333"/>
        <v>#REF!</v>
      </c>
      <c r="J321" s="166" t="e">
        <f t="shared" si="333"/>
        <v>#REF!</v>
      </c>
      <c r="K321" s="166" t="e">
        <f t="shared" si="333"/>
        <v>#REF!</v>
      </c>
      <c r="L321" s="166" t="e">
        <f t="shared" si="333"/>
        <v>#REF!</v>
      </c>
      <c r="M321" s="166" t="e">
        <f t="shared" si="333"/>
        <v>#REF!</v>
      </c>
      <c r="N321" s="166" t="e">
        <f t="shared" si="333"/>
        <v>#REF!</v>
      </c>
      <c r="O321" s="166" t="e">
        <f t="shared" si="333"/>
        <v>#REF!</v>
      </c>
      <c r="P321" s="166" t="e">
        <f t="shared" si="333"/>
        <v>#REF!</v>
      </c>
      <c r="Q321" s="166" t="e">
        <f t="shared" si="333"/>
        <v>#REF!</v>
      </c>
      <c r="R321" s="166" t="e">
        <f t="shared" si="333"/>
        <v>#REF!</v>
      </c>
      <c r="S321" s="166" t="e">
        <f t="shared" si="333"/>
        <v>#REF!</v>
      </c>
      <c r="T321" s="166" t="e">
        <f t="shared" si="333"/>
        <v>#REF!</v>
      </c>
      <c r="U321" s="166" t="e">
        <f t="shared" si="333"/>
        <v>#REF!</v>
      </c>
      <c r="V321" s="166" t="e">
        <f t="shared" si="333"/>
        <v>#REF!</v>
      </c>
      <c r="W321" s="166" t="e">
        <f t="shared" si="333"/>
        <v>#REF!</v>
      </c>
      <c r="X321" s="166" t="e">
        <f t="shared" si="333"/>
        <v>#REF!</v>
      </c>
      <c r="Y321" s="138"/>
    </row>
    <row r="322" spans="2:28" s="137" customFormat="1" ht="25.2" customHeight="1" x14ac:dyDescent="0.25">
      <c r="B322" s="167" t="s">
        <v>252</v>
      </c>
      <c r="C322" s="133" t="s">
        <v>900</v>
      </c>
      <c r="D322" s="168" t="e">
        <f t="shared" ref="D322" si="334">D320-(D317+D318)</f>
        <v>#REF!</v>
      </c>
      <c r="E322" s="168" t="e">
        <f>E320-(E317+E318)</f>
        <v>#REF!</v>
      </c>
      <c r="F322" s="168" t="e">
        <f t="shared" ref="F322:X322" si="335">F320-(F317+F318)</f>
        <v>#REF!</v>
      </c>
      <c r="G322" s="168" t="e">
        <f t="shared" si="335"/>
        <v>#REF!</v>
      </c>
      <c r="H322" s="168" t="e">
        <f t="shared" si="335"/>
        <v>#REF!</v>
      </c>
      <c r="I322" s="168" t="e">
        <f t="shared" si="335"/>
        <v>#REF!</v>
      </c>
      <c r="J322" s="168" t="e">
        <f t="shared" si="335"/>
        <v>#REF!</v>
      </c>
      <c r="K322" s="168" t="e">
        <f t="shared" si="335"/>
        <v>#REF!</v>
      </c>
      <c r="L322" s="168" t="e">
        <f t="shared" si="335"/>
        <v>#REF!</v>
      </c>
      <c r="M322" s="168" t="e">
        <f t="shared" si="335"/>
        <v>#REF!</v>
      </c>
      <c r="N322" s="168" t="e">
        <f t="shared" si="335"/>
        <v>#REF!</v>
      </c>
      <c r="O322" s="168" t="e">
        <f t="shared" si="335"/>
        <v>#REF!</v>
      </c>
      <c r="P322" s="168" t="e">
        <f t="shared" si="335"/>
        <v>#REF!</v>
      </c>
      <c r="Q322" s="168" t="e">
        <f t="shared" si="335"/>
        <v>#REF!</v>
      </c>
      <c r="R322" s="168" t="e">
        <f t="shared" si="335"/>
        <v>#REF!</v>
      </c>
      <c r="S322" s="168" t="e">
        <f t="shared" si="335"/>
        <v>#REF!</v>
      </c>
      <c r="T322" s="168" t="e">
        <f t="shared" si="335"/>
        <v>#REF!</v>
      </c>
      <c r="U322" s="168" t="e">
        <f t="shared" si="335"/>
        <v>#REF!</v>
      </c>
      <c r="V322" s="168" t="e">
        <f t="shared" si="335"/>
        <v>#REF!</v>
      </c>
      <c r="W322" s="168" t="e">
        <f t="shared" si="335"/>
        <v>#REF!</v>
      </c>
      <c r="X322" s="168" t="e">
        <f t="shared" si="335"/>
        <v>#REF!</v>
      </c>
      <c r="Y322" s="138"/>
    </row>
    <row r="323" spans="2:28" s="137" customFormat="1" ht="25.2" customHeight="1" x14ac:dyDescent="0.25">
      <c r="B323" s="167" t="s">
        <v>253</v>
      </c>
      <c r="C323" s="133" t="s">
        <v>901</v>
      </c>
      <c r="D323" s="168" t="e">
        <f t="shared" ref="D323:X323" si="336">D321-(D317+D318)</f>
        <v>#REF!</v>
      </c>
      <c r="E323" s="168" t="e">
        <f t="shared" si="336"/>
        <v>#REF!</v>
      </c>
      <c r="F323" s="168" t="e">
        <f t="shared" si="336"/>
        <v>#REF!</v>
      </c>
      <c r="G323" s="168" t="e">
        <f t="shared" si="336"/>
        <v>#REF!</v>
      </c>
      <c r="H323" s="168" t="e">
        <f t="shared" si="336"/>
        <v>#REF!</v>
      </c>
      <c r="I323" s="168" t="e">
        <f t="shared" si="336"/>
        <v>#REF!</v>
      </c>
      <c r="J323" s="168" t="e">
        <f t="shared" si="336"/>
        <v>#REF!</v>
      </c>
      <c r="K323" s="168" t="e">
        <f t="shared" si="336"/>
        <v>#REF!</v>
      </c>
      <c r="L323" s="168" t="e">
        <f t="shared" si="336"/>
        <v>#REF!</v>
      </c>
      <c r="M323" s="168" t="e">
        <f t="shared" si="336"/>
        <v>#REF!</v>
      </c>
      <c r="N323" s="168" t="e">
        <f t="shared" si="336"/>
        <v>#REF!</v>
      </c>
      <c r="O323" s="168" t="e">
        <f t="shared" si="336"/>
        <v>#REF!</v>
      </c>
      <c r="P323" s="168" t="e">
        <f t="shared" si="336"/>
        <v>#REF!</v>
      </c>
      <c r="Q323" s="168" t="e">
        <f t="shared" si="336"/>
        <v>#REF!</v>
      </c>
      <c r="R323" s="168" t="e">
        <f t="shared" si="336"/>
        <v>#REF!</v>
      </c>
      <c r="S323" s="168" t="e">
        <f t="shared" si="336"/>
        <v>#REF!</v>
      </c>
      <c r="T323" s="168" t="e">
        <f t="shared" si="336"/>
        <v>#REF!</v>
      </c>
      <c r="U323" s="168" t="e">
        <f t="shared" si="336"/>
        <v>#REF!</v>
      </c>
      <c r="V323" s="168" t="e">
        <f t="shared" si="336"/>
        <v>#REF!</v>
      </c>
      <c r="W323" s="168" t="e">
        <f t="shared" si="336"/>
        <v>#REF!</v>
      </c>
      <c r="X323" s="168" t="e">
        <f t="shared" si="336"/>
        <v>#REF!</v>
      </c>
      <c r="Y323" s="138"/>
    </row>
    <row r="324" spans="2:28" s="137" customFormat="1" ht="25.2" customHeight="1" x14ac:dyDescent="0.25">
      <c r="B324" s="161" t="s">
        <v>254</v>
      </c>
      <c r="C324" s="169" t="s">
        <v>304</v>
      </c>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38"/>
    </row>
    <row r="325" spans="2:28" s="137" customFormat="1" ht="25.2" customHeight="1" x14ac:dyDescent="0.25">
      <c r="B325" s="167" t="s">
        <v>255</v>
      </c>
      <c r="C325" s="133" t="s">
        <v>902</v>
      </c>
      <c r="D325" s="168" t="e">
        <f>D322</f>
        <v>#REF!</v>
      </c>
      <c r="E325" s="178" t="e">
        <f t="shared" ref="E325:X325" si="337">E320/POWER(1+0.04,E$3-$D$3)</f>
        <v>#REF!</v>
      </c>
      <c r="F325" s="178" t="e">
        <f t="shared" si="337"/>
        <v>#REF!</v>
      </c>
      <c r="G325" s="178" t="e">
        <f t="shared" si="337"/>
        <v>#REF!</v>
      </c>
      <c r="H325" s="178" t="e">
        <f t="shared" si="337"/>
        <v>#REF!</v>
      </c>
      <c r="I325" s="178" t="e">
        <f t="shared" si="337"/>
        <v>#REF!</v>
      </c>
      <c r="J325" s="178" t="e">
        <f t="shared" si="337"/>
        <v>#REF!</v>
      </c>
      <c r="K325" s="178" t="e">
        <f t="shared" si="337"/>
        <v>#REF!</v>
      </c>
      <c r="L325" s="178" t="e">
        <f t="shared" si="337"/>
        <v>#REF!</v>
      </c>
      <c r="M325" s="178" t="e">
        <f t="shared" si="337"/>
        <v>#REF!</v>
      </c>
      <c r="N325" s="178" t="e">
        <f t="shared" si="337"/>
        <v>#REF!</v>
      </c>
      <c r="O325" s="178" t="e">
        <f t="shared" si="337"/>
        <v>#REF!</v>
      </c>
      <c r="P325" s="178" t="e">
        <f t="shared" si="337"/>
        <v>#REF!</v>
      </c>
      <c r="Q325" s="178" t="e">
        <f t="shared" si="337"/>
        <v>#REF!</v>
      </c>
      <c r="R325" s="178" t="e">
        <f t="shared" si="337"/>
        <v>#REF!</v>
      </c>
      <c r="S325" s="178" t="e">
        <f t="shared" si="337"/>
        <v>#REF!</v>
      </c>
      <c r="T325" s="178" t="e">
        <f t="shared" si="337"/>
        <v>#REF!</v>
      </c>
      <c r="U325" s="178" t="e">
        <f t="shared" si="337"/>
        <v>#REF!</v>
      </c>
      <c r="V325" s="178" t="e">
        <f t="shared" si="337"/>
        <v>#REF!</v>
      </c>
      <c r="W325" s="178" t="e">
        <f t="shared" si="337"/>
        <v>#REF!</v>
      </c>
      <c r="X325" s="178" t="e">
        <f t="shared" si="337"/>
        <v>#REF!</v>
      </c>
      <c r="Y325" s="138"/>
    </row>
    <row r="326" spans="2:28" s="137" customFormat="1" ht="25.2" customHeight="1" x14ac:dyDescent="0.25">
      <c r="B326" s="167" t="s">
        <v>256</v>
      </c>
      <c r="C326" s="133" t="s">
        <v>903</v>
      </c>
      <c r="D326" s="168" t="e">
        <f>D323</f>
        <v>#REF!</v>
      </c>
      <c r="E326" s="178" t="e">
        <f t="shared" ref="E326:X326" si="338">E321/POWER(1+0.04,E$3-$D$3)</f>
        <v>#REF!</v>
      </c>
      <c r="F326" s="178" t="e">
        <f t="shared" si="338"/>
        <v>#REF!</v>
      </c>
      <c r="G326" s="178" t="e">
        <f t="shared" si="338"/>
        <v>#REF!</v>
      </c>
      <c r="H326" s="178" t="e">
        <f t="shared" si="338"/>
        <v>#REF!</v>
      </c>
      <c r="I326" s="178" t="e">
        <f t="shared" si="338"/>
        <v>#REF!</v>
      </c>
      <c r="J326" s="178" t="e">
        <f t="shared" si="338"/>
        <v>#REF!</v>
      </c>
      <c r="K326" s="178" t="e">
        <f t="shared" si="338"/>
        <v>#REF!</v>
      </c>
      <c r="L326" s="178" t="e">
        <f t="shared" si="338"/>
        <v>#REF!</v>
      </c>
      <c r="M326" s="178" t="e">
        <f t="shared" si="338"/>
        <v>#REF!</v>
      </c>
      <c r="N326" s="178" t="e">
        <f t="shared" si="338"/>
        <v>#REF!</v>
      </c>
      <c r="O326" s="178" t="e">
        <f t="shared" si="338"/>
        <v>#REF!</v>
      </c>
      <c r="P326" s="178" t="e">
        <f t="shared" si="338"/>
        <v>#REF!</v>
      </c>
      <c r="Q326" s="178" t="e">
        <f t="shared" si="338"/>
        <v>#REF!</v>
      </c>
      <c r="R326" s="178" t="e">
        <f t="shared" si="338"/>
        <v>#REF!</v>
      </c>
      <c r="S326" s="178" t="e">
        <f t="shared" si="338"/>
        <v>#REF!</v>
      </c>
      <c r="T326" s="178" t="e">
        <f t="shared" si="338"/>
        <v>#REF!</v>
      </c>
      <c r="U326" s="178" t="e">
        <f t="shared" si="338"/>
        <v>#REF!</v>
      </c>
      <c r="V326" s="178" t="e">
        <f t="shared" si="338"/>
        <v>#REF!</v>
      </c>
      <c r="W326" s="178" t="e">
        <f t="shared" si="338"/>
        <v>#REF!</v>
      </c>
      <c r="X326" s="178" t="e">
        <f t="shared" si="338"/>
        <v>#REF!</v>
      </c>
      <c r="Y326" s="138"/>
    </row>
    <row r="327" spans="2:28" s="137" customFormat="1" ht="25.2" customHeight="1" x14ac:dyDescent="0.25">
      <c r="B327" s="167" t="s">
        <v>257</v>
      </c>
      <c r="C327" s="133" t="s">
        <v>904</v>
      </c>
      <c r="D327" s="166" t="e">
        <f>NPV(0.04,E322:X322)+D322</f>
        <v>#REF!</v>
      </c>
      <c r="E327" s="179"/>
      <c r="F327" s="171"/>
      <c r="G327" s="171"/>
      <c r="H327" s="171"/>
      <c r="I327" s="171"/>
      <c r="J327" s="171"/>
      <c r="K327" s="171"/>
      <c r="L327" s="171"/>
      <c r="M327" s="171"/>
      <c r="N327" s="171"/>
      <c r="O327" s="171"/>
      <c r="P327" s="171"/>
      <c r="Q327" s="171"/>
      <c r="R327" s="171"/>
      <c r="S327" s="171"/>
      <c r="T327" s="171"/>
      <c r="U327" s="171"/>
      <c r="V327" s="171"/>
      <c r="W327" s="171"/>
      <c r="X327" s="171"/>
      <c r="Y327" s="138"/>
    </row>
    <row r="328" spans="2:28" s="137" customFormat="1" ht="25.2" customHeight="1" x14ac:dyDescent="0.25">
      <c r="B328" s="167" t="s">
        <v>258</v>
      </c>
      <c r="C328" s="133" t="s">
        <v>905</v>
      </c>
      <c r="D328" s="166" t="e">
        <f>NPV(0.04,E323:X323)+D323</f>
        <v>#REF!</v>
      </c>
      <c r="E328" s="171"/>
      <c r="F328" s="171"/>
      <c r="G328" s="171"/>
      <c r="H328" s="171"/>
      <c r="I328" s="171"/>
      <c r="J328" s="171"/>
      <c r="K328" s="171"/>
      <c r="L328" s="171"/>
      <c r="M328" s="171"/>
      <c r="N328" s="171"/>
      <c r="O328" s="171"/>
      <c r="P328" s="171"/>
      <c r="Q328" s="171"/>
      <c r="R328" s="171"/>
      <c r="S328" s="171"/>
      <c r="T328" s="171"/>
      <c r="U328" s="171"/>
      <c r="V328" s="171"/>
      <c r="W328" s="171"/>
      <c r="X328" s="171"/>
      <c r="Y328" s="138"/>
    </row>
    <row r="329" spans="2:28" s="137" customFormat="1" ht="25.2" customHeight="1" x14ac:dyDescent="0.25">
      <c r="B329" s="167" t="s">
        <v>259</v>
      </c>
      <c r="C329" s="133" t="s">
        <v>906</v>
      </c>
      <c r="D329" s="168" t="e">
        <f>D320-(D317+D318)</f>
        <v>#REF!</v>
      </c>
      <c r="E329" s="178" t="e">
        <f>D329+E325</f>
        <v>#REF!</v>
      </c>
      <c r="F329" s="166" t="e">
        <f t="shared" ref="F329:F330" si="339">E329+F325</f>
        <v>#REF!</v>
      </c>
      <c r="G329" s="166" t="e">
        <f t="shared" ref="G329:G330" si="340">F329+G325</f>
        <v>#REF!</v>
      </c>
      <c r="H329" s="166" t="e">
        <f t="shared" ref="H329:H330" si="341">G329+H325</f>
        <v>#REF!</v>
      </c>
      <c r="I329" s="166" t="e">
        <f t="shared" ref="I329:I330" si="342">H329+I325</f>
        <v>#REF!</v>
      </c>
      <c r="J329" s="166" t="e">
        <f t="shared" ref="J329:J330" si="343">I329+J325</f>
        <v>#REF!</v>
      </c>
      <c r="K329" s="166" t="e">
        <f t="shared" ref="K329:K330" si="344">J329+K325</f>
        <v>#REF!</v>
      </c>
      <c r="L329" s="166" t="e">
        <f t="shared" ref="L329:L330" si="345">K329+L325</f>
        <v>#REF!</v>
      </c>
      <c r="M329" s="166" t="e">
        <f t="shared" ref="M329:M330" si="346">L329+M325</f>
        <v>#REF!</v>
      </c>
      <c r="N329" s="166" t="e">
        <f t="shared" ref="N329:N330" si="347">M329+N325</f>
        <v>#REF!</v>
      </c>
      <c r="O329" s="166" t="e">
        <f t="shared" ref="O329:O330" si="348">N329+O325</f>
        <v>#REF!</v>
      </c>
      <c r="P329" s="166" t="e">
        <f t="shared" ref="P329:P330" si="349">O329+P325</f>
        <v>#REF!</v>
      </c>
      <c r="Q329" s="166" t="e">
        <f t="shared" ref="Q329:Q330" si="350">P329+Q325</f>
        <v>#REF!</v>
      </c>
      <c r="R329" s="166" t="e">
        <f t="shared" ref="R329:R330" si="351">Q329+R325</f>
        <v>#REF!</v>
      </c>
      <c r="S329" s="166" t="e">
        <f t="shared" ref="S329:S330" si="352">R329+S325</f>
        <v>#REF!</v>
      </c>
      <c r="T329" s="166" t="e">
        <f t="shared" ref="T329:T330" si="353">S329+T325</f>
        <v>#REF!</v>
      </c>
      <c r="U329" s="166" t="e">
        <f t="shared" ref="U329:U330" si="354">T329+U325</f>
        <v>#REF!</v>
      </c>
      <c r="V329" s="166" t="e">
        <f t="shared" ref="V329:V330" si="355">U329+V325</f>
        <v>#REF!</v>
      </c>
      <c r="W329" s="166" t="e">
        <f t="shared" ref="W329:W330" si="356">V329+W325</f>
        <v>#REF!</v>
      </c>
      <c r="X329" s="166" t="e">
        <f t="shared" ref="X329:X330" si="357">W329+X325</f>
        <v>#REF!</v>
      </c>
      <c r="Y329" s="138"/>
      <c r="Z329" s="213"/>
      <c r="AA329" s="215"/>
      <c r="AB329" s="214"/>
    </row>
    <row r="330" spans="2:28" s="137" customFormat="1" ht="25.2" customHeight="1" x14ac:dyDescent="0.25">
      <c r="B330" s="167" t="s">
        <v>260</v>
      </c>
      <c r="C330" s="133" t="s">
        <v>907</v>
      </c>
      <c r="D330" s="168" t="e">
        <f>D321-(D317+D318)</f>
        <v>#REF!</v>
      </c>
      <c r="E330" s="178" t="e">
        <f>D330+E326</f>
        <v>#REF!</v>
      </c>
      <c r="F330" s="166" t="e">
        <f t="shared" si="339"/>
        <v>#REF!</v>
      </c>
      <c r="G330" s="166" t="e">
        <f t="shared" si="340"/>
        <v>#REF!</v>
      </c>
      <c r="H330" s="166" t="e">
        <f t="shared" si="341"/>
        <v>#REF!</v>
      </c>
      <c r="I330" s="166" t="e">
        <f t="shared" si="342"/>
        <v>#REF!</v>
      </c>
      <c r="J330" s="166" t="e">
        <f t="shared" si="343"/>
        <v>#REF!</v>
      </c>
      <c r="K330" s="166" t="e">
        <f t="shared" si="344"/>
        <v>#REF!</v>
      </c>
      <c r="L330" s="166" t="e">
        <f t="shared" si="345"/>
        <v>#REF!</v>
      </c>
      <c r="M330" s="166" t="e">
        <f t="shared" si="346"/>
        <v>#REF!</v>
      </c>
      <c r="N330" s="166" t="e">
        <f t="shared" si="347"/>
        <v>#REF!</v>
      </c>
      <c r="O330" s="166" t="e">
        <f t="shared" si="348"/>
        <v>#REF!</v>
      </c>
      <c r="P330" s="166" t="e">
        <f t="shared" si="349"/>
        <v>#REF!</v>
      </c>
      <c r="Q330" s="166" t="e">
        <f t="shared" si="350"/>
        <v>#REF!</v>
      </c>
      <c r="R330" s="166" t="e">
        <f t="shared" si="351"/>
        <v>#REF!</v>
      </c>
      <c r="S330" s="166" t="e">
        <f t="shared" si="352"/>
        <v>#REF!</v>
      </c>
      <c r="T330" s="166" t="e">
        <f t="shared" si="353"/>
        <v>#REF!</v>
      </c>
      <c r="U330" s="166" t="e">
        <f t="shared" si="354"/>
        <v>#REF!</v>
      </c>
      <c r="V330" s="166" t="e">
        <f t="shared" si="355"/>
        <v>#REF!</v>
      </c>
      <c r="W330" s="166" t="e">
        <f t="shared" si="356"/>
        <v>#REF!</v>
      </c>
      <c r="X330" s="166" t="e">
        <f t="shared" si="357"/>
        <v>#REF!</v>
      </c>
      <c r="Y330" s="138"/>
      <c r="Z330" s="213"/>
    </row>
    <row r="331" spans="2:28" s="137" customFormat="1" ht="25.2" customHeight="1" x14ac:dyDescent="0.25">
      <c r="B331" s="167" t="s">
        <v>261</v>
      </c>
      <c r="C331" s="133" t="s">
        <v>316</v>
      </c>
      <c r="D331" s="216" t="e">
        <f t="array" aca="1" ref="D331" ca="1">MATCH(TRUE,INDEX($E329:$X329&gt;0,0),0)+(-LOOKUP(9.99999999999999E+307, IF($E329:$X329&lt;0, $E329:$X329))/LOOKUP(9.99999999999999E+307, IF($E329:$X329&lt;0, OFFSET($E325:$X325,0,1))))</f>
        <v>#N/A</v>
      </c>
      <c r="E331" s="171"/>
      <c r="F331" s="171"/>
      <c r="G331" s="171"/>
      <c r="H331" s="171"/>
      <c r="I331" s="171"/>
      <c r="J331" s="171"/>
      <c r="K331" s="171"/>
      <c r="L331" s="171"/>
      <c r="M331" s="171"/>
      <c r="N331" s="171"/>
      <c r="O331" s="171"/>
      <c r="P331" s="171"/>
      <c r="Q331" s="171"/>
      <c r="R331" s="171"/>
      <c r="S331" s="171"/>
      <c r="T331" s="171"/>
      <c r="U331" s="171"/>
      <c r="V331" s="171"/>
      <c r="W331" s="171"/>
      <c r="X331" s="171"/>
      <c r="Y331" s="138"/>
    </row>
    <row r="332" spans="2:28" s="137" customFormat="1" ht="25.2" customHeight="1" x14ac:dyDescent="0.25">
      <c r="B332" s="167" t="s">
        <v>262</v>
      </c>
      <c r="C332" s="133" t="s">
        <v>317</v>
      </c>
      <c r="D332" s="216" t="e">
        <f t="array" aca="1" ref="D332" ca="1">MATCH(TRUE,INDEX($E330:$X330&gt;0,0),0)+(-LOOKUP(9.99999999999999E+307, IF($E330:$X330&lt;0, $E330:$X330))/LOOKUP(9.99999999999999E+307, IF($E330:$X330&lt;0, OFFSET($E326:$X326,0,1))))</f>
        <v>#N/A</v>
      </c>
      <c r="E332" s="171"/>
      <c r="F332" s="171"/>
      <c r="G332" s="171"/>
      <c r="H332" s="171"/>
      <c r="I332" s="171"/>
      <c r="J332" s="171"/>
      <c r="K332" s="171"/>
      <c r="L332" s="171"/>
      <c r="M332" s="171"/>
      <c r="N332" s="171"/>
      <c r="O332" s="171"/>
      <c r="P332" s="171"/>
      <c r="Q332" s="171"/>
      <c r="R332" s="171"/>
      <c r="S332" s="171"/>
      <c r="T332" s="171"/>
      <c r="U332" s="171"/>
      <c r="V332" s="171"/>
      <c r="W332" s="171"/>
      <c r="X332" s="171"/>
      <c r="Y332" s="138"/>
    </row>
    <row r="333" spans="2:28" s="137" customFormat="1" ht="25.2" customHeight="1" x14ac:dyDescent="0.25">
      <c r="B333" s="167" t="s">
        <v>263</v>
      </c>
      <c r="C333" s="133" t="s">
        <v>319</v>
      </c>
      <c r="D333" s="172" t="e">
        <f>IRR(D322:X322)</f>
        <v>#VALUE!</v>
      </c>
      <c r="E333" s="180"/>
      <c r="F333" s="171"/>
      <c r="G333" s="171"/>
      <c r="H333" s="171"/>
      <c r="I333" s="171"/>
      <c r="J333" s="171"/>
      <c r="K333" s="171"/>
      <c r="L333" s="171"/>
      <c r="M333" s="171"/>
      <c r="N333" s="171"/>
      <c r="O333" s="171"/>
      <c r="P333" s="171"/>
      <c r="Q333" s="171"/>
      <c r="R333" s="171"/>
      <c r="S333" s="171"/>
      <c r="T333" s="171"/>
      <c r="U333" s="171"/>
      <c r="V333" s="171"/>
      <c r="W333" s="171"/>
      <c r="X333" s="171"/>
      <c r="Y333" s="138"/>
    </row>
    <row r="334" spans="2:28" s="137" customFormat="1" ht="25.2" customHeight="1" x14ac:dyDescent="0.25">
      <c r="B334" s="167" t="s">
        <v>264</v>
      </c>
      <c r="C334" s="133" t="s">
        <v>320</v>
      </c>
      <c r="D334" s="172" t="e">
        <f>IRR(D323:X323)</f>
        <v>#VALUE!</v>
      </c>
      <c r="E334" s="171"/>
      <c r="F334" s="171"/>
      <c r="G334" s="171"/>
      <c r="H334" s="171"/>
      <c r="I334" s="171"/>
      <c r="J334" s="171"/>
      <c r="K334" s="171"/>
      <c r="L334" s="171"/>
      <c r="M334" s="171"/>
      <c r="N334" s="171"/>
      <c r="O334" s="171"/>
      <c r="P334" s="171"/>
      <c r="Q334" s="171"/>
      <c r="R334" s="171"/>
      <c r="S334" s="171"/>
      <c r="T334" s="171"/>
      <c r="U334" s="171"/>
      <c r="V334" s="171"/>
      <c r="W334" s="171"/>
      <c r="X334" s="171"/>
      <c r="Y334" s="138"/>
    </row>
    <row r="335" spans="2:28" s="137" customFormat="1" ht="116.85" customHeight="1" x14ac:dyDescent="0.25">
      <c r="B335" s="839" t="s">
        <v>266</v>
      </c>
      <c r="C335" s="839"/>
      <c r="D335" s="839"/>
      <c r="E335" s="839"/>
      <c r="F335" s="839"/>
      <c r="G335" s="839"/>
      <c r="H335" s="839"/>
      <c r="I335" s="839"/>
      <c r="J335" s="839"/>
      <c r="K335" s="839"/>
      <c r="L335" s="839"/>
      <c r="M335" s="839"/>
      <c r="N335" s="839"/>
      <c r="O335" s="839"/>
      <c r="P335" s="839"/>
      <c r="Q335" s="839"/>
      <c r="R335" s="839"/>
      <c r="S335" s="839"/>
      <c r="T335" s="839"/>
      <c r="U335" s="839"/>
      <c r="V335" s="839"/>
      <c r="W335" s="839"/>
      <c r="X335" s="839"/>
      <c r="Y335" s="138"/>
    </row>
    <row r="338" spans="2:25" s="137" customFormat="1" ht="30" customHeight="1" x14ac:dyDescent="0.25">
      <c r="B338" s="217" t="s">
        <v>471</v>
      </c>
      <c r="C338" s="703" t="str">
        <f>Measures_summary!C15</f>
        <v>Implementation of EMS system</v>
      </c>
      <c r="D338" s="704"/>
      <c r="E338" s="704"/>
      <c r="F338" s="704"/>
      <c r="G338" s="704"/>
      <c r="H338" s="704"/>
      <c r="I338" s="704"/>
      <c r="J338" s="704"/>
      <c r="K338" s="704"/>
      <c r="L338" s="704"/>
      <c r="M338" s="704"/>
      <c r="N338" s="704"/>
      <c r="O338" s="704"/>
      <c r="P338" s="704"/>
      <c r="Q338" s="704"/>
      <c r="R338" s="704"/>
      <c r="S338" s="704"/>
      <c r="T338" s="704"/>
      <c r="U338" s="704"/>
      <c r="V338" s="704"/>
      <c r="W338" s="704"/>
      <c r="X338" s="705"/>
      <c r="Y338" s="138"/>
    </row>
    <row r="339" spans="2:25" s="137" customFormat="1" ht="30" customHeight="1" x14ac:dyDescent="0.25">
      <c r="B339" s="158" t="s">
        <v>42</v>
      </c>
      <c r="C339" s="28" t="s">
        <v>265</v>
      </c>
      <c r="D339" s="28">
        <v>2023</v>
      </c>
      <c r="E339" s="28">
        <v>2024</v>
      </c>
      <c r="F339" s="28">
        <v>2025</v>
      </c>
      <c r="G339" s="28">
        <v>2026</v>
      </c>
      <c r="H339" s="28">
        <v>2027</v>
      </c>
      <c r="I339" s="28">
        <v>2028</v>
      </c>
      <c r="J339" s="28">
        <v>2029</v>
      </c>
      <c r="K339" s="28">
        <v>2030</v>
      </c>
      <c r="L339" s="28">
        <v>2031</v>
      </c>
      <c r="M339" s="28">
        <v>2032</v>
      </c>
      <c r="N339" s="28">
        <v>2033</v>
      </c>
      <c r="O339" s="28">
        <v>2034</v>
      </c>
      <c r="P339" s="28">
        <v>2035</v>
      </c>
      <c r="Q339" s="28">
        <v>2036</v>
      </c>
      <c r="R339" s="28">
        <v>2037</v>
      </c>
      <c r="S339" s="28">
        <v>2038</v>
      </c>
      <c r="T339" s="28">
        <v>2039</v>
      </c>
      <c r="U339" s="28">
        <v>2040</v>
      </c>
      <c r="V339" s="28">
        <v>2041</v>
      </c>
      <c r="W339" s="28">
        <v>2042</v>
      </c>
      <c r="X339" s="28">
        <v>2043</v>
      </c>
      <c r="Y339" s="138"/>
    </row>
    <row r="340" spans="2:25" s="137" customFormat="1" ht="25.2" customHeight="1" x14ac:dyDescent="0.25">
      <c r="B340" s="161">
        <v>1</v>
      </c>
      <c r="C340" s="162" t="s">
        <v>302</v>
      </c>
      <c r="D340" s="163"/>
      <c r="E340" s="163"/>
      <c r="F340" s="163"/>
      <c r="G340" s="163"/>
      <c r="H340" s="163"/>
      <c r="I340" s="163"/>
      <c r="J340" s="163"/>
      <c r="K340" s="163"/>
      <c r="L340" s="163"/>
      <c r="M340" s="30"/>
      <c r="N340" s="30"/>
      <c r="O340" s="30"/>
      <c r="P340" s="30"/>
      <c r="Q340" s="30"/>
      <c r="R340" s="30"/>
      <c r="S340" s="30"/>
      <c r="T340" s="30"/>
      <c r="U340" s="30"/>
      <c r="V340" s="30"/>
      <c r="W340" s="30"/>
      <c r="X340" s="30"/>
      <c r="Y340" s="138"/>
    </row>
    <row r="341" spans="2:25" s="137" customFormat="1" ht="25.2" customHeight="1" x14ac:dyDescent="0.25">
      <c r="B341" s="164" t="s">
        <v>248</v>
      </c>
      <c r="C341" s="165" t="s">
        <v>896</v>
      </c>
      <c r="D341" s="166">
        <f>Measures_summary!D15</f>
        <v>0</v>
      </c>
      <c r="E341" s="163"/>
      <c r="F341" s="163"/>
      <c r="G341" s="163"/>
      <c r="H341" s="163"/>
      <c r="I341" s="163"/>
      <c r="J341" s="163"/>
      <c r="K341" s="163"/>
      <c r="L341" s="163"/>
      <c r="M341" s="163"/>
      <c r="N341" s="163"/>
      <c r="O341" s="163"/>
      <c r="P341" s="163"/>
      <c r="Q341" s="163"/>
      <c r="R341" s="163"/>
      <c r="S341" s="163"/>
      <c r="T341" s="163"/>
      <c r="U341" s="163"/>
      <c r="V341" s="163"/>
      <c r="W341" s="163"/>
      <c r="X341" s="163"/>
      <c r="Y341" s="138"/>
    </row>
    <row r="342" spans="2:25" s="137" customFormat="1" ht="25.2" customHeight="1" x14ac:dyDescent="0.25">
      <c r="B342" s="164" t="s">
        <v>249</v>
      </c>
      <c r="C342" s="165" t="s">
        <v>897</v>
      </c>
      <c r="D342" s="163"/>
      <c r="E342" s="166">
        <f>4%*$D$5</f>
        <v>3045.5159999999996</v>
      </c>
      <c r="F342" s="166">
        <f t="shared" ref="F342:X342" si="358">4%*$D$5</f>
        <v>3045.5159999999996</v>
      </c>
      <c r="G342" s="166">
        <f t="shared" si="358"/>
        <v>3045.5159999999996</v>
      </c>
      <c r="H342" s="166">
        <f t="shared" si="358"/>
        <v>3045.5159999999996</v>
      </c>
      <c r="I342" s="166">
        <f t="shared" si="358"/>
        <v>3045.5159999999996</v>
      </c>
      <c r="J342" s="166">
        <f t="shared" si="358"/>
        <v>3045.5159999999996</v>
      </c>
      <c r="K342" s="166">
        <f t="shared" si="358"/>
        <v>3045.5159999999996</v>
      </c>
      <c r="L342" s="166">
        <f t="shared" si="358"/>
        <v>3045.5159999999996</v>
      </c>
      <c r="M342" s="166">
        <f t="shared" si="358"/>
        <v>3045.5159999999996</v>
      </c>
      <c r="N342" s="166">
        <f t="shared" si="358"/>
        <v>3045.5159999999996</v>
      </c>
      <c r="O342" s="166">
        <f t="shared" si="358"/>
        <v>3045.5159999999996</v>
      </c>
      <c r="P342" s="166">
        <f t="shared" si="358"/>
        <v>3045.5159999999996</v>
      </c>
      <c r="Q342" s="166">
        <f t="shared" si="358"/>
        <v>3045.5159999999996</v>
      </c>
      <c r="R342" s="166">
        <f t="shared" si="358"/>
        <v>3045.5159999999996</v>
      </c>
      <c r="S342" s="166">
        <f t="shared" si="358"/>
        <v>3045.5159999999996</v>
      </c>
      <c r="T342" s="166">
        <f t="shared" si="358"/>
        <v>3045.5159999999996</v>
      </c>
      <c r="U342" s="166">
        <f t="shared" si="358"/>
        <v>3045.5159999999996</v>
      </c>
      <c r="V342" s="166">
        <f t="shared" si="358"/>
        <v>3045.5159999999996</v>
      </c>
      <c r="W342" s="166">
        <f t="shared" si="358"/>
        <v>3045.5159999999996</v>
      </c>
      <c r="X342" s="166">
        <f t="shared" si="358"/>
        <v>3045.5159999999996</v>
      </c>
      <c r="Y342" s="138"/>
    </row>
    <row r="343" spans="2:25" s="137" customFormat="1" ht="25.2" customHeight="1" x14ac:dyDescent="0.25">
      <c r="B343" s="161">
        <v>2</v>
      </c>
      <c r="C343" s="162" t="s">
        <v>303</v>
      </c>
      <c r="D343" s="163"/>
      <c r="E343" s="163"/>
      <c r="F343" s="163"/>
      <c r="G343" s="163"/>
      <c r="H343" s="163"/>
      <c r="I343" s="163"/>
      <c r="J343" s="163"/>
      <c r="K343" s="163"/>
      <c r="L343" s="163"/>
      <c r="M343" s="163"/>
      <c r="N343" s="163"/>
      <c r="O343" s="163"/>
      <c r="P343" s="163"/>
      <c r="Q343" s="163"/>
      <c r="R343" s="163"/>
      <c r="S343" s="163"/>
      <c r="T343" s="163"/>
      <c r="U343" s="163"/>
      <c r="V343" s="163"/>
      <c r="W343" s="163"/>
      <c r="X343" s="163"/>
      <c r="Y343" s="138"/>
    </row>
    <row r="344" spans="2:25" s="137" customFormat="1" ht="25.2" customHeight="1" x14ac:dyDescent="0.25">
      <c r="B344" s="167" t="s">
        <v>250</v>
      </c>
      <c r="C344" s="133" t="s">
        <v>898</v>
      </c>
      <c r="D344" s="163">
        <v>0</v>
      </c>
      <c r="E344" s="166">
        <f>Measures_summary!F15</f>
        <v>143.63725955446935</v>
      </c>
      <c r="F344" s="166">
        <f t="shared" ref="F344:X344" si="359">$E344*(1.028+0.028*(F339-$F$3))</f>
        <v>135.59357301941907</v>
      </c>
      <c r="G344" s="166">
        <f t="shared" si="359"/>
        <v>139.6154162869442</v>
      </c>
      <c r="H344" s="166">
        <f t="shared" si="359"/>
        <v>143.63725955446935</v>
      </c>
      <c r="I344" s="166">
        <f t="shared" si="359"/>
        <v>147.65910282199451</v>
      </c>
      <c r="J344" s="166">
        <f t="shared" si="359"/>
        <v>151.68094608951964</v>
      </c>
      <c r="K344" s="166">
        <f t="shared" si="359"/>
        <v>155.70278935704479</v>
      </c>
      <c r="L344" s="166">
        <f t="shared" si="359"/>
        <v>159.72463262456992</v>
      </c>
      <c r="M344" s="166">
        <f t="shared" si="359"/>
        <v>163.74647589209508</v>
      </c>
      <c r="N344" s="166">
        <f t="shared" si="359"/>
        <v>167.76831915962023</v>
      </c>
      <c r="O344" s="166">
        <f t="shared" si="359"/>
        <v>171.79016242714533</v>
      </c>
      <c r="P344" s="166">
        <f t="shared" si="359"/>
        <v>175.81200569467049</v>
      </c>
      <c r="Q344" s="166">
        <f t="shared" si="359"/>
        <v>179.83384896219562</v>
      </c>
      <c r="R344" s="166">
        <f t="shared" si="359"/>
        <v>183.85569222972077</v>
      </c>
      <c r="S344" s="166">
        <f t="shared" si="359"/>
        <v>187.87753549724593</v>
      </c>
      <c r="T344" s="166">
        <f t="shared" si="359"/>
        <v>191.89937876477106</v>
      </c>
      <c r="U344" s="166">
        <f t="shared" si="359"/>
        <v>195.92122203229621</v>
      </c>
      <c r="V344" s="166">
        <f t="shared" si="359"/>
        <v>199.94306529982131</v>
      </c>
      <c r="W344" s="166">
        <f t="shared" si="359"/>
        <v>203.96490856734647</v>
      </c>
      <c r="X344" s="166">
        <f t="shared" si="359"/>
        <v>207.98675183487163</v>
      </c>
      <c r="Y344" s="138"/>
    </row>
    <row r="345" spans="2:25" s="137" customFormat="1" ht="25.2" customHeight="1" x14ac:dyDescent="0.25">
      <c r="B345" s="167" t="s">
        <v>251</v>
      </c>
      <c r="C345" s="133" t="s">
        <v>899</v>
      </c>
      <c r="D345" s="163">
        <v>0</v>
      </c>
      <c r="E345" s="166">
        <f>Measures_summary!J15</f>
        <v>143.63725955446935</v>
      </c>
      <c r="F345" s="166">
        <f t="shared" ref="F345:X345" si="360">$E345*(1.028+0.028*(F339-$F$3))</f>
        <v>135.59357301941907</v>
      </c>
      <c r="G345" s="166">
        <f t="shared" si="360"/>
        <v>139.6154162869442</v>
      </c>
      <c r="H345" s="166">
        <f t="shared" si="360"/>
        <v>143.63725955446935</v>
      </c>
      <c r="I345" s="166">
        <f t="shared" si="360"/>
        <v>147.65910282199451</v>
      </c>
      <c r="J345" s="166">
        <f t="shared" si="360"/>
        <v>151.68094608951964</v>
      </c>
      <c r="K345" s="166">
        <f t="shared" si="360"/>
        <v>155.70278935704479</v>
      </c>
      <c r="L345" s="166">
        <f t="shared" si="360"/>
        <v>159.72463262456992</v>
      </c>
      <c r="M345" s="166">
        <f t="shared" si="360"/>
        <v>163.74647589209508</v>
      </c>
      <c r="N345" s="166">
        <f t="shared" si="360"/>
        <v>167.76831915962023</v>
      </c>
      <c r="O345" s="166">
        <f t="shared" si="360"/>
        <v>171.79016242714533</v>
      </c>
      <c r="P345" s="166">
        <f t="shared" si="360"/>
        <v>175.81200569467049</v>
      </c>
      <c r="Q345" s="166">
        <f t="shared" si="360"/>
        <v>179.83384896219562</v>
      </c>
      <c r="R345" s="166">
        <f t="shared" si="360"/>
        <v>183.85569222972077</v>
      </c>
      <c r="S345" s="166">
        <f t="shared" si="360"/>
        <v>187.87753549724593</v>
      </c>
      <c r="T345" s="166">
        <f t="shared" si="360"/>
        <v>191.89937876477106</v>
      </c>
      <c r="U345" s="166">
        <f t="shared" si="360"/>
        <v>195.92122203229621</v>
      </c>
      <c r="V345" s="166">
        <f t="shared" si="360"/>
        <v>199.94306529982131</v>
      </c>
      <c r="W345" s="166">
        <f t="shared" si="360"/>
        <v>203.96490856734647</v>
      </c>
      <c r="X345" s="166">
        <f t="shared" si="360"/>
        <v>207.98675183487163</v>
      </c>
      <c r="Y345" s="138"/>
    </row>
    <row r="346" spans="2:25" s="137" customFormat="1" ht="25.2" customHeight="1" x14ac:dyDescent="0.25">
      <c r="B346" s="167" t="s">
        <v>252</v>
      </c>
      <c r="C346" s="133" t="s">
        <v>900</v>
      </c>
      <c r="D346" s="168">
        <f t="shared" ref="D346" si="361">D344-(D341+D342)</f>
        <v>0</v>
      </c>
      <c r="E346" s="168">
        <f>E344-(E341+E342)</f>
        <v>-2901.8787404455302</v>
      </c>
      <c r="F346" s="168">
        <f t="shared" ref="F346:X346" si="362">F344-(F341+F342)</f>
        <v>-2909.9224269805804</v>
      </c>
      <c r="G346" s="168">
        <f t="shared" si="362"/>
        <v>-2905.9005837130553</v>
      </c>
      <c r="H346" s="168">
        <f t="shared" si="362"/>
        <v>-2901.8787404455302</v>
      </c>
      <c r="I346" s="168">
        <f t="shared" si="362"/>
        <v>-2897.8568971780051</v>
      </c>
      <c r="J346" s="168">
        <f t="shared" si="362"/>
        <v>-2893.8350539104799</v>
      </c>
      <c r="K346" s="168">
        <f t="shared" si="362"/>
        <v>-2889.8132106429548</v>
      </c>
      <c r="L346" s="168">
        <f t="shared" si="362"/>
        <v>-2885.7913673754297</v>
      </c>
      <c r="M346" s="168">
        <f t="shared" si="362"/>
        <v>-2881.7695241079045</v>
      </c>
      <c r="N346" s="168">
        <f t="shared" si="362"/>
        <v>-2877.7476808403794</v>
      </c>
      <c r="O346" s="168">
        <f t="shared" si="362"/>
        <v>-2873.7258375728543</v>
      </c>
      <c r="P346" s="168">
        <f t="shared" si="362"/>
        <v>-2869.7039943053292</v>
      </c>
      <c r="Q346" s="168">
        <f t="shared" si="362"/>
        <v>-2865.682151037804</v>
      </c>
      <c r="R346" s="168">
        <f t="shared" si="362"/>
        <v>-2861.6603077702789</v>
      </c>
      <c r="S346" s="168">
        <f t="shared" si="362"/>
        <v>-2857.6384645027538</v>
      </c>
      <c r="T346" s="168">
        <f t="shared" si="362"/>
        <v>-2853.6166212352286</v>
      </c>
      <c r="U346" s="168">
        <f t="shared" si="362"/>
        <v>-2849.5947779677035</v>
      </c>
      <c r="V346" s="168">
        <f t="shared" si="362"/>
        <v>-2845.5729347001784</v>
      </c>
      <c r="W346" s="168">
        <f t="shared" si="362"/>
        <v>-2841.5510914326533</v>
      </c>
      <c r="X346" s="168">
        <f t="shared" si="362"/>
        <v>-2837.5292481651281</v>
      </c>
      <c r="Y346" s="138"/>
    </row>
    <row r="347" spans="2:25" s="137" customFormat="1" ht="25.2" customHeight="1" x14ac:dyDescent="0.25">
      <c r="B347" s="167" t="s">
        <v>253</v>
      </c>
      <c r="C347" s="133" t="s">
        <v>901</v>
      </c>
      <c r="D347" s="168">
        <f t="shared" ref="D347:X347" si="363">D345-(D341+D342)</f>
        <v>0</v>
      </c>
      <c r="E347" s="168">
        <f t="shared" si="363"/>
        <v>-2901.8787404455302</v>
      </c>
      <c r="F347" s="168">
        <f t="shared" si="363"/>
        <v>-2909.9224269805804</v>
      </c>
      <c r="G347" s="168">
        <f t="shared" si="363"/>
        <v>-2905.9005837130553</v>
      </c>
      <c r="H347" s="168">
        <f t="shared" si="363"/>
        <v>-2901.8787404455302</v>
      </c>
      <c r="I347" s="168">
        <f t="shared" si="363"/>
        <v>-2897.8568971780051</v>
      </c>
      <c r="J347" s="168">
        <f t="shared" si="363"/>
        <v>-2893.8350539104799</v>
      </c>
      <c r="K347" s="168">
        <f t="shared" si="363"/>
        <v>-2889.8132106429548</v>
      </c>
      <c r="L347" s="168">
        <f t="shared" si="363"/>
        <v>-2885.7913673754297</v>
      </c>
      <c r="M347" s="168">
        <f t="shared" si="363"/>
        <v>-2881.7695241079045</v>
      </c>
      <c r="N347" s="168">
        <f t="shared" si="363"/>
        <v>-2877.7476808403794</v>
      </c>
      <c r="O347" s="168">
        <f t="shared" si="363"/>
        <v>-2873.7258375728543</v>
      </c>
      <c r="P347" s="168">
        <f t="shared" si="363"/>
        <v>-2869.7039943053292</v>
      </c>
      <c r="Q347" s="168">
        <f t="shared" si="363"/>
        <v>-2865.682151037804</v>
      </c>
      <c r="R347" s="168">
        <f t="shared" si="363"/>
        <v>-2861.6603077702789</v>
      </c>
      <c r="S347" s="168">
        <f t="shared" si="363"/>
        <v>-2857.6384645027538</v>
      </c>
      <c r="T347" s="168">
        <f t="shared" si="363"/>
        <v>-2853.6166212352286</v>
      </c>
      <c r="U347" s="168">
        <f t="shared" si="363"/>
        <v>-2849.5947779677035</v>
      </c>
      <c r="V347" s="168">
        <f t="shared" si="363"/>
        <v>-2845.5729347001784</v>
      </c>
      <c r="W347" s="168">
        <f t="shared" si="363"/>
        <v>-2841.5510914326533</v>
      </c>
      <c r="X347" s="168">
        <f t="shared" si="363"/>
        <v>-2837.5292481651281</v>
      </c>
      <c r="Y347" s="138"/>
    </row>
    <row r="348" spans="2:25" s="137" customFormat="1" ht="25.2" customHeight="1" x14ac:dyDescent="0.25">
      <c r="B348" s="161" t="s">
        <v>254</v>
      </c>
      <c r="C348" s="169" t="s">
        <v>304</v>
      </c>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38"/>
    </row>
    <row r="349" spans="2:25" s="137" customFormat="1" ht="25.2" customHeight="1" x14ac:dyDescent="0.25">
      <c r="B349" s="167" t="s">
        <v>255</v>
      </c>
      <c r="C349" s="133" t="s">
        <v>902</v>
      </c>
      <c r="D349" s="168">
        <f>D346</f>
        <v>0</v>
      </c>
      <c r="E349" s="178">
        <f t="shared" ref="E349:X349" si="364">E344/POWER(1+0.04,E$3-$D$3)</f>
        <v>138.11274957160515</v>
      </c>
      <c r="F349" s="178">
        <f t="shared" si="364"/>
        <v>125.36388038038004</v>
      </c>
      <c r="G349" s="178">
        <f t="shared" si="364"/>
        <v>124.11759669341733</v>
      </c>
      <c r="H349" s="178">
        <f t="shared" si="364"/>
        <v>122.78173145518491</v>
      </c>
      <c r="I349" s="178">
        <f t="shared" si="364"/>
        <v>121.36501916916355</v>
      </c>
      <c r="J349" s="178">
        <f t="shared" si="364"/>
        <v>119.87565497103851</v>
      </c>
      <c r="K349" s="178">
        <f t="shared" si="364"/>
        <v>118.32132319766697</v>
      </c>
      <c r="L349" s="178">
        <f t="shared" si="364"/>
        <v>116.70922455631354</v>
      </c>
      <c r="M349" s="178">
        <f t="shared" si="364"/>
        <v>115.04610195956475</v>
      </c>
      <c r="N349" s="178">
        <f t="shared" si="364"/>
        <v>113.33826508837014</v>
      </c>
      <c r="O349" s="178">
        <f t="shared" si="364"/>
        <v>111.59161374283016</v>
      </c>
      <c r="P349" s="178">
        <f t="shared" si="364"/>
        <v>109.8116600376448</v>
      </c>
      <c r="Q349" s="178">
        <f t="shared" si="364"/>
        <v>108.00354949655234</v>
      </c>
      <c r="R349" s="178">
        <f t="shared" si="364"/>
        <v>106.17208109761843</v>
      </c>
      <c r="S349" s="178">
        <f t="shared" si="364"/>
        <v>104.3217263188739</v>
      </c>
      <c r="T349" s="178">
        <f t="shared" si="364"/>
        <v>102.45664723154515</v>
      </c>
      <c r="U349" s="178">
        <f t="shared" si="364"/>
        <v>100.58071368596526</v>
      </c>
      <c r="V349" s="178">
        <f t="shared" si="364"/>
        <v>98.697519633193949</v>
      </c>
      <c r="W349" s="178">
        <f t="shared" si="364"/>
        <v>96.810398623408091</v>
      </c>
      <c r="X349" s="178">
        <f t="shared" si="364"/>
        <v>94.922438520243034</v>
      </c>
      <c r="Y349" s="138"/>
    </row>
    <row r="350" spans="2:25" s="137" customFormat="1" ht="25.2" customHeight="1" x14ac:dyDescent="0.25">
      <c r="B350" s="167" t="s">
        <v>256</v>
      </c>
      <c r="C350" s="133" t="s">
        <v>903</v>
      </c>
      <c r="D350" s="168">
        <f>D347</f>
        <v>0</v>
      </c>
      <c r="E350" s="178">
        <f t="shared" ref="E350:X350" si="365">E345/POWER(1+0.04,E$3-$D$3)</f>
        <v>138.11274957160515</v>
      </c>
      <c r="F350" s="178">
        <f t="shared" si="365"/>
        <v>125.36388038038004</v>
      </c>
      <c r="G350" s="178">
        <f t="shared" si="365"/>
        <v>124.11759669341733</v>
      </c>
      <c r="H350" s="178">
        <f t="shared" si="365"/>
        <v>122.78173145518491</v>
      </c>
      <c r="I350" s="178">
        <f t="shared" si="365"/>
        <v>121.36501916916355</v>
      </c>
      <c r="J350" s="178">
        <f t="shared" si="365"/>
        <v>119.87565497103851</v>
      </c>
      <c r="K350" s="178">
        <f t="shared" si="365"/>
        <v>118.32132319766697</v>
      </c>
      <c r="L350" s="178">
        <f t="shared" si="365"/>
        <v>116.70922455631354</v>
      </c>
      <c r="M350" s="178">
        <f t="shared" si="365"/>
        <v>115.04610195956475</v>
      </c>
      <c r="N350" s="178">
        <f t="shared" si="365"/>
        <v>113.33826508837014</v>
      </c>
      <c r="O350" s="178">
        <f t="shared" si="365"/>
        <v>111.59161374283016</v>
      </c>
      <c r="P350" s="178">
        <f t="shared" si="365"/>
        <v>109.8116600376448</v>
      </c>
      <c r="Q350" s="178">
        <f t="shared" si="365"/>
        <v>108.00354949655234</v>
      </c>
      <c r="R350" s="178">
        <f t="shared" si="365"/>
        <v>106.17208109761843</v>
      </c>
      <c r="S350" s="178">
        <f t="shared" si="365"/>
        <v>104.3217263188739</v>
      </c>
      <c r="T350" s="178">
        <f t="shared" si="365"/>
        <v>102.45664723154515</v>
      </c>
      <c r="U350" s="178">
        <f t="shared" si="365"/>
        <v>100.58071368596526</v>
      </c>
      <c r="V350" s="178">
        <f t="shared" si="365"/>
        <v>98.697519633193949</v>
      </c>
      <c r="W350" s="178">
        <f t="shared" si="365"/>
        <v>96.810398623408091</v>
      </c>
      <c r="X350" s="178">
        <f t="shared" si="365"/>
        <v>94.922438520243034</v>
      </c>
      <c r="Y350" s="138"/>
    </row>
    <row r="351" spans="2:25" s="137" customFormat="1" ht="25.2" customHeight="1" x14ac:dyDescent="0.25">
      <c r="B351" s="167" t="s">
        <v>257</v>
      </c>
      <c r="C351" s="133" t="s">
        <v>904</v>
      </c>
      <c r="D351" s="166">
        <f>NPV(0.04,E346:X346)+D346</f>
        <v>-39141.156433390002</v>
      </c>
      <c r="E351" s="179"/>
      <c r="F351" s="171"/>
      <c r="G351" s="171"/>
      <c r="H351" s="171"/>
      <c r="I351" s="171"/>
      <c r="J351" s="171"/>
      <c r="K351" s="171"/>
      <c r="L351" s="171"/>
      <c r="M351" s="171"/>
      <c r="N351" s="171"/>
      <c r="O351" s="171"/>
      <c r="P351" s="171"/>
      <c r="Q351" s="171"/>
      <c r="R351" s="171"/>
      <c r="S351" s="171"/>
      <c r="T351" s="171"/>
      <c r="U351" s="171"/>
      <c r="V351" s="171"/>
      <c r="W351" s="171"/>
      <c r="X351" s="171"/>
      <c r="Y351" s="138"/>
    </row>
    <row r="352" spans="2:25" s="137" customFormat="1" ht="25.2" customHeight="1" x14ac:dyDescent="0.25">
      <c r="B352" s="167" t="s">
        <v>258</v>
      </c>
      <c r="C352" s="133" t="s">
        <v>905</v>
      </c>
      <c r="D352" s="166">
        <f>NPV(0.04,E347:X347)+D347</f>
        <v>-39141.156433390002</v>
      </c>
      <c r="E352" s="171"/>
      <c r="F352" s="171"/>
      <c r="G352" s="171"/>
      <c r="H352" s="171"/>
      <c r="I352" s="171"/>
      <c r="J352" s="171"/>
      <c r="K352" s="171"/>
      <c r="L352" s="171"/>
      <c r="M352" s="171"/>
      <c r="N352" s="171"/>
      <c r="O352" s="171"/>
      <c r="P352" s="171"/>
      <c r="Q352" s="171"/>
      <c r="R352" s="171"/>
      <c r="S352" s="171"/>
      <c r="T352" s="171"/>
      <c r="U352" s="171"/>
      <c r="V352" s="171"/>
      <c r="W352" s="171"/>
      <c r="X352" s="171"/>
      <c r="Y352" s="138"/>
    </row>
    <row r="353" spans="2:28" s="137" customFormat="1" ht="25.2" customHeight="1" x14ac:dyDescent="0.25">
      <c r="B353" s="167" t="s">
        <v>259</v>
      </c>
      <c r="C353" s="133" t="s">
        <v>906</v>
      </c>
      <c r="D353" s="168">
        <f>D344-(D341+D342)</f>
        <v>0</v>
      </c>
      <c r="E353" s="178">
        <f>D353+E349</f>
        <v>138.11274957160515</v>
      </c>
      <c r="F353" s="166">
        <f t="shared" ref="F353:F354" si="366">E353+F349</f>
        <v>263.47662995198516</v>
      </c>
      <c r="G353" s="166">
        <f t="shared" ref="G353:G354" si="367">F353+G349</f>
        <v>387.5942266454025</v>
      </c>
      <c r="H353" s="166">
        <f t="shared" ref="H353:H354" si="368">G353+H349</f>
        <v>510.37595810058741</v>
      </c>
      <c r="I353" s="166">
        <f t="shared" ref="I353:I354" si="369">H353+I349</f>
        <v>631.74097726975094</v>
      </c>
      <c r="J353" s="166">
        <f t="shared" ref="J353:J354" si="370">I353+J349</f>
        <v>751.6166322407895</v>
      </c>
      <c r="K353" s="166">
        <f t="shared" ref="K353:K354" si="371">J353+K349</f>
        <v>869.93795543845647</v>
      </c>
      <c r="L353" s="166">
        <f t="shared" ref="L353:L354" si="372">K353+L349</f>
        <v>986.64717999477</v>
      </c>
      <c r="M353" s="166">
        <f t="shared" ref="M353:M354" si="373">L353+M349</f>
        <v>1101.6932819543347</v>
      </c>
      <c r="N353" s="166">
        <f t="shared" ref="N353:N354" si="374">M353+N349</f>
        <v>1215.0315470427049</v>
      </c>
      <c r="O353" s="166">
        <f t="shared" ref="O353:O354" si="375">N353+O349</f>
        <v>1326.623160785535</v>
      </c>
      <c r="P353" s="166">
        <f t="shared" ref="P353:P354" si="376">O353+P349</f>
        <v>1436.4348208231797</v>
      </c>
      <c r="Q353" s="166">
        <f t="shared" ref="Q353:Q354" si="377">P353+Q349</f>
        <v>1544.438370319732</v>
      </c>
      <c r="R353" s="166">
        <f t="shared" ref="R353:R354" si="378">Q353+R349</f>
        <v>1650.6104514173505</v>
      </c>
      <c r="S353" s="166">
        <f t="shared" ref="S353:S354" si="379">R353+S349</f>
        <v>1754.9321777362245</v>
      </c>
      <c r="T353" s="166">
        <f t="shared" ref="T353:T354" si="380">S353+T349</f>
        <v>1857.3888249677696</v>
      </c>
      <c r="U353" s="166">
        <f t="shared" ref="U353:U354" si="381">T353+U349</f>
        <v>1957.9695386537348</v>
      </c>
      <c r="V353" s="166">
        <f t="shared" ref="V353:V354" si="382">U353+V349</f>
        <v>2056.6670582869288</v>
      </c>
      <c r="W353" s="166">
        <f t="shared" ref="W353:W354" si="383">V353+W349</f>
        <v>2153.477456910337</v>
      </c>
      <c r="X353" s="166">
        <f t="shared" ref="X353:X354" si="384">W353+X349</f>
        <v>2248.3998954305798</v>
      </c>
      <c r="Y353" s="138"/>
      <c r="Z353" s="213"/>
      <c r="AA353" s="215"/>
      <c r="AB353" s="214"/>
    </row>
    <row r="354" spans="2:28" s="137" customFormat="1" ht="25.2" customHeight="1" x14ac:dyDescent="0.25">
      <c r="B354" s="167" t="s">
        <v>260</v>
      </c>
      <c r="C354" s="133" t="s">
        <v>907</v>
      </c>
      <c r="D354" s="168">
        <f>D345-(D341+D342)</f>
        <v>0</v>
      </c>
      <c r="E354" s="178">
        <f>D354+E350</f>
        <v>138.11274957160515</v>
      </c>
      <c r="F354" s="166">
        <f t="shared" si="366"/>
        <v>263.47662995198516</v>
      </c>
      <c r="G354" s="166">
        <f t="shared" si="367"/>
        <v>387.5942266454025</v>
      </c>
      <c r="H354" s="166">
        <f t="shared" si="368"/>
        <v>510.37595810058741</v>
      </c>
      <c r="I354" s="166">
        <f t="shared" si="369"/>
        <v>631.74097726975094</v>
      </c>
      <c r="J354" s="166">
        <f t="shared" si="370"/>
        <v>751.6166322407895</v>
      </c>
      <c r="K354" s="166">
        <f t="shared" si="371"/>
        <v>869.93795543845647</v>
      </c>
      <c r="L354" s="166">
        <f t="shared" si="372"/>
        <v>986.64717999477</v>
      </c>
      <c r="M354" s="166">
        <f t="shared" si="373"/>
        <v>1101.6932819543347</v>
      </c>
      <c r="N354" s="166">
        <f t="shared" si="374"/>
        <v>1215.0315470427049</v>
      </c>
      <c r="O354" s="166">
        <f t="shared" si="375"/>
        <v>1326.623160785535</v>
      </c>
      <c r="P354" s="166">
        <f t="shared" si="376"/>
        <v>1436.4348208231797</v>
      </c>
      <c r="Q354" s="166">
        <f t="shared" si="377"/>
        <v>1544.438370319732</v>
      </c>
      <c r="R354" s="166">
        <f t="shared" si="378"/>
        <v>1650.6104514173505</v>
      </c>
      <c r="S354" s="166">
        <f t="shared" si="379"/>
        <v>1754.9321777362245</v>
      </c>
      <c r="T354" s="166">
        <f t="shared" si="380"/>
        <v>1857.3888249677696</v>
      </c>
      <c r="U354" s="166">
        <f t="shared" si="381"/>
        <v>1957.9695386537348</v>
      </c>
      <c r="V354" s="166">
        <f t="shared" si="382"/>
        <v>2056.6670582869288</v>
      </c>
      <c r="W354" s="166">
        <f t="shared" si="383"/>
        <v>2153.477456910337</v>
      </c>
      <c r="X354" s="166">
        <f t="shared" si="384"/>
        <v>2248.3998954305798</v>
      </c>
      <c r="Y354" s="138"/>
      <c r="Z354" s="213"/>
    </row>
    <row r="355" spans="2:28" s="137" customFormat="1" ht="25.2" customHeight="1" x14ac:dyDescent="0.25">
      <c r="B355" s="167" t="s">
        <v>261</v>
      </c>
      <c r="C355" s="133" t="s">
        <v>316</v>
      </c>
      <c r="D355" s="216" t="e">
        <f t="array" aca="1" ref="D355" ca="1">MATCH(TRUE,INDEX($E353:$X353&gt;0,0),0)+(-LOOKUP(9.99999999999999E+307, IF($E353:$X353&lt;0, $E353:$X353))/LOOKUP(9.99999999999999E+307, IF($E353:$X353&lt;0, OFFSET($E349:$X349,0,1))))</f>
        <v>#N/A</v>
      </c>
      <c r="E355" s="171"/>
      <c r="F355" s="171"/>
      <c r="G355" s="171"/>
      <c r="H355" s="171"/>
      <c r="I355" s="171"/>
      <c r="J355" s="171"/>
      <c r="K355" s="171"/>
      <c r="L355" s="171"/>
      <c r="M355" s="171"/>
      <c r="N355" s="171"/>
      <c r="O355" s="171"/>
      <c r="P355" s="171"/>
      <c r="Q355" s="171"/>
      <c r="R355" s="171"/>
      <c r="S355" s="171"/>
      <c r="T355" s="171"/>
      <c r="U355" s="171"/>
      <c r="V355" s="171"/>
      <c r="W355" s="171"/>
      <c r="X355" s="171"/>
      <c r="Y355" s="138"/>
    </row>
    <row r="356" spans="2:28" s="137" customFormat="1" ht="25.2" customHeight="1" x14ac:dyDescent="0.25">
      <c r="B356" s="167" t="s">
        <v>262</v>
      </c>
      <c r="C356" s="133" t="s">
        <v>317</v>
      </c>
      <c r="D356" s="216" t="e">
        <f t="array" aca="1" ref="D356" ca="1">MATCH(TRUE,INDEX($E354:$X354&gt;0,0),0)+(-LOOKUP(9.99999999999999E+307, IF($E354:$X354&lt;0, $E354:$X354))/LOOKUP(9.99999999999999E+307, IF($E354:$X354&lt;0, OFFSET($E350:$X350,0,1))))</f>
        <v>#N/A</v>
      </c>
      <c r="E356" s="171"/>
      <c r="F356" s="171"/>
      <c r="G356" s="171"/>
      <c r="H356" s="171"/>
      <c r="I356" s="171"/>
      <c r="J356" s="171"/>
      <c r="K356" s="171"/>
      <c r="L356" s="171"/>
      <c r="M356" s="171"/>
      <c r="N356" s="171"/>
      <c r="O356" s="171"/>
      <c r="P356" s="171"/>
      <c r="Q356" s="171"/>
      <c r="R356" s="171"/>
      <c r="S356" s="171"/>
      <c r="T356" s="171"/>
      <c r="U356" s="171"/>
      <c r="V356" s="171"/>
      <c r="W356" s="171"/>
      <c r="X356" s="171"/>
      <c r="Y356" s="138"/>
    </row>
    <row r="357" spans="2:28" s="137" customFormat="1" ht="25.2" customHeight="1" x14ac:dyDescent="0.25">
      <c r="B357" s="167" t="s">
        <v>263</v>
      </c>
      <c r="C357" s="133" t="s">
        <v>319</v>
      </c>
      <c r="D357" s="172" t="e">
        <f>IRR(D346:X346)</f>
        <v>#NUM!</v>
      </c>
      <c r="E357" s="180"/>
      <c r="F357" s="171"/>
      <c r="G357" s="171"/>
      <c r="H357" s="171"/>
      <c r="I357" s="171"/>
      <c r="J357" s="171"/>
      <c r="K357" s="171"/>
      <c r="L357" s="171"/>
      <c r="M357" s="171"/>
      <c r="N357" s="171"/>
      <c r="O357" s="171"/>
      <c r="P357" s="171"/>
      <c r="Q357" s="171"/>
      <c r="R357" s="171"/>
      <c r="S357" s="171"/>
      <c r="T357" s="171"/>
      <c r="U357" s="171"/>
      <c r="V357" s="171"/>
      <c r="W357" s="171"/>
      <c r="X357" s="171"/>
      <c r="Y357" s="138"/>
    </row>
    <row r="358" spans="2:28" s="137" customFormat="1" ht="25.2" customHeight="1" x14ac:dyDescent="0.25">
      <c r="B358" s="167" t="s">
        <v>264</v>
      </c>
      <c r="C358" s="133" t="s">
        <v>320</v>
      </c>
      <c r="D358" s="172" t="e">
        <f>IRR(D347:X347)</f>
        <v>#NUM!</v>
      </c>
      <c r="E358" s="171"/>
      <c r="F358" s="171"/>
      <c r="G358" s="171"/>
      <c r="H358" s="171"/>
      <c r="I358" s="171"/>
      <c r="J358" s="171"/>
      <c r="K358" s="171"/>
      <c r="L358" s="171"/>
      <c r="M358" s="171"/>
      <c r="N358" s="171"/>
      <c r="O358" s="171"/>
      <c r="P358" s="171"/>
      <c r="Q358" s="171"/>
      <c r="R358" s="171"/>
      <c r="S358" s="171"/>
      <c r="T358" s="171"/>
      <c r="U358" s="171"/>
      <c r="V358" s="171"/>
      <c r="W358" s="171"/>
      <c r="X358" s="171"/>
      <c r="Y358" s="138"/>
    </row>
    <row r="359" spans="2:28" s="137" customFormat="1" ht="116.85" customHeight="1" x14ac:dyDescent="0.25">
      <c r="B359" s="839" t="s">
        <v>266</v>
      </c>
      <c r="C359" s="839"/>
      <c r="D359" s="839"/>
      <c r="E359" s="839"/>
      <c r="F359" s="839"/>
      <c r="G359" s="839"/>
      <c r="H359" s="839"/>
      <c r="I359" s="839"/>
      <c r="J359" s="839"/>
      <c r="K359" s="839"/>
      <c r="L359" s="839"/>
      <c r="M359" s="839"/>
      <c r="N359" s="839"/>
      <c r="O359" s="839"/>
      <c r="P359" s="839"/>
      <c r="Q359" s="839"/>
      <c r="R359" s="839"/>
      <c r="S359" s="839"/>
      <c r="T359" s="839"/>
      <c r="U359" s="839"/>
      <c r="V359" s="839"/>
      <c r="W359" s="839"/>
      <c r="X359" s="839"/>
      <c r="Y359" s="138"/>
    </row>
    <row r="362" spans="2:28" s="137" customFormat="1" ht="30" customHeight="1" x14ac:dyDescent="0.25">
      <c r="B362" s="217" t="s">
        <v>471</v>
      </c>
      <c r="C362" s="703" t="s">
        <v>473</v>
      </c>
      <c r="D362" s="704"/>
      <c r="E362" s="704"/>
      <c r="F362" s="704"/>
      <c r="G362" s="704"/>
      <c r="H362" s="704"/>
      <c r="I362" s="704"/>
      <c r="J362" s="704"/>
      <c r="K362" s="704"/>
      <c r="L362" s="704"/>
      <c r="M362" s="704"/>
      <c r="N362" s="704"/>
      <c r="O362" s="704"/>
      <c r="P362" s="704"/>
      <c r="Q362" s="704"/>
      <c r="R362" s="704"/>
      <c r="S362" s="704"/>
      <c r="T362" s="704"/>
      <c r="U362" s="704"/>
      <c r="V362" s="704"/>
      <c r="W362" s="704"/>
      <c r="X362" s="705"/>
      <c r="Y362" s="138"/>
    </row>
    <row r="363" spans="2:28" s="137" customFormat="1" ht="30" customHeight="1" x14ac:dyDescent="0.25">
      <c r="B363" s="158" t="s">
        <v>42</v>
      </c>
      <c r="C363" s="28" t="s">
        <v>265</v>
      </c>
      <c r="D363" s="28">
        <v>2023</v>
      </c>
      <c r="E363" s="28">
        <v>2024</v>
      </c>
      <c r="F363" s="28">
        <v>2025</v>
      </c>
      <c r="G363" s="28">
        <v>2026</v>
      </c>
      <c r="H363" s="28">
        <v>2027</v>
      </c>
      <c r="I363" s="28">
        <v>2028</v>
      </c>
      <c r="J363" s="28">
        <v>2029</v>
      </c>
      <c r="K363" s="28">
        <v>2030</v>
      </c>
      <c r="L363" s="28">
        <v>2031</v>
      </c>
      <c r="M363" s="28">
        <v>2032</v>
      </c>
      <c r="N363" s="28">
        <v>2033</v>
      </c>
      <c r="O363" s="28">
        <v>2034</v>
      </c>
      <c r="P363" s="28">
        <v>2035</v>
      </c>
      <c r="Q363" s="28">
        <v>2036</v>
      </c>
      <c r="R363" s="28">
        <v>2037</v>
      </c>
      <c r="S363" s="28">
        <v>2038</v>
      </c>
      <c r="T363" s="28">
        <v>2039</v>
      </c>
      <c r="U363" s="28">
        <v>2040</v>
      </c>
      <c r="V363" s="28">
        <v>2041</v>
      </c>
      <c r="W363" s="28">
        <v>2042</v>
      </c>
      <c r="X363" s="28">
        <v>2043</v>
      </c>
      <c r="Y363" s="138"/>
    </row>
    <row r="364" spans="2:28" s="137" customFormat="1" ht="25.2" customHeight="1" x14ac:dyDescent="0.25">
      <c r="B364" s="161">
        <v>1</v>
      </c>
      <c r="C364" s="162" t="s">
        <v>302</v>
      </c>
      <c r="D364" s="163"/>
      <c r="E364" s="163"/>
      <c r="F364" s="163"/>
      <c r="G364" s="163"/>
      <c r="H364" s="163"/>
      <c r="I364" s="163"/>
      <c r="J364" s="163"/>
      <c r="K364" s="163"/>
      <c r="L364" s="163"/>
      <c r="M364" s="30"/>
      <c r="N364" s="30"/>
      <c r="O364" s="30"/>
      <c r="P364" s="30"/>
      <c r="Q364" s="30"/>
      <c r="R364" s="30"/>
      <c r="S364" s="30"/>
      <c r="T364" s="30"/>
      <c r="U364" s="30"/>
      <c r="V364" s="30"/>
      <c r="W364" s="30"/>
      <c r="X364" s="30"/>
      <c r="Y364" s="138"/>
    </row>
    <row r="365" spans="2:28" s="137" customFormat="1" ht="25.2" customHeight="1" x14ac:dyDescent="0.25">
      <c r="B365" s="164" t="s">
        <v>248</v>
      </c>
      <c r="C365" s="165" t="s">
        <v>896</v>
      </c>
      <c r="D365" s="166">
        <f>Measures_summary!D30</f>
        <v>225458.75</v>
      </c>
      <c r="E365" s="163"/>
      <c r="F365" s="163"/>
      <c r="G365" s="163"/>
      <c r="H365" s="163"/>
      <c r="I365" s="163"/>
      <c r="J365" s="163"/>
      <c r="K365" s="163"/>
      <c r="L365" s="163"/>
      <c r="M365" s="163"/>
      <c r="N365" s="163"/>
      <c r="O365" s="163"/>
      <c r="P365" s="163"/>
      <c r="Q365" s="163"/>
      <c r="R365" s="163"/>
      <c r="S365" s="163"/>
      <c r="T365" s="163"/>
      <c r="U365" s="163"/>
      <c r="V365" s="163"/>
      <c r="W365" s="163"/>
      <c r="X365" s="163"/>
      <c r="Y365" s="138"/>
    </row>
    <row r="366" spans="2:28" s="137" customFormat="1" ht="25.2" customHeight="1" x14ac:dyDescent="0.25">
      <c r="B366" s="164" t="s">
        <v>249</v>
      </c>
      <c r="C366" s="165" t="s">
        <v>897</v>
      </c>
      <c r="D366" s="163"/>
      <c r="E366" s="166">
        <f>4%*$D$5</f>
        <v>3045.5159999999996</v>
      </c>
      <c r="F366" s="166">
        <f t="shared" ref="F366:X366" si="385">4%*$D$5</f>
        <v>3045.5159999999996</v>
      </c>
      <c r="G366" s="166">
        <f t="shared" si="385"/>
        <v>3045.5159999999996</v>
      </c>
      <c r="H366" s="166">
        <f t="shared" si="385"/>
        <v>3045.5159999999996</v>
      </c>
      <c r="I366" s="166">
        <f t="shared" si="385"/>
        <v>3045.5159999999996</v>
      </c>
      <c r="J366" s="166">
        <f t="shared" si="385"/>
        <v>3045.5159999999996</v>
      </c>
      <c r="K366" s="166">
        <f t="shared" si="385"/>
        <v>3045.5159999999996</v>
      </c>
      <c r="L366" s="166">
        <f t="shared" si="385"/>
        <v>3045.5159999999996</v>
      </c>
      <c r="M366" s="166">
        <f t="shared" si="385"/>
        <v>3045.5159999999996</v>
      </c>
      <c r="N366" s="166">
        <f t="shared" si="385"/>
        <v>3045.5159999999996</v>
      </c>
      <c r="O366" s="166">
        <f t="shared" si="385"/>
        <v>3045.5159999999996</v>
      </c>
      <c r="P366" s="166">
        <f t="shared" si="385"/>
        <v>3045.5159999999996</v>
      </c>
      <c r="Q366" s="166">
        <f t="shared" si="385"/>
        <v>3045.5159999999996</v>
      </c>
      <c r="R366" s="166">
        <f t="shared" si="385"/>
        <v>3045.5159999999996</v>
      </c>
      <c r="S366" s="166">
        <f t="shared" si="385"/>
        <v>3045.5159999999996</v>
      </c>
      <c r="T366" s="166">
        <f t="shared" si="385"/>
        <v>3045.5159999999996</v>
      </c>
      <c r="U366" s="166">
        <f t="shared" si="385"/>
        <v>3045.5159999999996</v>
      </c>
      <c r="V366" s="166">
        <f t="shared" si="385"/>
        <v>3045.5159999999996</v>
      </c>
      <c r="W366" s="166">
        <f t="shared" si="385"/>
        <v>3045.5159999999996</v>
      </c>
      <c r="X366" s="166">
        <f t="shared" si="385"/>
        <v>3045.5159999999996</v>
      </c>
      <c r="Y366" s="138"/>
    </row>
    <row r="367" spans="2:28" s="137" customFormat="1" ht="25.2" customHeight="1" x14ac:dyDescent="0.25">
      <c r="B367" s="161">
        <v>2</v>
      </c>
      <c r="C367" s="162" t="s">
        <v>303</v>
      </c>
      <c r="D367" s="163"/>
      <c r="E367" s="163"/>
      <c r="F367" s="163"/>
      <c r="G367" s="163"/>
      <c r="H367" s="163"/>
      <c r="I367" s="163"/>
      <c r="J367" s="163"/>
      <c r="K367" s="163"/>
      <c r="L367" s="163"/>
      <c r="M367" s="163"/>
      <c r="N367" s="163"/>
      <c r="O367" s="163"/>
      <c r="P367" s="163"/>
      <c r="Q367" s="163"/>
      <c r="R367" s="163"/>
      <c r="S367" s="163"/>
      <c r="T367" s="163"/>
      <c r="U367" s="163"/>
      <c r="V367" s="163"/>
      <c r="W367" s="163"/>
      <c r="X367" s="163"/>
      <c r="Y367" s="138"/>
    </row>
    <row r="368" spans="2:28" s="137" customFormat="1" ht="25.2" customHeight="1" x14ac:dyDescent="0.25">
      <c r="B368" s="167" t="s">
        <v>250</v>
      </c>
      <c r="C368" s="133" t="s">
        <v>898</v>
      </c>
      <c r="D368" s="163">
        <v>0</v>
      </c>
      <c r="E368" s="166">
        <f>Measures_summary!F30</f>
        <v>15021.360472314631</v>
      </c>
      <c r="F368" s="166">
        <f t="shared" ref="F368:X368" si="386">$E368*(1.028+0.028*(F363-$F$3))</f>
        <v>14180.164285865012</v>
      </c>
      <c r="G368" s="166">
        <f t="shared" si="386"/>
        <v>14600.762379089821</v>
      </c>
      <c r="H368" s="166">
        <f t="shared" si="386"/>
        <v>15021.360472314631</v>
      </c>
      <c r="I368" s="166">
        <f t="shared" si="386"/>
        <v>15441.95856553944</v>
      </c>
      <c r="J368" s="166">
        <f t="shared" si="386"/>
        <v>15862.556658764252</v>
      </c>
      <c r="K368" s="166">
        <f t="shared" si="386"/>
        <v>16283.154751989061</v>
      </c>
      <c r="L368" s="166">
        <f t="shared" si="386"/>
        <v>16703.752845213872</v>
      </c>
      <c r="M368" s="166">
        <f t="shared" si="386"/>
        <v>17124.350938438682</v>
      </c>
      <c r="N368" s="166">
        <f t="shared" si="386"/>
        <v>17544.949031663491</v>
      </c>
      <c r="O368" s="166">
        <f t="shared" si="386"/>
        <v>17965.547124888297</v>
      </c>
      <c r="P368" s="166">
        <f t="shared" si="386"/>
        <v>18386.145218113106</v>
      </c>
      <c r="Q368" s="166">
        <f t="shared" si="386"/>
        <v>18806.743311337919</v>
      </c>
      <c r="R368" s="166">
        <f t="shared" si="386"/>
        <v>19227.341404562729</v>
      </c>
      <c r="S368" s="166">
        <f t="shared" si="386"/>
        <v>19647.939497787538</v>
      </c>
      <c r="T368" s="166">
        <f t="shared" si="386"/>
        <v>20068.537591012348</v>
      </c>
      <c r="U368" s="166">
        <f t="shared" si="386"/>
        <v>20489.135684237157</v>
      </c>
      <c r="V368" s="166">
        <f t="shared" si="386"/>
        <v>20909.733777461966</v>
      </c>
      <c r="W368" s="166">
        <f t="shared" si="386"/>
        <v>21330.331870686776</v>
      </c>
      <c r="X368" s="166">
        <f t="shared" si="386"/>
        <v>21750.929963911585</v>
      </c>
      <c r="Y368" s="138"/>
    </row>
    <row r="369" spans="2:28" s="137" customFormat="1" ht="25.2" customHeight="1" x14ac:dyDescent="0.25">
      <c r="B369" s="167" t="s">
        <v>251</v>
      </c>
      <c r="C369" s="133" t="s">
        <v>899</v>
      </c>
      <c r="D369" s="163">
        <v>0</v>
      </c>
      <c r="E369" s="166">
        <f>Measures_summary!J30</f>
        <v>4386.2576277307271</v>
      </c>
      <c r="F369" s="166">
        <f t="shared" ref="F369:X369" si="387">$E369*(1.028+0.028*(F363-$F$3))</f>
        <v>4140.6272005778064</v>
      </c>
      <c r="G369" s="166">
        <f t="shared" si="387"/>
        <v>4263.4424141542668</v>
      </c>
      <c r="H369" s="166">
        <f t="shared" si="387"/>
        <v>4386.2576277307271</v>
      </c>
      <c r="I369" s="166">
        <f t="shared" si="387"/>
        <v>4509.0728413071874</v>
      </c>
      <c r="J369" s="166">
        <f t="shared" si="387"/>
        <v>4631.8880548836478</v>
      </c>
      <c r="K369" s="166">
        <f t="shared" si="387"/>
        <v>4754.7032684601081</v>
      </c>
      <c r="L369" s="166">
        <f t="shared" si="387"/>
        <v>4877.5184820365694</v>
      </c>
      <c r="M369" s="166">
        <f t="shared" si="387"/>
        <v>5000.3336956130297</v>
      </c>
      <c r="N369" s="166">
        <f t="shared" si="387"/>
        <v>5123.14890918949</v>
      </c>
      <c r="O369" s="166">
        <f t="shared" si="387"/>
        <v>5245.9641227659495</v>
      </c>
      <c r="P369" s="166">
        <f t="shared" si="387"/>
        <v>5368.7793363424098</v>
      </c>
      <c r="Q369" s="166">
        <f t="shared" si="387"/>
        <v>5491.5945499188701</v>
      </c>
      <c r="R369" s="166">
        <f t="shared" si="387"/>
        <v>5614.4097634953305</v>
      </c>
      <c r="S369" s="166">
        <f t="shared" si="387"/>
        <v>5737.2249770717917</v>
      </c>
      <c r="T369" s="166">
        <f t="shared" si="387"/>
        <v>5860.0401906482521</v>
      </c>
      <c r="U369" s="166">
        <f t="shared" si="387"/>
        <v>5982.8554042247124</v>
      </c>
      <c r="V369" s="166">
        <f t="shared" si="387"/>
        <v>6105.6706178011718</v>
      </c>
      <c r="W369" s="166">
        <f t="shared" si="387"/>
        <v>6228.4858313776322</v>
      </c>
      <c r="X369" s="166">
        <f t="shared" si="387"/>
        <v>6351.3010449540925</v>
      </c>
      <c r="Y369" s="138"/>
    </row>
    <row r="370" spans="2:28" s="137" customFormat="1" ht="25.2" customHeight="1" x14ac:dyDescent="0.25">
      <c r="B370" s="167" t="s">
        <v>252</v>
      </c>
      <c r="C370" s="133" t="s">
        <v>900</v>
      </c>
      <c r="D370" s="168">
        <f t="shared" ref="D370" si="388">D368-(D365+D366)</f>
        <v>-225458.75</v>
      </c>
      <c r="E370" s="168">
        <f>E368-(E365+E366)</f>
        <v>11975.844472314631</v>
      </c>
      <c r="F370" s="168">
        <f t="shared" ref="F370:X370" si="389">F368-(F365+F366)</f>
        <v>11134.648285865012</v>
      </c>
      <c r="G370" s="168">
        <f t="shared" si="389"/>
        <v>11555.246379089822</v>
      </c>
      <c r="H370" s="168">
        <f t="shared" si="389"/>
        <v>11975.844472314631</v>
      </c>
      <c r="I370" s="168">
        <f t="shared" si="389"/>
        <v>12396.442565539441</v>
      </c>
      <c r="J370" s="168">
        <f t="shared" si="389"/>
        <v>12817.040658764252</v>
      </c>
      <c r="K370" s="168">
        <f t="shared" si="389"/>
        <v>13237.638751989061</v>
      </c>
      <c r="L370" s="168">
        <f t="shared" si="389"/>
        <v>13658.236845213873</v>
      </c>
      <c r="M370" s="168">
        <f t="shared" si="389"/>
        <v>14078.834938438682</v>
      </c>
      <c r="N370" s="168">
        <f t="shared" si="389"/>
        <v>14499.433031663491</v>
      </c>
      <c r="O370" s="168">
        <f t="shared" si="389"/>
        <v>14920.031124888297</v>
      </c>
      <c r="P370" s="168">
        <f t="shared" si="389"/>
        <v>15340.629218113107</v>
      </c>
      <c r="Q370" s="168">
        <f t="shared" si="389"/>
        <v>15761.22731133792</v>
      </c>
      <c r="R370" s="168">
        <f t="shared" si="389"/>
        <v>16181.825404562729</v>
      </c>
      <c r="S370" s="168">
        <f t="shared" si="389"/>
        <v>16602.423497787539</v>
      </c>
      <c r="T370" s="168">
        <f t="shared" si="389"/>
        <v>17023.021591012348</v>
      </c>
      <c r="U370" s="168">
        <f t="shared" si="389"/>
        <v>17443.619684237157</v>
      </c>
      <c r="V370" s="168">
        <f t="shared" si="389"/>
        <v>17864.217777461967</v>
      </c>
      <c r="W370" s="168">
        <f t="shared" si="389"/>
        <v>18284.815870686776</v>
      </c>
      <c r="X370" s="168">
        <f t="shared" si="389"/>
        <v>18705.413963911586</v>
      </c>
      <c r="Y370" s="138"/>
    </row>
    <row r="371" spans="2:28" s="137" customFormat="1" ht="25.2" customHeight="1" x14ac:dyDescent="0.25">
      <c r="B371" s="167" t="s">
        <v>253</v>
      </c>
      <c r="C371" s="133" t="s">
        <v>901</v>
      </c>
      <c r="D371" s="168">
        <f t="shared" ref="D371:X371" si="390">D369-(D365+D366)</f>
        <v>-225458.75</v>
      </c>
      <c r="E371" s="168">
        <f t="shared" si="390"/>
        <v>1340.7416277307275</v>
      </c>
      <c r="F371" s="168">
        <f t="shared" si="390"/>
        <v>1095.1112005778068</v>
      </c>
      <c r="G371" s="168">
        <f t="shared" si="390"/>
        <v>1217.9264141542671</v>
      </c>
      <c r="H371" s="168">
        <f t="shared" si="390"/>
        <v>1340.7416277307275</v>
      </c>
      <c r="I371" s="168">
        <f t="shared" si="390"/>
        <v>1463.5568413071878</v>
      </c>
      <c r="J371" s="168">
        <f t="shared" si="390"/>
        <v>1586.3720548836482</v>
      </c>
      <c r="K371" s="168">
        <f t="shared" si="390"/>
        <v>1709.1872684601085</v>
      </c>
      <c r="L371" s="168">
        <f t="shared" si="390"/>
        <v>1832.0024820365697</v>
      </c>
      <c r="M371" s="168">
        <f t="shared" si="390"/>
        <v>1954.8176956130301</v>
      </c>
      <c r="N371" s="168">
        <f t="shared" si="390"/>
        <v>2077.6329091894904</v>
      </c>
      <c r="O371" s="168">
        <f t="shared" si="390"/>
        <v>2200.4481227659498</v>
      </c>
      <c r="P371" s="168">
        <f t="shared" si="390"/>
        <v>2323.2633363424102</v>
      </c>
      <c r="Q371" s="168">
        <f t="shared" si="390"/>
        <v>2446.0785499188705</v>
      </c>
      <c r="R371" s="168">
        <f t="shared" si="390"/>
        <v>2568.8937634953309</v>
      </c>
      <c r="S371" s="168">
        <f t="shared" si="390"/>
        <v>2691.7089770717921</v>
      </c>
      <c r="T371" s="168">
        <f t="shared" si="390"/>
        <v>2814.5241906482524</v>
      </c>
      <c r="U371" s="168">
        <f t="shared" si="390"/>
        <v>2937.3394042247128</v>
      </c>
      <c r="V371" s="168">
        <f t="shared" si="390"/>
        <v>3060.1546178011722</v>
      </c>
      <c r="W371" s="168">
        <f t="shared" si="390"/>
        <v>3182.9698313776325</v>
      </c>
      <c r="X371" s="168">
        <f t="shared" si="390"/>
        <v>3305.7850449540929</v>
      </c>
      <c r="Y371" s="138"/>
    </row>
    <row r="372" spans="2:28" s="137" customFormat="1" ht="25.2" customHeight="1" x14ac:dyDescent="0.25">
      <c r="B372" s="161" t="s">
        <v>254</v>
      </c>
      <c r="C372" s="169" t="s">
        <v>304</v>
      </c>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38"/>
    </row>
    <row r="373" spans="2:28" s="137" customFormat="1" ht="25.2" customHeight="1" x14ac:dyDescent="0.25">
      <c r="B373" s="167" t="s">
        <v>255</v>
      </c>
      <c r="C373" s="133" t="s">
        <v>902</v>
      </c>
      <c r="D373" s="168">
        <f>D370</f>
        <v>-225458.75</v>
      </c>
      <c r="E373" s="178">
        <f t="shared" ref="E373:X373" si="391">E368/POWER(1+0.04,E$3-$D$3)</f>
        <v>14443.615838764068</v>
      </c>
      <c r="F373" s="178">
        <f t="shared" si="391"/>
        <v>13110.358992108922</v>
      </c>
      <c r="G373" s="178">
        <f t="shared" si="391"/>
        <v>12980.024588830134</v>
      </c>
      <c r="H373" s="178">
        <f t="shared" si="391"/>
        <v>12840.321886702806</v>
      </c>
      <c r="I373" s="178">
        <f t="shared" si="391"/>
        <v>12692.164326471619</v>
      </c>
      <c r="J373" s="178">
        <f t="shared" si="391"/>
        <v>12536.408942638835</v>
      </c>
      <c r="K373" s="178">
        <f t="shared" si="391"/>
        <v>12373.859351162311</v>
      </c>
      <c r="L373" s="178">
        <f t="shared" si="391"/>
        <v>12205.268590771793</v>
      </c>
      <c r="M373" s="178">
        <f t="shared" si="391"/>
        <v>12031.341824743915</v>
      </c>
      <c r="N373" s="178">
        <f t="shared" si="391"/>
        <v>11852.738909666745</v>
      </c>
      <c r="O373" s="178">
        <f t="shared" si="391"/>
        <v>11670.076837428729</v>
      </c>
      <c r="P373" s="178">
        <f t="shared" si="391"/>
        <v>11483.93205638407</v>
      </c>
      <c r="Q373" s="178">
        <f t="shared" si="391"/>
        <v>11294.842677376238</v>
      </c>
      <c r="R373" s="178">
        <f t="shared" si="391"/>
        <v>11103.310570042997</v>
      </c>
      <c r="S373" s="178">
        <f t="shared" si="391"/>
        <v>10909.803354579508</v>
      </c>
      <c r="T373" s="178">
        <f t="shared" si="391"/>
        <v>10714.756293900125</v>
      </c>
      <c r="U373" s="178">
        <f t="shared" si="391"/>
        <v>10518.57409091416</v>
      </c>
      <c r="V373" s="178">
        <f t="shared" si="391"/>
        <v>10321.632595415429</v>
      </c>
      <c r="W373" s="178">
        <f t="shared" si="391"/>
        <v>10124.280424879744</v>
      </c>
      <c r="X373" s="178">
        <f t="shared" si="391"/>
        <v>9926.8405032677874</v>
      </c>
      <c r="Y373" s="138"/>
    </row>
    <row r="374" spans="2:28" s="137" customFormat="1" ht="25.2" customHeight="1" x14ac:dyDescent="0.25">
      <c r="B374" s="167" t="s">
        <v>256</v>
      </c>
      <c r="C374" s="133" t="s">
        <v>903</v>
      </c>
      <c r="D374" s="168">
        <f>D371</f>
        <v>-225458.75</v>
      </c>
      <c r="E374" s="178">
        <f t="shared" ref="E374:X374" si="392">E369/POWER(1+0.04,E$3-$D$3)</f>
        <v>4217.5554112795453</v>
      </c>
      <c r="F374" s="178">
        <f t="shared" si="392"/>
        <v>3828.2426040845098</v>
      </c>
      <c r="G374" s="178">
        <f t="shared" si="392"/>
        <v>3790.1847815862775</v>
      </c>
      <c r="H374" s="178">
        <f t="shared" si="392"/>
        <v>3749.3914031203281</v>
      </c>
      <c r="I374" s="178">
        <f t="shared" si="392"/>
        <v>3706.1291946227852</v>
      </c>
      <c r="J374" s="178">
        <f t="shared" si="392"/>
        <v>3660.6484113304973</v>
      </c>
      <c r="K374" s="178">
        <f t="shared" si="392"/>
        <v>3613.1837101929082</v>
      </c>
      <c r="L374" s="178">
        <f t="shared" si="392"/>
        <v>3563.9549795402654</v>
      </c>
      <c r="M374" s="178">
        <f t="shared" si="392"/>
        <v>3513.1681280055882</v>
      </c>
      <c r="N374" s="178">
        <f t="shared" si="392"/>
        <v>3461.0158346073945</v>
      </c>
      <c r="O374" s="178">
        <f t="shared" si="392"/>
        <v>3407.6782618137868</v>
      </c>
      <c r="P374" s="178">
        <f t="shared" si="392"/>
        <v>3353.3237333258894</v>
      </c>
      <c r="Q374" s="178">
        <f t="shared" si="392"/>
        <v>3298.1093782397038</v>
      </c>
      <c r="R374" s="178">
        <f t="shared" si="392"/>
        <v>3242.181743170021</v>
      </c>
      <c r="S374" s="178">
        <f t="shared" si="392"/>
        <v>3185.6773738479478</v>
      </c>
      <c r="T374" s="178">
        <f t="shared" si="392"/>
        <v>3128.7233676347164</v>
      </c>
      <c r="U374" s="178">
        <f t="shared" si="392"/>
        <v>3071.4378983286456</v>
      </c>
      <c r="V374" s="178">
        <f t="shared" si="392"/>
        <v>3013.9307145792022</v>
      </c>
      <c r="W374" s="178">
        <f t="shared" si="392"/>
        <v>2956.3036131620715</v>
      </c>
      <c r="X374" s="178">
        <f t="shared" si="392"/>
        <v>2898.6508883116735</v>
      </c>
      <c r="Y374" s="138"/>
    </row>
    <row r="375" spans="2:28" s="137" customFormat="1" ht="25.2" customHeight="1" x14ac:dyDescent="0.25">
      <c r="B375" s="167" t="s">
        <v>257</v>
      </c>
      <c r="C375" s="133" t="s">
        <v>904</v>
      </c>
      <c r="D375" s="166">
        <f>NPV(0.04,E370:X370)+D370</f>
        <v>-31714.153672770597</v>
      </c>
      <c r="E375" s="179"/>
      <c r="F375" s="171"/>
      <c r="G375" s="171"/>
      <c r="H375" s="171"/>
      <c r="I375" s="171"/>
      <c r="J375" s="171"/>
      <c r="K375" s="171"/>
      <c r="L375" s="171"/>
      <c r="M375" s="171"/>
      <c r="N375" s="171"/>
      <c r="O375" s="171"/>
      <c r="P375" s="171"/>
      <c r="Q375" s="171"/>
      <c r="R375" s="171"/>
      <c r="S375" s="171"/>
      <c r="T375" s="171"/>
      <c r="U375" s="171"/>
      <c r="V375" s="171"/>
      <c r="W375" s="171"/>
      <c r="X375" s="171"/>
      <c r="Y375" s="138"/>
    </row>
    <row r="376" spans="2:28" s="137" customFormat="1" ht="25.2" customHeight="1" x14ac:dyDescent="0.25">
      <c r="B376" s="167" t="s">
        <v>258</v>
      </c>
      <c r="C376" s="133" t="s">
        <v>905</v>
      </c>
      <c r="D376" s="166">
        <f>NPV(0.04,E371:X371)+D371</f>
        <v>-198188.81489803683</v>
      </c>
      <c r="E376" s="171"/>
      <c r="F376" s="171"/>
      <c r="G376" s="171"/>
      <c r="H376" s="171"/>
      <c r="I376" s="171"/>
      <c r="J376" s="171"/>
      <c r="K376" s="171"/>
      <c r="L376" s="171"/>
      <c r="M376" s="171"/>
      <c r="N376" s="171"/>
      <c r="O376" s="171"/>
      <c r="P376" s="171"/>
      <c r="Q376" s="171"/>
      <c r="R376" s="171"/>
      <c r="S376" s="171"/>
      <c r="T376" s="171"/>
      <c r="U376" s="171"/>
      <c r="V376" s="171"/>
      <c r="W376" s="171"/>
      <c r="X376" s="171"/>
      <c r="Y376" s="138"/>
    </row>
    <row r="377" spans="2:28" s="137" customFormat="1" ht="25.2" customHeight="1" x14ac:dyDescent="0.25">
      <c r="B377" s="167" t="s">
        <v>259</v>
      </c>
      <c r="C377" s="133" t="s">
        <v>906</v>
      </c>
      <c r="D377" s="168">
        <f>D368-(D365+D366)</f>
        <v>-225458.75</v>
      </c>
      <c r="E377" s="178">
        <f>D377+E373</f>
        <v>-211015.13416123594</v>
      </c>
      <c r="F377" s="166">
        <f t="shared" ref="F377:F378" si="393">E377+F373</f>
        <v>-197904.77516912701</v>
      </c>
      <c r="G377" s="166">
        <f t="shared" ref="G377:G378" si="394">F377+G373</f>
        <v>-184924.75058029688</v>
      </c>
      <c r="H377" s="166">
        <f t="shared" ref="H377:H378" si="395">G377+H373</f>
        <v>-172084.42869359406</v>
      </c>
      <c r="I377" s="166">
        <f t="shared" ref="I377:I378" si="396">H377+I373</f>
        <v>-159392.26436712244</v>
      </c>
      <c r="J377" s="166">
        <f t="shared" ref="J377:J378" si="397">I377+J373</f>
        <v>-146855.8554244836</v>
      </c>
      <c r="K377" s="166">
        <f t="shared" ref="K377:K378" si="398">J377+K373</f>
        <v>-134481.99607332129</v>
      </c>
      <c r="L377" s="166">
        <f t="shared" ref="L377:L378" si="399">K377+L373</f>
        <v>-122276.7274825495</v>
      </c>
      <c r="M377" s="166">
        <f t="shared" ref="M377:M378" si="400">L377+M373</f>
        <v>-110245.38565780559</v>
      </c>
      <c r="N377" s="166">
        <f t="shared" ref="N377:N378" si="401">M377+N373</f>
        <v>-98392.646748138839</v>
      </c>
      <c r="O377" s="166">
        <f t="shared" ref="O377:O378" si="402">N377+O373</f>
        <v>-86722.56991071011</v>
      </c>
      <c r="P377" s="166">
        <f t="shared" ref="P377:P378" si="403">O377+P373</f>
        <v>-75238.637854326036</v>
      </c>
      <c r="Q377" s="166">
        <f t="shared" ref="Q377:Q378" si="404">P377+Q373</f>
        <v>-63943.795176949796</v>
      </c>
      <c r="R377" s="166">
        <f t="shared" ref="R377:R378" si="405">Q377+R373</f>
        <v>-52840.484606906801</v>
      </c>
      <c r="S377" s="166">
        <f t="shared" ref="S377:S378" si="406">R377+S373</f>
        <v>-41930.681252327297</v>
      </c>
      <c r="T377" s="166">
        <f t="shared" ref="T377:T378" si="407">S377+T373</f>
        <v>-31215.924958427171</v>
      </c>
      <c r="U377" s="166">
        <f t="shared" ref="U377:U378" si="408">T377+U373</f>
        <v>-20697.350867513011</v>
      </c>
      <c r="V377" s="166">
        <f t="shared" ref="V377:V378" si="409">U377+V373</f>
        <v>-10375.718272097582</v>
      </c>
      <c r="W377" s="166">
        <f t="shared" ref="W377:W378" si="410">V377+W373</f>
        <v>-251.43784721783777</v>
      </c>
      <c r="X377" s="166">
        <f t="shared" ref="X377:X378" si="411">W377+X373</f>
        <v>9675.4026560499497</v>
      </c>
      <c r="Y377" s="138"/>
      <c r="Z377" s="213"/>
      <c r="AA377" s="215"/>
      <c r="AB377" s="214"/>
    </row>
    <row r="378" spans="2:28" s="137" customFormat="1" ht="25.2" customHeight="1" x14ac:dyDescent="0.25">
      <c r="B378" s="167" t="s">
        <v>260</v>
      </c>
      <c r="C378" s="133" t="s">
        <v>907</v>
      </c>
      <c r="D378" s="168">
        <f>D369-(D365+D366)</f>
        <v>-225458.75</v>
      </c>
      <c r="E378" s="178">
        <f>D378+E374</f>
        <v>-221241.19458872045</v>
      </c>
      <c r="F378" s="166">
        <f t="shared" si="393"/>
        <v>-217412.95198463593</v>
      </c>
      <c r="G378" s="166">
        <f t="shared" si="394"/>
        <v>-213622.76720304965</v>
      </c>
      <c r="H378" s="166">
        <f t="shared" si="395"/>
        <v>-209873.37579992932</v>
      </c>
      <c r="I378" s="166">
        <f t="shared" si="396"/>
        <v>-206167.24660530654</v>
      </c>
      <c r="J378" s="166">
        <f t="shared" si="397"/>
        <v>-202506.59819397604</v>
      </c>
      <c r="K378" s="166">
        <f t="shared" si="398"/>
        <v>-198893.41448378313</v>
      </c>
      <c r="L378" s="166">
        <f t="shared" si="399"/>
        <v>-195329.45950424287</v>
      </c>
      <c r="M378" s="166">
        <f t="shared" si="400"/>
        <v>-191816.29137623729</v>
      </c>
      <c r="N378" s="166">
        <f t="shared" si="401"/>
        <v>-188355.2755416299</v>
      </c>
      <c r="O378" s="166">
        <f t="shared" si="402"/>
        <v>-184947.59727981611</v>
      </c>
      <c r="P378" s="166">
        <f t="shared" si="403"/>
        <v>-181594.27354649021</v>
      </c>
      <c r="Q378" s="166">
        <f t="shared" si="404"/>
        <v>-178296.16416825051</v>
      </c>
      <c r="R378" s="166">
        <f t="shared" si="405"/>
        <v>-175053.9824250805</v>
      </c>
      <c r="S378" s="166">
        <f t="shared" si="406"/>
        <v>-171868.30505123254</v>
      </c>
      <c r="T378" s="166">
        <f t="shared" si="407"/>
        <v>-168739.58168359782</v>
      </c>
      <c r="U378" s="166">
        <f t="shared" si="408"/>
        <v>-165668.14378526917</v>
      </c>
      <c r="V378" s="166">
        <f t="shared" si="409"/>
        <v>-162654.21307068996</v>
      </c>
      <c r="W378" s="166">
        <f t="shared" si="410"/>
        <v>-159697.90945752789</v>
      </c>
      <c r="X378" s="166">
        <f t="shared" si="411"/>
        <v>-156799.25856921621</v>
      </c>
      <c r="Y378" s="138"/>
      <c r="Z378" s="213"/>
    </row>
    <row r="379" spans="2:28" s="137" customFormat="1" ht="25.2" customHeight="1" x14ac:dyDescent="0.25">
      <c r="B379" s="167" t="s">
        <v>261</v>
      </c>
      <c r="C379" s="133" t="s">
        <v>316</v>
      </c>
      <c r="D379" s="216">
        <f t="array" aca="1" ref="D379" ca="1">MATCH(TRUE,INDEX($E377:$X377&gt;0,0),0)+(-LOOKUP(9.99999999999999E+307, IF($E377:$X377&lt;0, $E377:$X377))/LOOKUP(9.99999999999999E+307, IF($E377:$X377&lt;0, OFFSET($E373:$X373,0,1))))</f>
        <v>20.025329091077374</v>
      </c>
      <c r="E379" s="171"/>
      <c r="F379" s="171"/>
      <c r="G379" s="171"/>
      <c r="H379" s="171"/>
      <c r="I379" s="171"/>
      <c r="J379" s="171"/>
      <c r="K379" s="171"/>
      <c r="L379" s="171"/>
      <c r="M379" s="171"/>
      <c r="N379" s="171"/>
      <c r="O379" s="171"/>
      <c r="P379" s="171"/>
      <c r="Q379" s="171"/>
      <c r="R379" s="171"/>
      <c r="S379" s="171"/>
      <c r="T379" s="171"/>
      <c r="U379" s="171"/>
      <c r="V379" s="171"/>
      <c r="W379" s="171"/>
      <c r="X379" s="171"/>
      <c r="Y379" s="138"/>
    </row>
    <row r="380" spans="2:28" s="137" customFormat="1" ht="25.2" customHeight="1" x14ac:dyDescent="0.25">
      <c r="B380" s="167" t="s">
        <v>262</v>
      </c>
      <c r="C380" s="133" t="s">
        <v>317</v>
      </c>
      <c r="D380" s="216" t="e">
        <f t="array" aca="1" ref="D380" ca="1">MATCH(TRUE,INDEX($E378:$X378&gt;0,0),0)+(-LOOKUP(9.99999999999999E+307, IF($E378:$X378&lt;0, $E378:$X378))/LOOKUP(9.99999999999999E+307, IF($E378:$X378&lt;0, OFFSET($E374:$X374,0,1))))</f>
        <v>#N/A</v>
      </c>
      <c r="E380" s="171"/>
      <c r="F380" s="171"/>
      <c r="G380" s="171"/>
      <c r="H380" s="171"/>
      <c r="I380" s="171"/>
      <c r="J380" s="171"/>
      <c r="K380" s="171"/>
      <c r="L380" s="171"/>
      <c r="M380" s="171"/>
      <c r="N380" s="171"/>
      <c r="O380" s="171"/>
      <c r="P380" s="171"/>
      <c r="Q380" s="171"/>
      <c r="R380" s="171"/>
      <c r="S380" s="171"/>
      <c r="T380" s="171"/>
      <c r="U380" s="171"/>
      <c r="V380" s="171"/>
      <c r="W380" s="171"/>
      <c r="X380" s="171"/>
      <c r="Y380" s="138"/>
    </row>
    <row r="381" spans="2:28" s="137" customFormat="1" ht="25.2" customHeight="1" x14ac:dyDescent="0.25">
      <c r="B381" s="167" t="s">
        <v>263</v>
      </c>
      <c r="C381" s="133" t="s">
        <v>319</v>
      </c>
      <c r="D381" s="172">
        <f>IRR(D370:X370)</f>
        <v>2.4881129835340632E-2</v>
      </c>
      <c r="E381" s="180"/>
      <c r="F381" s="171"/>
      <c r="G381" s="171"/>
      <c r="H381" s="171"/>
      <c r="I381" s="171"/>
      <c r="J381" s="171"/>
      <c r="K381" s="171"/>
      <c r="L381" s="171"/>
      <c r="M381" s="171"/>
      <c r="N381" s="171"/>
      <c r="O381" s="171"/>
      <c r="P381" s="171"/>
      <c r="Q381" s="171"/>
      <c r="R381" s="171"/>
      <c r="S381" s="171"/>
      <c r="T381" s="171"/>
      <c r="U381" s="171"/>
      <c r="V381" s="171"/>
      <c r="W381" s="171"/>
      <c r="X381" s="171"/>
      <c r="Y381" s="138"/>
    </row>
    <row r="382" spans="2:28" s="137" customFormat="1" ht="25.2" customHeight="1" x14ac:dyDescent="0.25">
      <c r="B382" s="167" t="s">
        <v>264</v>
      </c>
      <c r="C382" s="133" t="s">
        <v>320</v>
      </c>
      <c r="D382" s="172">
        <f>IRR(D371:X371)</f>
        <v>-0.11198179158352706</v>
      </c>
      <c r="E382" s="171"/>
      <c r="F382" s="171"/>
      <c r="G382" s="171"/>
      <c r="H382" s="171"/>
      <c r="I382" s="171"/>
      <c r="J382" s="171"/>
      <c r="K382" s="171"/>
      <c r="L382" s="171"/>
      <c r="M382" s="171"/>
      <c r="N382" s="171"/>
      <c r="O382" s="171"/>
      <c r="P382" s="171"/>
      <c r="Q382" s="171"/>
      <c r="R382" s="171"/>
      <c r="S382" s="171"/>
      <c r="T382" s="171"/>
      <c r="U382" s="171"/>
      <c r="V382" s="171"/>
      <c r="W382" s="171"/>
      <c r="X382" s="171"/>
      <c r="Y382" s="138"/>
    </row>
    <row r="383" spans="2:28" s="137" customFormat="1" ht="116.85" customHeight="1" x14ac:dyDescent="0.25">
      <c r="B383" s="839" t="s">
        <v>266</v>
      </c>
      <c r="C383" s="839"/>
      <c r="D383" s="839"/>
      <c r="E383" s="839"/>
      <c r="F383" s="839"/>
      <c r="G383" s="839"/>
      <c r="H383" s="839"/>
      <c r="I383" s="839"/>
      <c r="J383" s="839"/>
      <c r="K383" s="839"/>
      <c r="L383" s="839"/>
      <c r="M383" s="839"/>
      <c r="N383" s="839"/>
      <c r="O383" s="839"/>
      <c r="P383" s="839"/>
      <c r="Q383" s="839"/>
      <c r="R383" s="839"/>
      <c r="S383" s="839"/>
      <c r="T383" s="839"/>
      <c r="U383" s="839"/>
      <c r="V383" s="839"/>
      <c r="W383" s="839"/>
      <c r="X383" s="839"/>
      <c r="Y383" s="138"/>
    </row>
    <row r="386" spans="2:25" s="137" customFormat="1" ht="30" customHeight="1" x14ac:dyDescent="0.25">
      <c r="B386" s="217" t="s">
        <v>471</v>
      </c>
      <c r="C386" s="703" t="str">
        <f>Measures_summary!B31</f>
        <v>Total proposed for implementation</v>
      </c>
      <c r="D386" s="704"/>
      <c r="E386" s="704"/>
      <c r="F386" s="704"/>
      <c r="G386" s="704"/>
      <c r="H386" s="704"/>
      <c r="I386" s="704"/>
      <c r="J386" s="704"/>
      <c r="K386" s="704"/>
      <c r="L386" s="704"/>
      <c r="M386" s="704"/>
      <c r="N386" s="704"/>
      <c r="O386" s="704"/>
      <c r="P386" s="704"/>
      <c r="Q386" s="704"/>
      <c r="R386" s="704"/>
      <c r="S386" s="704"/>
      <c r="T386" s="704"/>
      <c r="U386" s="704"/>
      <c r="V386" s="704"/>
      <c r="W386" s="704"/>
      <c r="X386" s="705"/>
      <c r="Y386" s="138"/>
    </row>
    <row r="387" spans="2:25" s="137" customFormat="1" ht="30" customHeight="1" x14ac:dyDescent="0.25">
      <c r="B387" s="158" t="s">
        <v>42</v>
      </c>
      <c r="C387" s="28" t="s">
        <v>265</v>
      </c>
      <c r="D387" s="28">
        <v>2023</v>
      </c>
      <c r="E387" s="28">
        <v>2024</v>
      </c>
      <c r="F387" s="28">
        <v>2025</v>
      </c>
      <c r="G387" s="28">
        <v>2026</v>
      </c>
      <c r="H387" s="28">
        <v>2027</v>
      </c>
      <c r="I387" s="28">
        <v>2028</v>
      </c>
      <c r="J387" s="28">
        <v>2029</v>
      </c>
      <c r="K387" s="28">
        <v>2030</v>
      </c>
      <c r="L387" s="28">
        <v>2031</v>
      </c>
      <c r="M387" s="28">
        <v>2032</v>
      </c>
      <c r="N387" s="28">
        <v>2033</v>
      </c>
      <c r="O387" s="28">
        <v>2034</v>
      </c>
      <c r="P387" s="28">
        <v>2035</v>
      </c>
      <c r="Q387" s="28">
        <v>2036</v>
      </c>
      <c r="R387" s="28">
        <v>2037</v>
      </c>
      <c r="S387" s="28">
        <v>2038</v>
      </c>
      <c r="T387" s="28">
        <v>2039</v>
      </c>
      <c r="U387" s="28">
        <v>2040</v>
      </c>
      <c r="V387" s="28">
        <v>2041</v>
      </c>
      <c r="W387" s="28">
        <v>2042</v>
      </c>
      <c r="X387" s="28">
        <v>2043</v>
      </c>
      <c r="Y387" s="138"/>
    </row>
    <row r="388" spans="2:25" s="137" customFormat="1" ht="25.2" customHeight="1" x14ac:dyDescent="0.25">
      <c r="B388" s="161">
        <v>1</v>
      </c>
      <c r="C388" s="162" t="s">
        <v>302</v>
      </c>
      <c r="D388" s="163"/>
      <c r="E388" s="163"/>
      <c r="F388" s="163"/>
      <c r="G388" s="163"/>
      <c r="H388" s="163"/>
      <c r="I388" s="163"/>
      <c r="J388" s="163"/>
      <c r="K388" s="163"/>
      <c r="L388" s="163"/>
      <c r="M388" s="30"/>
      <c r="N388" s="30"/>
      <c r="O388" s="30"/>
      <c r="P388" s="30"/>
      <c r="Q388" s="30"/>
      <c r="R388" s="30"/>
      <c r="S388" s="30"/>
      <c r="T388" s="30"/>
      <c r="U388" s="30"/>
      <c r="V388" s="30"/>
      <c r="W388" s="30"/>
      <c r="X388" s="30"/>
      <c r="Y388" s="138"/>
    </row>
    <row r="389" spans="2:25" s="137" customFormat="1" ht="25.2" customHeight="1" x14ac:dyDescent="0.25">
      <c r="B389" s="164" t="s">
        <v>248</v>
      </c>
      <c r="C389" s="165" t="s">
        <v>896</v>
      </c>
      <c r="D389" s="166">
        <f>Measures_summary!D31</f>
        <v>164319.75</v>
      </c>
      <c r="E389" s="163"/>
      <c r="F389" s="163"/>
      <c r="G389" s="163"/>
      <c r="H389" s="163"/>
      <c r="I389" s="163"/>
      <c r="J389" s="163"/>
      <c r="K389" s="163"/>
      <c r="L389" s="163"/>
      <c r="M389" s="163"/>
      <c r="N389" s="163"/>
      <c r="O389" s="163"/>
      <c r="P389" s="163"/>
      <c r="Q389" s="163"/>
      <c r="R389" s="163"/>
      <c r="S389" s="163"/>
      <c r="T389" s="163"/>
      <c r="U389" s="163"/>
      <c r="V389" s="163"/>
      <c r="W389" s="163"/>
      <c r="X389" s="163"/>
      <c r="Y389" s="138"/>
    </row>
    <row r="390" spans="2:25" s="137" customFormat="1" ht="25.2" customHeight="1" x14ac:dyDescent="0.25">
      <c r="B390" s="164" t="s">
        <v>249</v>
      </c>
      <c r="C390" s="165" t="s">
        <v>897</v>
      </c>
      <c r="D390" s="163"/>
      <c r="E390" s="166">
        <f>4%*$D$5</f>
        <v>3045.5159999999996</v>
      </c>
      <c r="F390" s="166">
        <f t="shared" ref="F390:X390" si="412">4%*$D$5</f>
        <v>3045.5159999999996</v>
      </c>
      <c r="G390" s="166">
        <f t="shared" si="412"/>
        <v>3045.5159999999996</v>
      </c>
      <c r="H390" s="166">
        <f t="shared" si="412"/>
        <v>3045.5159999999996</v>
      </c>
      <c r="I390" s="166">
        <f t="shared" si="412"/>
        <v>3045.5159999999996</v>
      </c>
      <c r="J390" s="166">
        <f t="shared" si="412"/>
        <v>3045.5159999999996</v>
      </c>
      <c r="K390" s="166">
        <f t="shared" si="412"/>
        <v>3045.5159999999996</v>
      </c>
      <c r="L390" s="166">
        <f t="shared" si="412"/>
        <v>3045.5159999999996</v>
      </c>
      <c r="M390" s="166">
        <f t="shared" si="412"/>
        <v>3045.5159999999996</v>
      </c>
      <c r="N390" s="166">
        <f t="shared" si="412"/>
        <v>3045.5159999999996</v>
      </c>
      <c r="O390" s="166">
        <f t="shared" si="412"/>
        <v>3045.5159999999996</v>
      </c>
      <c r="P390" s="166">
        <f t="shared" si="412"/>
        <v>3045.5159999999996</v>
      </c>
      <c r="Q390" s="166">
        <f t="shared" si="412"/>
        <v>3045.5159999999996</v>
      </c>
      <c r="R390" s="166">
        <f t="shared" si="412"/>
        <v>3045.5159999999996</v>
      </c>
      <c r="S390" s="166">
        <f t="shared" si="412"/>
        <v>3045.5159999999996</v>
      </c>
      <c r="T390" s="166">
        <f t="shared" si="412"/>
        <v>3045.5159999999996</v>
      </c>
      <c r="U390" s="166">
        <f t="shared" si="412"/>
        <v>3045.5159999999996</v>
      </c>
      <c r="V390" s="166">
        <f t="shared" si="412"/>
        <v>3045.5159999999996</v>
      </c>
      <c r="W390" s="166">
        <f t="shared" si="412"/>
        <v>3045.5159999999996</v>
      </c>
      <c r="X390" s="166">
        <f t="shared" si="412"/>
        <v>3045.5159999999996</v>
      </c>
      <c r="Y390" s="138"/>
    </row>
    <row r="391" spans="2:25" s="137" customFormat="1" ht="25.2" customHeight="1" x14ac:dyDescent="0.25">
      <c r="B391" s="161">
        <v>2</v>
      </c>
      <c r="C391" s="162" t="s">
        <v>303</v>
      </c>
      <c r="D391" s="163"/>
      <c r="E391" s="163"/>
      <c r="F391" s="163"/>
      <c r="G391" s="163"/>
      <c r="H391" s="163"/>
      <c r="I391" s="163"/>
      <c r="J391" s="163"/>
      <c r="K391" s="163"/>
      <c r="L391" s="163"/>
      <c r="M391" s="163"/>
      <c r="N391" s="163"/>
      <c r="O391" s="163"/>
      <c r="P391" s="163"/>
      <c r="Q391" s="163"/>
      <c r="R391" s="163"/>
      <c r="S391" s="163"/>
      <c r="T391" s="163"/>
      <c r="U391" s="163"/>
      <c r="V391" s="163"/>
      <c r="W391" s="163"/>
      <c r="X391" s="163"/>
      <c r="Y391" s="138"/>
    </row>
    <row r="392" spans="2:25" s="137" customFormat="1" ht="25.2" customHeight="1" x14ac:dyDescent="0.25">
      <c r="B392" s="167" t="s">
        <v>250</v>
      </c>
      <c r="C392" s="133" t="s">
        <v>898</v>
      </c>
      <c r="D392" s="163">
        <v>0</v>
      </c>
      <c r="E392" s="166">
        <f ca="1">Measures_summary!F31</f>
        <v>11607.58000073487</v>
      </c>
      <c r="F392" s="166">
        <f t="shared" ref="F392:X392" ca="1" si="413">$E392*(1.028+0.028*(F387-$F$3))</f>
        <v>10957.555520693717</v>
      </c>
      <c r="G392" s="166">
        <f t="shared" ca="1" si="413"/>
        <v>11282.567760714293</v>
      </c>
      <c r="H392" s="166">
        <f t="shared" ca="1" si="413"/>
        <v>11607.58000073487</v>
      </c>
      <c r="I392" s="166">
        <f t="shared" ca="1" si="413"/>
        <v>11932.592240755446</v>
      </c>
      <c r="J392" s="166">
        <f t="shared" ca="1" si="413"/>
        <v>12257.604480776023</v>
      </c>
      <c r="K392" s="166">
        <f t="shared" ca="1" si="413"/>
        <v>12582.616720796599</v>
      </c>
      <c r="L392" s="166">
        <f t="shared" ca="1" si="413"/>
        <v>12907.628960817176</v>
      </c>
      <c r="M392" s="166">
        <f t="shared" ca="1" si="413"/>
        <v>13232.641200837754</v>
      </c>
      <c r="N392" s="166">
        <f t="shared" ca="1" si="413"/>
        <v>13557.65344085833</v>
      </c>
      <c r="O392" s="166">
        <f t="shared" ca="1" si="413"/>
        <v>13882.665680878903</v>
      </c>
      <c r="P392" s="166">
        <f t="shared" ca="1" si="413"/>
        <v>14207.677920899481</v>
      </c>
      <c r="Q392" s="166">
        <f t="shared" ca="1" si="413"/>
        <v>14532.690160920058</v>
      </c>
      <c r="R392" s="166">
        <f t="shared" ca="1" si="413"/>
        <v>14857.702400940634</v>
      </c>
      <c r="S392" s="166">
        <f t="shared" ca="1" si="413"/>
        <v>15182.714640961211</v>
      </c>
      <c r="T392" s="166">
        <f t="shared" ca="1" si="413"/>
        <v>15507.726880981787</v>
      </c>
      <c r="U392" s="166">
        <f t="shared" ca="1" si="413"/>
        <v>15832.739121002363</v>
      </c>
      <c r="V392" s="166">
        <f t="shared" ca="1" si="413"/>
        <v>16157.751361022938</v>
      </c>
      <c r="W392" s="166">
        <f t="shared" ca="1" si="413"/>
        <v>16482.763601043513</v>
      </c>
      <c r="X392" s="166">
        <f t="shared" ca="1" si="413"/>
        <v>16807.775841064093</v>
      </c>
      <c r="Y392" s="138"/>
    </row>
    <row r="393" spans="2:25" s="137" customFormat="1" ht="25.2" customHeight="1" x14ac:dyDescent="0.25">
      <c r="B393" s="167" t="s">
        <v>251</v>
      </c>
      <c r="C393" s="133" t="s">
        <v>899</v>
      </c>
      <c r="D393" s="163">
        <v>0</v>
      </c>
      <c r="E393" s="166">
        <f ca="1">Measures_summary!J31</f>
        <v>3275.0452585279577</v>
      </c>
      <c r="F393" s="166">
        <f t="shared" ref="F393:X393" ca="1" si="414">$E393*(1.028+0.028*(F387-$F$3))</f>
        <v>3091.6427240503922</v>
      </c>
      <c r="G393" s="166">
        <f t="shared" ca="1" si="414"/>
        <v>3183.3439912891749</v>
      </c>
      <c r="H393" s="166">
        <f t="shared" ca="1" si="414"/>
        <v>3275.0452585279577</v>
      </c>
      <c r="I393" s="166">
        <f t="shared" ca="1" si="414"/>
        <v>3366.7465257667404</v>
      </c>
      <c r="J393" s="166">
        <f t="shared" ca="1" si="414"/>
        <v>3458.4477930055236</v>
      </c>
      <c r="K393" s="166">
        <f t="shared" ca="1" si="414"/>
        <v>3550.1490602443064</v>
      </c>
      <c r="L393" s="166">
        <f t="shared" ca="1" si="414"/>
        <v>3641.8503274830891</v>
      </c>
      <c r="M393" s="166">
        <f t="shared" ca="1" si="414"/>
        <v>3733.5515947218723</v>
      </c>
      <c r="N393" s="166">
        <f t="shared" ca="1" si="414"/>
        <v>3825.2528619606551</v>
      </c>
      <c r="O393" s="166">
        <f t="shared" ca="1" si="414"/>
        <v>3916.9541291994374</v>
      </c>
      <c r="P393" s="166">
        <f t="shared" ca="1" si="414"/>
        <v>4008.6553964382201</v>
      </c>
      <c r="Q393" s="166">
        <f t="shared" ca="1" si="414"/>
        <v>4100.3566636770029</v>
      </c>
      <c r="R393" s="166">
        <f t="shared" ca="1" si="414"/>
        <v>4192.0579309157856</v>
      </c>
      <c r="S393" s="166">
        <f t="shared" ca="1" si="414"/>
        <v>4283.7591981545684</v>
      </c>
      <c r="T393" s="166">
        <f t="shared" ca="1" si="414"/>
        <v>4375.460465393352</v>
      </c>
      <c r="U393" s="166">
        <f t="shared" ca="1" si="414"/>
        <v>4467.1617326321348</v>
      </c>
      <c r="V393" s="166">
        <f t="shared" ca="1" si="414"/>
        <v>4558.8629998709166</v>
      </c>
      <c r="W393" s="166">
        <f t="shared" ca="1" si="414"/>
        <v>4650.5642671096994</v>
      </c>
      <c r="X393" s="166">
        <f t="shared" ca="1" si="414"/>
        <v>4742.265534348483</v>
      </c>
      <c r="Y393" s="138"/>
    </row>
    <row r="394" spans="2:25" s="137" customFormat="1" ht="25.2" customHeight="1" x14ac:dyDescent="0.25">
      <c r="B394" s="167" t="s">
        <v>252</v>
      </c>
      <c r="C394" s="133" t="s">
        <v>900</v>
      </c>
      <c r="D394" s="168">
        <f t="shared" ref="D394" si="415">D392-(D389+D390)</f>
        <v>-164319.75</v>
      </c>
      <c r="E394" s="168">
        <f ca="1">E392-(E389+E390)</f>
        <v>8562.0640007348702</v>
      </c>
      <c r="F394" s="168">
        <f t="shared" ref="F394:X394" ca="1" si="416">F392-(F389+F390)</f>
        <v>7912.0395206937173</v>
      </c>
      <c r="G394" s="168">
        <f t="shared" ca="1" si="416"/>
        <v>8237.0517607142938</v>
      </c>
      <c r="H394" s="168">
        <f t="shared" ca="1" si="416"/>
        <v>8562.0640007348702</v>
      </c>
      <c r="I394" s="168">
        <f t="shared" ca="1" si="416"/>
        <v>8887.0762407554466</v>
      </c>
      <c r="J394" s="168">
        <f t="shared" ca="1" si="416"/>
        <v>9212.0884807760231</v>
      </c>
      <c r="K394" s="168">
        <f t="shared" ca="1" si="416"/>
        <v>9537.1007207965995</v>
      </c>
      <c r="L394" s="168">
        <f t="shared" ca="1" si="416"/>
        <v>9862.1129608171759</v>
      </c>
      <c r="M394" s="168">
        <f t="shared" ca="1" si="416"/>
        <v>10187.125200837754</v>
      </c>
      <c r="N394" s="168">
        <f t="shared" ca="1" si="416"/>
        <v>10512.137440858331</v>
      </c>
      <c r="O394" s="168">
        <f t="shared" ca="1" si="416"/>
        <v>10837.149680878903</v>
      </c>
      <c r="P394" s="168">
        <f t="shared" ca="1" si="416"/>
        <v>11162.161920899482</v>
      </c>
      <c r="Q394" s="168">
        <f t="shared" ca="1" si="416"/>
        <v>11487.174160920058</v>
      </c>
      <c r="R394" s="168">
        <f t="shared" ca="1" si="416"/>
        <v>11812.186400940634</v>
      </c>
      <c r="S394" s="168">
        <f t="shared" ca="1" si="416"/>
        <v>12137.198640961211</v>
      </c>
      <c r="T394" s="168">
        <f t="shared" ca="1" si="416"/>
        <v>12462.210880981787</v>
      </c>
      <c r="U394" s="168">
        <f t="shared" ca="1" si="416"/>
        <v>12787.223121002364</v>
      </c>
      <c r="V394" s="168">
        <f t="shared" ca="1" si="416"/>
        <v>13112.235361022938</v>
      </c>
      <c r="W394" s="168">
        <f t="shared" ca="1" si="416"/>
        <v>13437.247601043513</v>
      </c>
      <c r="X394" s="168">
        <f t="shared" ca="1" si="416"/>
        <v>13762.259841064093</v>
      </c>
      <c r="Y394" s="138"/>
    </row>
    <row r="395" spans="2:25" s="137" customFormat="1" ht="25.2" customHeight="1" x14ac:dyDescent="0.25">
      <c r="B395" s="167" t="s">
        <v>253</v>
      </c>
      <c r="C395" s="133" t="s">
        <v>901</v>
      </c>
      <c r="D395" s="168">
        <f t="shared" ref="D395:X395" si="417">D393-(D389+D390)</f>
        <v>-164319.75</v>
      </c>
      <c r="E395" s="168">
        <f t="shared" ca="1" si="417"/>
        <v>229.52925852795806</v>
      </c>
      <c r="F395" s="168">
        <f t="shared" ca="1" si="417"/>
        <v>46.126724050392568</v>
      </c>
      <c r="G395" s="168">
        <f t="shared" ca="1" si="417"/>
        <v>137.82799128917532</v>
      </c>
      <c r="H395" s="168">
        <f t="shared" ca="1" si="417"/>
        <v>229.52925852795806</v>
      </c>
      <c r="I395" s="168">
        <f t="shared" ca="1" si="417"/>
        <v>321.23052576674081</v>
      </c>
      <c r="J395" s="168">
        <f t="shared" ca="1" si="417"/>
        <v>412.93179300552401</v>
      </c>
      <c r="K395" s="168">
        <f t="shared" ca="1" si="417"/>
        <v>504.63306024430676</v>
      </c>
      <c r="L395" s="168">
        <f t="shared" ca="1" si="417"/>
        <v>596.33432748308951</v>
      </c>
      <c r="M395" s="168">
        <f t="shared" ca="1" si="417"/>
        <v>688.03559472187271</v>
      </c>
      <c r="N395" s="168">
        <f t="shared" ca="1" si="417"/>
        <v>779.73686196065546</v>
      </c>
      <c r="O395" s="168">
        <f t="shared" ca="1" si="417"/>
        <v>871.43812919943775</v>
      </c>
      <c r="P395" s="168">
        <f t="shared" ca="1" si="417"/>
        <v>963.1393964382205</v>
      </c>
      <c r="Q395" s="168">
        <f t="shared" ca="1" si="417"/>
        <v>1054.8406636770032</v>
      </c>
      <c r="R395" s="168">
        <f t="shared" ca="1" si="417"/>
        <v>1146.541930915786</v>
      </c>
      <c r="S395" s="168">
        <f t="shared" ca="1" si="417"/>
        <v>1238.2431981545687</v>
      </c>
      <c r="T395" s="168">
        <f t="shared" ca="1" si="417"/>
        <v>1329.9444653933524</v>
      </c>
      <c r="U395" s="168">
        <f t="shared" ca="1" si="417"/>
        <v>1421.6457326321352</v>
      </c>
      <c r="V395" s="168">
        <f t="shared" ca="1" si="417"/>
        <v>1513.346999870917</v>
      </c>
      <c r="W395" s="168">
        <f t="shared" ca="1" si="417"/>
        <v>1605.0482671096997</v>
      </c>
      <c r="X395" s="168">
        <f t="shared" ca="1" si="417"/>
        <v>1696.7495343484834</v>
      </c>
      <c r="Y395" s="138"/>
    </row>
    <row r="396" spans="2:25" s="137" customFormat="1" ht="25.2" customHeight="1" x14ac:dyDescent="0.25">
      <c r="B396" s="161" t="s">
        <v>254</v>
      </c>
      <c r="C396" s="169" t="s">
        <v>304</v>
      </c>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38"/>
    </row>
    <row r="397" spans="2:25" s="137" customFormat="1" ht="25.2" customHeight="1" x14ac:dyDescent="0.25">
      <c r="B397" s="167" t="s">
        <v>255</v>
      </c>
      <c r="C397" s="133" t="s">
        <v>902</v>
      </c>
      <c r="D397" s="168">
        <f>D394</f>
        <v>-164319.75</v>
      </c>
      <c r="E397" s="178">
        <f t="shared" ref="E397:X397" ca="1" si="418">E392/POWER(1+0.04,E$3-$D$3)</f>
        <v>11161.13461609122</v>
      </c>
      <c r="F397" s="178">
        <f t="shared" ca="1" si="418"/>
        <v>10130.876036144338</v>
      </c>
      <c r="G397" s="178">
        <f t="shared" ca="1" si="418"/>
        <v>10030.161655732863</v>
      </c>
      <c r="H397" s="178">
        <f t="shared" ca="1" si="418"/>
        <v>9922.2080323409937</v>
      </c>
      <c r="I397" s="178">
        <f t="shared" ca="1" si="418"/>
        <v>9807.7210165832112</v>
      </c>
      <c r="J397" s="178">
        <f t="shared" ca="1" si="418"/>
        <v>9687.3628718122109</v>
      </c>
      <c r="K397" s="178">
        <f t="shared" ca="1" si="418"/>
        <v>9561.7545828274669</v>
      </c>
      <c r="L397" s="178">
        <f t="shared" ca="1" si="418"/>
        <v>9431.4780514690447</v>
      </c>
      <c r="M397" s="178">
        <f t="shared" ca="1" si="418"/>
        <v>9297.0781843825334</v>
      </c>
      <c r="N397" s="178">
        <f t="shared" ca="1" si="418"/>
        <v>9159.0648780016854</v>
      </c>
      <c r="O397" s="178">
        <f t="shared" ca="1" si="418"/>
        <v>9017.9149055667258</v>
      </c>
      <c r="P397" s="178">
        <f t="shared" ca="1" si="418"/>
        <v>8874.0737107776495</v>
      </c>
      <c r="Q397" s="178">
        <f t="shared" ca="1" si="418"/>
        <v>8727.95711247299</v>
      </c>
      <c r="R397" s="178">
        <f t="shared" ca="1" si="418"/>
        <v>8579.952924524936</v>
      </c>
      <c r="S397" s="178">
        <f t="shared" ca="1" si="418"/>
        <v>8430.4224949508825</v>
      </c>
      <c r="T397" s="178">
        <f t="shared" ca="1" si="418"/>
        <v>8279.7021680592643</v>
      </c>
      <c r="U397" s="178">
        <f t="shared" ca="1" si="418"/>
        <v>8128.1046732732866</v>
      </c>
      <c r="V397" s="178">
        <f t="shared" ca="1" si="418"/>
        <v>7975.9204441098109</v>
      </c>
      <c r="W397" s="178">
        <f t="shared" ca="1" si="418"/>
        <v>7823.4188706315826</v>
      </c>
      <c r="X397" s="178">
        <f t="shared" ca="1" si="418"/>
        <v>7670.8494885390946</v>
      </c>
      <c r="Y397" s="138"/>
    </row>
    <row r="398" spans="2:25" s="137" customFormat="1" ht="25.2" customHeight="1" x14ac:dyDescent="0.25">
      <c r="B398" s="167" t="s">
        <v>256</v>
      </c>
      <c r="C398" s="133" t="s">
        <v>903</v>
      </c>
      <c r="D398" s="168">
        <f>D395</f>
        <v>-164319.75</v>
      </c>
      <c r="E398" s="178">
        <f t="shared" ref="E398:X398" ca="1" si="419">E393/POWER(1+0.04,E$3-$D$3)</f>
        <v>3149.0819793538053</v>
      </c>
      <c r="F398" s="178">
        <f t="shared" ca="1" si="419"/>
        <v>2858.3974889519154</v>
      </c>
      <c r="G398" s="178">
        <f t="shared" ca="1" si="419"/>
        <v>2829.9812166530128</v>
      </c>
      <c r="H398" s="178">
        <f t="shared" ca="1" si="419"/>
        <v>2799.5224128017298</v>
      </c>
      <c r="I398" s="178">
        <f t="shared" ca="1" si="419"/>
        <v>2767.2202311155556</v>
      </c>
      <c r="J398" s="178">
        <f t="shared" ca="1" si="419"/>
        <v>2733.2615272916296</v>
      </c>
      <c r="K398" s="178">
        <f t="shared" ca="1" si="419"/>
        <v>2697.8215104022133</v>
      </c>
      <c r="L398" s="178">
        <f t="shared" ca="1" si="419"/>
        <v>2661.0643623751603</v>
      </c>
      <c r="M398" s="178">
        <f t="shared" ca="1" si="419"/>
        <v>2623.143827050777</v>
      </c>
      <c r="N398" s="178">
        <f t="shared" ca="1" si="419"/>
        <v>2584.2037702389571</v>
      </c>
      <c r="O398" s="178">
        <f t="shared" ca="1" si="419"/>
        <v>2544.3787121359592</v>
      </c>
      <c r="P398" s="178">
        <f t="shared" ca="1" si="419"/>
        <v>2503.7943333985186</v>
      </c>
      <c r="Q398" s="178">
        <f t="shared" ca="1" si="419"/>
        <v>2462.5679561140532</v>
      </c>
      <c r="R398" s="178">
        <f t="shared" ca="1" si="419"/>
        <v>2420.8090008494009</v>
      </c>
      <c r="S398" s="178">
        <f t="shared" ca="1" si="419"/>
        <v>2378.619420906713</v>
      </c>
      <c r="T398" s="178">
        <f t="shared" ca="1" si="419"/>
        <v>2336.0941148636857</v>
      </c>
      <c r="U398" s="178">
        <f t="shared" ca="1" si="419"/>
        <v>2293.3213184261767</v>
      </c>
      <c r="V398" s="178">
        <f t="shared" ca="1" si="419"/>
        <v>2250.3829765742985</v>
      </c>
      <c r="W398" s="178">
        <f t="shared" ca="1" si="419"/>
        <v>2207.3550969382072</v>
      </c>
      <c r="X398" s="178">
        <f t="shared" ca="1" si="419"/>
        <v>2164.3080852969429</v>
      </c>
      <c r="Y398" s="138"/>
    </row>
    <row r="399" spans="2:25" s="137" customFormat="1" ht="25.2" customHeight="1" x14ac:dyDescent="0.25">
      <c r="B399" s="167" t="s">
        <v>257</v>
      </c>
      <c r="C399" s="133" t="s">
        <v>904</v>
      </c>
      <c r="D399" s="166">
        <f ca="1">NPV(0.04,E394:X394)+D394</f>
        <v>-24012.149610528781</v>
      </c>
      <c r="E399" s="179"/>
      <c r="F399" s="171"/>
      <c r="G399" s="171"/>
      <c r="H399" s="171"/>
      <c r="I399" s="171"/>
      <c r="J399" s="171"/>
      <c r="K399" s="171"/>
      <c r="L399" s="171"/>
      <c r="M399" s="171"/>
      <c r="N399" s="171"/>
      <c r="O399" s="171"/>
      <c r="P399" s="171"/>
      <c r="Q399" s="171"/>
      <c r="R399" s="171"/>
      <c r="S399" s="171"/>
      <c r="T399" s="171"/>
      <c r="U399" s="171"/>
      <c r="V399" s="171"/>
      <c r="W399" s="171"/>
      <c r="X399" s="171"/>
      <c r="Y399" s="138"/>
    </row>
    <row r="400" spans="2:25" s="137" customFormat="1" ht="25.2" customHeight="1" x14ac:dyDescent="0.25">
      <c r="B400" s="167" t="s">
        <v>258</v>
      </c>
      <c r="C400" s="133" t="s">
        <v>905</v>
      </c>
      <c r="D400" s="166">
        <f ca="1">NPV(0.04,E395:X395)+D395</f>
        <v>-154443.97698708187</v>
      </c>
      <c r="E400" s="171"/>
      <c r="F400" s="171"/>
      <c r="G400" s="171"/>
      <c r="H400" s="171"/>
      <c r="I400" s="171"/>
      <c r="J400" s="171"/>
      <c r="K400" s="171"/>
      <c r="L400" s="171"/>
      <c r="M400" s="171"/>
      <c r="N400" s="171"/>
      <c r="O400" s="171"/>
      <c r="P400" s="171"/>
      <c r="Q400" s="171"/>
      <c r="R400" s="171"/>
      <c r="S400" s="171"/>
      <c r="T400" s="171"/>
      <c r="U400" s="171"/>
      <c r="V400" s="171"/>
      <c r="W400" s="171"/>
      <c r="X400" s="171"/>
      <c r="Y400" s="138"/>
    </row>
    <row r="401" spans="2:28" s="137" customFormat="1" ht="25.2" customHeight="1" x14ac:dyDescent="0.25">
      <c r="B401" s="167" t="s">
        <v>259</v>
      </c>
      <c r="C401" s="133" t="s">
        <v>906</v>
      </c>
      <c r="D401" s="168">
        <f>D392-(D389+D390)</f>
        <v>-164319.75</v>
      </c>
      <c r="E401" s="178">
        <f ca="1">D401+E397</f>
        <v>-153158.61538390879</v>
      </c>
      <c r="F401" s="166">
        <f t="shared" ref="F401:F402" ca="1" si="420">E401+F397</f>
        <v>-143027.73934776447</v>
      </c>
      <c r="G401" s="166">
        <f t="shared" ref="G401:G402" ca="1" si="421">F401+G397</f>
        <v>-132997.5776920316</v>
      </c>
      <c r="H401" s="166">
        <f t="shared" ref="H401:H402" ca="1" si="422">G401+H397</f>
        <v>-123075.36965969061</v>
      </c>
      <c r="I401" s="166">
        <f t="shared" ref="I401:I402" ca="1" si="423">H401+I397</f>
        <v>-113267.6486431074</v>
      </c>
      <c r="J401" s="166">
        <f t="shared" ref="J401:J402" ca="1" si="424">I401+J397</f>
        <v>-103580.2857712952</v>
      </c>
      <c r="K401" s="166">
        <f t="shared" ref="K401:K402" ca="1" si="425">J401+K397</f>
        <v>-94018.531188467721</v>
      </c>
      <c r="L401" s="166">
        <f t="shared" ref="L401:L402" ca="1" si="426">K401+L397</f>
        <v>-84587.053136998671</v>
      </c>
      <c r="M401" s="166">
        <f t="shared" ref="M401:M402" ca="1" si="427">L401+M397</f>
        <v>-75289.974952616132</v>
      </c>
      <c r="N401" s="166">
        <f t="shared" ref="N401:N402" ca="1" si="428">M401+N397</f>
        <v>-66130.910074614454</v>
      </c>
      <c r="O401" s="166">
        <f t="shared" ref="O401:O402" ca="1" si="429">N401+O397</f>
        <v>-57112.995169047732</v>
      </c>
      <c r="P401" s="166">
        <f t="shared" ref="P401:P402" ca="1" si="430">O401+P397</f>
        <v>-48238.921458270081</v>
      </c>
      <c r="Q401" s="166">
        <f t="shared" ref="Q401:Q402" ca="1" si="431">P401+Q397</f>
        <v>-39510.964345797089</v>
      </c>
      <c r="R401" s="166">
        <f t="shared" ref="R401:R402" ca="1" si="432">Q401+R397</f>
        <v>-30931.011421272153</v>
      </c>
      <c r="S401" s="166">
        <f t="shared" ref="S401:S402" ca="1" si="433">R401+S397</f>
        <v>-22500.58892632127</v>
      </c>
      <c r="T401" s="166">
        <f t="shared" ref="T401:T402" ca="1" si="434">S401+T397</f>
        <v>-14220.886758262006</v>
      </c>
      <c r="U401" s="166">
        <f t="shared" ref="U401:U402" ca="1" si="435">T401+U397</f>
        <v>-6092.7820849887194</v>
      </c>
      <c r="V401" s="166">
        <f t="shared" ref="V401:V402" ca="1" si="436">U401+V397</f>
        <v>1883.1383591210915</v>
      </c>
      <c r="W401" s="166">
        <f t="shared" ref="W401:W402" ca="1" si="437">V401+W397</f>
        <v>9706.5572297526742</v>
      </c>
      <c r="X401" s="166">
        <f t="shared" ref="X401:X402" ca="1" si="438">W401+X397</f>
        <v>17377.406718291768</v>
      </c>
      <c r="Y401" s="138"/>
      <c r="Z401" s="213"/>
      <c r="AA401" s="215"/>
      <c r="AB401" s="214"/>
    </row>
    <row r="402" spans="2:28" s="137" customFormat="1" ht="25.2" customHeight="1" x14ac:dyDescent="0.25">
      <c r="B402" s="167" t="s">
        <v>260</v>
      </c>
      <c r="C402" s="133" t="s">
        <v>907</v>
      </c>
      <c r="D402" s="168">
        <f>D393-(D389+D390)</f>
        <v>-164319.75</v>
      </c>
      <c r="E402" s="178">
        <f ca="1">D402+E398</f>
        <v>-161170.6680206462</v>
      </c>
      <c r="F402" s="166">
        <f t="shared" ca="1" si="420"/>
        <v>-158312.27053169429</v>
      </c>
      <c r="G402" s="166">
        <f t="shared" ca="1" si="421"/>
        <v>-155482.28931504127</v>
      </c>
      <c r="H402" s="166">
        <f t="shared" ca="1" si="422"/>
        <v>-152682.76690223953</v>
      </c>
      <c r="I402" s="166">
        <f t="shared" ca="1" si="423"/>
        <v>-149915.54667112397</v>
      </c>
      <c r="J402" s="166">
        <f t="shared" ca="1" si="424"/>
        <v>-147182.28514383236</v>
      </c>
      <c r="K402" s="166">
        <f t="shared" ca="1" si="425"/>
        <v>-144484.46363343013</v>
      </c>
      <c r="L402" s="166">
        <f t="shared" ca="1" si="426"/>
        <v>-141823.39927105498</v>
      </c>
      <c r="M402" s="166">
        <f t="shared" ca="1" si="427"/>
        <v>-139200.2554440042</v>
      </c>
      <c r="N402" s="166">
        <f t="shared" ca="1" si="428"/>
        <v>-136616.05167376524</v>
      </c>
      <c r="O402" s="166">
        <f t="shared" ca="1" si="429"/>
        <v>-134071.67296162929</v>
      </c>
      <c r="P402" s="166">
        <f t="shared" ca="1" si="430"/>
        <v>-131567.87862823077</v>
      </c>
      <c r="Q402" s="166">
        <f t="shared" ca="1" si="431"/>
        <v>-129105.31067211671</v>
      </c>
      <c r="R402" s="166">
        <f t="shared" ca="1" si="432"/>
        <v>-126684.50167126731</v>
      </c>
      <c r="S402" s="166">
        <f t="shared" ca="1" si="433"/>
        <v>-124305.88225036059</v>
      </c>
      <c r="T402" s="166">
        <f t="shared" ca="1" si="434"/>
        <v>-121969.7881354969</v>
      </c>
      <c r="U402" s="166">
        <f t="shared" ca="1" si="435"/>
        <v>-119676.46681707073</v>
      </c>
      <c r="V402" s="166">
        <f t="shared" ca="1" si="436"/>
        <v>-117426.08384049643</v>
      </c>
      <c r="W402" s="166">
        <f t="shared" ca="1" si="437"/>
        <v>-115218.72874355823</v>
      </c>
      <c r="X402" s="166">
        <f t="shared" ca="1" si="438"/>
        <v>-113054.42065826128</v>
      </c>
      <c r="Y402" s="138"/>
      <c r="Z402" s="213"/>
    </row>
    <row r="403" spans="2:28" s="137" customFormat="1" ht="25.2" customHeight="1" x14ac:dyDescent="0.25">
      <c r="B403" s="167" t="s">
        <v>261</v>
      </c>
      <c r="C403" s="133" t="s">
        <v>316</v>
      </c>
      <c r="D403" s="216">
        <f t="array" aca="1" ref="D403" ca="1">MATCH(TRUE,INDEX($E401:$X401&gt;0,0),0)+(-LOOKUP(9.99999999999999E+307, IF($E401:$X401&lt;0, $E401:$X401))/LOOKUP(9.99999999999999E+307, IF($E401:$X401&lt;0, OFFSET($E397:$X397,0,1))))</f>
        <v>18.7638970483323</v>
      </c>
      <c r="E403" s="171"/>
      <c r="F403" s="171"/>
      <c r="G403" s="171"/>
      <c r="H403" s="171"/>
      <c r="I403" s="171"/>
      <c r="J403" s="171"/>
      <c r="K403" s="171"/>
      <c r="L403" s="171"/>
      <c r="M403" s="171"/>
      <c r="N403" s="171"/>
      <c r="O403" s="171"/>
      <c r="P403" s="171"/>
      <c r="Q403" s="171"/>
      <c r="R403" s="171"/>
      <c r="S403" s="171"/>
      <c r="T403" s="171"/>
      <c r="U403" s="171"/>
      <c r="V403" s="171"/>
      <c r="W403" s="171"/>
      <c r="X403" s="171"/>
      <c r="Y403" s="138"/>
    </row>
    <row r="404" spans="2:28" s="137" customFormat="1" ht="25.2" customHeight="1" x14ac:dyDescent="0.25">
      <c r="B404" s="167" t="s">
        <v>262</v>
      </c>
      <c r="C404" s="133" t="s">
        <v>317</v>
      </c>
      <c r="D404" s="216" t="e">
        <f t="array" aca="1" ref="D404" ca="1">MATCH(TRUE,INDEX($E402:$X402&gt;0,0),0)+(-LOOKUP(9.99999999999999E+307, IF($E402:$X402&lt;0, $E402:$X402))/LOOKUP(9.99999999999999E+307, IF($E402:$X402&lt;0, OFFSET($E398:$X398,0,1))))</f>
        <v>#N/A</v>
      </c>
      <c r="E404" s="171"/>
      <c r="F404" s="171"/>
      <c r="G404" s="171"/>
      <c r="H404" s="171"/>
      <c r="I404" s="171"/>
      <c r="J404" s="171"/>
      <c r="K404" s="171"/>
      <c r="L404" s="171"/>
      <c r="M404" s="171"/>
      <c r="N404" s="171"/>
      <c r="O404" s="171"/>
      <c r="P404" s="171"/>
      <c r="Q404" s="171"/>
      <c r="R404" s="171"/>
      <c r="S404" s="171"/>
      <c r="T404" s="171"/>
      <c r="U404" s="171"/>
      <c r="V404" s="171"/>
      <c r="W404" s="171"/>
      <c r="X404" s="171"/>
      <c r="Y404" s="138"/>
    </row>
    <row r="405" spans="2:28" s="137" customFormat="1" ht="25.2" customHeight="1" x14ac:dyDescent="0.25">
      <c r="B405" s="167" t="s">
        <v>263</v>
      </c>
      <c r="C405" s="133" t="s">
        <v>319</v>
      </c>
      <c r="D405" s="172">
        <f ca="1">IRR(D394:X394)</f>
        <v>2.4352838083299799E-2</v>
      </c>
      <c r="E405" s="180"/>
      <c r="F405" s="171"/>
      <c r="G405" s="171"/>
      <c r="H405" s="171"/>
      <c r="I405" s="171"/>
      <c r="J405" s="171"/>
      <c r="K405" s="171"/>
      <c r="L405" s="171"/>
      <c r="M405" s="171"/>
      <c r="N405" s="171"/>
      <c r="O405" s="171"/>
      <c r="P405" s="171"/>
      <c r="Q405" s="171"/>
      <c r="R405" s="171"/>
      <c r="S405" s="171"/>
      <c r="T405" s="171"/>
      <c r="U405" s="171"/>
      <c r="V405" s="171"/>
      <c r="W405" s="171"/>
      <c r="X405" s="171"/>
      <c r="Y405" s="138"/>
    </row>
    <row r="406" spans="2:28" s="137" customFormat="1" ht="25.2" customHeight="1" x14ac:dyDescent="0.25">
      <c r="B406" s="167" t="s">
        <v>264</v>
      </c>
      <c r="C406" s="133" t="s">
        <v>320</v>
      </c>
      <c r="D406" s="172">
        <f ca="1">IRR(D395:X395)</f>
        <v>-0.13803247403701269</v>
      </c>
      <c r="E406" s="171"/>
      <c r="F406" s="171"/>
      <c r="G406" s="171"/>
      <c r="H406" s="171"/>
      <c r="I406" s="171"/>
      <c r="J406" s="171"/>
      <c r="K406" s="171"/>
      <c r="L406" s="171"/>
      <c r="M406" s="171"/>
      <c r="N406" s="171"/>
      <c r="O406" s="171"/>
      <c r="P406" s="171"/>
      <c r="Q406" s="171"/>
      <c r="R406" s="171"/>
      <c r="S406" s="171"/>
      <c r="T406" s="171"/>
      <c r="U406" s="171"/>
      <c r="V406" s="171"/>
      <c r="W406" s="171"/>
      <c r="X406" s="171"/>
      <c r="Y406" s="138"/>
    </row>
    <row r="407" spans="2:28" s="137" customFormat="1" ht="116.85" customHeight="1" x14ac:dyDescent="0.25">
      <c r="B407" s="839" t="s">
        <v>266</v>
      </c>
      <c r="C407" s="839"/>
      <c r="D407" s="839"/>
      <c r="E407" s="839"/>
      <c r="F407" s="839"/>
      <c r="G407" s="839"/>
      <c r="H407" s="839"/>
      <c r="I407" s="839"/>
      <c r="J407" s="839"/>
      <c r="K407" s="839"/>
      <c r="L407" s="839"/>
      <c r="M407" s="839"/>
      <c r="N407" s="839"/>
      <c r="O407" s="839"/>
      <c r="P407" s="839"/>
      <c r="Q407" s="839"/>
      <c r="R407" s="839"/>
      <c r="S407" s="839"/>
      <c r="T407" s="839"/>
      <c r="U407" s="839"/>
      <c r="V407" s="839"/>
      <c r="W407" s="839"/>
      <c r="X407" s="839"/>
      <c r="Y407" s="138"/>
    </row>
  </sheetData>
  <mergeCells count="34">
    <mergeCell ref="B23:X23"/>
    <mergeCell ref="C2:X2"/>
    <mergeCell ref="C26:X26"/>
    <mergeCell ref="B47:X47"/>
    <mergeCell ref="C50:X50"/>
    <mergeCell ref="B71:X71"/>
    <mergeCell ref="C74:X74"/>
    <mergeCell ref="B95:X95"/>
    <mergeCell ref="C98:X98"/>
    <mergeCell ref="B119:X119"/>
    <mergeCell ref="C122:X122"/>
    <mergeCell ref="B143:X143"/>
    <mergeCell ref="C146:X146"/>
    <mergeCell ref="B167:X167"/>
    <mergeCell ref="C170:X170"/>
    <mergeCell ref="B191:X191"/>
    <mergeCell ref="C194:X194"/>
    <mergeCell ref="B215:X215"/>
    <mergeCell ref="C218:X218"/>
    <mergeCell ref="B239:X239"/>
    <mergeCell ref="C242:X242"/>
    <mergeCell ref="B263:X263"/>
    <mergeCell ref="C266:X266"/>
    <mergeCell ref="B287:X287"/>
    <mergeCell ref="C290:X290"/>
    <mergeCell ref="B311:X311"/>
    <mergeCell ref="C314:X314"/>
    <mergeCell ref="B335:X335"/>
    <mergeCell ref="B407:X407"/>
    <mergeCell ref="C338:X338"/>
    <mergeCell ref="B359:X359"/>
    <mergeCell ref="C362:X362"/>
    <mergeCell ref="B383:X383"/>
    <mergeCell ref="C386:X386"/>
  </mergeCells>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0" tint="-0.499984740745262"/>
  </sheetPr>
  <dimension ref="B3:Q48"/>
  <sheetViews>
    <sheetView zoomScale="128" zoomScaleNormal="200" workbookViewId="0">
      <selection activeCell="D9" sqref="D9"/>
    </sheetView>
  </sheetViews>
  <sheetFormatPr defaultColWidth="8.6640625" defaultRowHeight="14.4" x14ac:dyDescent="0.3"/>
  <cols>
    <col min="1" max="1" width="8.6640625" style="2"/>
    <col min="2" max="2" width="4.33203125" style="2" customWidth="1"/>
    <col min="3" max="3" width="21.44140625" style="2" customWidth="1"/>
    <col min="4" max="5" width="8.6640625" style="2"/>
    <col min="6" max="7" width="8.88671875" style="2" bestFit="1" customWidth="1"/>
    <col min="8" max="8" width="8.6640625" style="2"/>
    <col min="9" max="12" width="0" style="2" hidden="1" customWidth="1"/>
    <col min="13" max="13" width="12" style="2" customWidth="1"/>
    <col min="14" max="14" width="10.44140625" style="2" customWidth="1"/>
    <col min="15" max="15" width="15.5546875" style="2" customWidth="1"/>
    <col min="16" max="16" width="14.44140625" style="2" customWidth="1"/>
    <col min="17" max="17" width="13.5546875" style="2" customWidth="1"/>
    <col min="18" max="19" width="8.6640625" style="2"/>
    <col min="20" max="20" width="8.6640625" style="2" customWidth="1"/>
    <col min="21" max="22" width="8.6640625" style="2"/>
    <col min="23" max="23" width="8.6640625" style="2" customWidth="1"/>
    <col min="24" max="16384" width="8.6640625" style="2"/>
  </cols>
  <sheetData>
    <row r="3" spans="2:17" ht="22.35" customHeight="1" x14ac:dyDescent="0.3">
      <c r="B3" s="576" t="s">
        <v>4</v>
      </c>
      <c r="C3" s="576" t="s">
        <v>5</v>
      </c>
      <c r="D3" s="576" t="s">
        <v>886</v>
      </c>
      <c r="E3" s="576" t="s">
        <v>6</v>
      </c>
      <c r="F3" s="576"/>
      <c r="G3" s="576" t="s">
        <v>7</v>
      </c>
      <c r="H3" s="576"/>
      <c r="I3" s="576" t="s">
        <v>8</v>
      </c>
      <c r="J3" s="576"/>
      <c r="K3" s="576" t="s">
        <v>472</v>
      </c>
      <c r="L3" s="576"/>
      <c r="M3" s="576" t="s">
        <v>9</v>
      </c>
      <c r="N3" s="576" t="s">
        <v>559</v>
      </c>
      <c r="O3" s="576" t="s">
        <v>10</v>
      </c>
      <c r="P3" s="576" t="s">
        <v>11</v>
      </c>
      <c r="Q3" s="576" t="s">
        <v>12</v>
      </c>
    </row>
    <row r="4" spans="2:17" x14ac:dyDescent="0.3">
      <c r="B4" s="576"/>
      <c r="C4" s="576"/>
      <c r="D4" s="576"/>
      <c r="E4" s="256" t="s">
        <v>51</v>
      </c>
      <c r="F4" s="256" t="s">
        <v>887</v>
      </c>
      <c r="G4" s="256" t="s">
        <v>52</v>
      </c>
      <c r="H4" s="256" t="s">
        <v>318</v>
      </c>
      <c r="I4" s="256" t="s">
        <v>51</v>
      </c>
      <c r="J4" s="256" t="s">
        <v>887</v>
      </c>
      <c r="K4" s="256" t="s">
        <v>52</v>
      </c>
      <c r="L4" s="256" t="s">
        <v>318</v>
      </c>
      <c r="M4" s="576"/>
      <c r="N4" s="576"/>
      <c r="O4" s="576"/>
      <c r="P4" s="576"/>
      <c r="Q4" s="576"/>
    </row>
    <row r="5" spans="2:17" ht="20.7" customHeight="1" x14ac:dyDescent="0.3">
      <c r="B5" s="257">
        <v>1</v>
      </c>
      <c r="C5" s="530" t="str">
        <f>'Losses env. after'!L73</f>
        <v>Thermal insulation of walls</v>
      </c>
      <c r="D5" s="258">
        <f>'Losses env. after'!Q76</f>
        <v>76137.899999999994</v>
      </c>
      <c r="E5" s="258">
        <f>('Losses env. before'!G13-'Losses env. after'!G13)</f>
        <v>75263.849378441155</v>
      </c>
      <c r="F5" s="258">
        <f>E5*$D$41</f>
        <v>1647.2285555739652</v>
      </c>
      <c r="G5" s="259">
        <f>D5/F5</f>
        <v>46.221818910533806</v>
      </c>
      <c r="H5" s="301" t="e">
        <f ca="1">'Financial indicators'!D19</f>
        <v>#N/A</v>
      </c>
      <c r="I5" s="543">
        <f>'Breakdown Baseline &amp; Balance'!I4</f>
        <v>20391.504786674697</v>
      </c>
      <c r="J5" s="543">
        <f>I5*$D$41</f>
        <v>446.28954342794015</v>
      </c>
      <c r="K5" s="544">
        <f>D5/J5</f>
        <v>170.6020253470123</v>
      </c>
      <c r="L5" s="544" t="e">
        <f ca="1">'Financial indicators'!D20</f>
        <v>#N/A</v>
      </c>
      <c r="M5" s="257">
        <v>20</v>
      </c>
      <c r="N5" s="301">
        <f>'Financial indicators'!D15</f>
        <v>-44223.418043061509</v>
      </c>
      <c r="O5" s="302">
        <f>'Financial indicators'!D21</f>
        <v>-3.1962807348879019E-2</v>
      </c>
      <c r="P5" s="299">
        <f t="shared" ref="P5:P10" si="0">E5*$D$39/1000</f>
        <v>14.902242176931349</v>
      </c>
      <c r="Q5" s="260" t="s">
        <v>13</v>
      </c>
    </row>
    <row r="6" spans="2:17" ht="20.7" customHeight="1" x14ac:dyDescent="0.3">
      <c r="B6" s="257">
        <v>2</v>
      </c>
      <c r="C6" s="530" t="str">
        <f>'Losses env. after'!L81</f>
        <v>Replacement of windows and doors</v>
      </c>
      <c r="D6" s="258">
        <f>'Losses env. after'!Q81</f>
        <v>16623.75</v>
      </c>
      <c r="E6" s="258">
        <f>'Losses env. before'!G31-'Losses env. after'!G27</f>
        <v>12816.455115800005</v>
      </c>
      <c r="F6" s="258">
        <f>E6*$D$41</f>
        <v>280.5016089706553</v>
      </c>
      <c r="G6" s="259">
        <f t="shared" ref="G6:G15" si="1">D6/F6</f>
        <v>59.264365937163291</v>
      </c>
      <c r="H6" s="259" t="e">
        <f ca="1">'Financial indicators'!D43</f>
        <v>#N/A</v>
      </c>
      <c r="I6" s="543">
        <f>'Breakdown Baseline &amp; Balance'!I7</f>
        <v>-2202.8701930550051</v>
      </c>
      <c r="J6" s="543">
        <f>I6*$D$41</f>
        <v>-48.212132600041258</v>
      </c>
      <c r="K6" s="544">
        <f t="shared" ref="K6:K15" si="2">D6/J6</f>
        <v>-344.80428687748554</v>
      </c>
      <c r="L6" s="544" t="e">
        <f ca="1">'Financial indicators'!D44</f>
        <v>#N/A</v>
      </c>
      <c r="M6" s="300">
        <v>20</v>
      </c>
      <c r="N6" s="301">
        <f>'Financial indicators'!D39</f>
        <v>-53622.525063333087</v>
      </c>
      <c r="O6" s="302" t="e">
        <f>'Financial indicators'!D45</f>
        <v>#NUM!</v>
      </c>
      <c r="P6" s="299">
        <f t="shared" si="0"/>
        <v>2.5376581129284008</v>
      </c>
      <c r="Q6" s="260" t="s">
        <v>13</v>
      </c>
    </row>
    <row r="7" spans="2:17" ht="20.7" customHeight="1" x14ac:dyDescent="0.3">
      <c r="B7" s="257">
        <v>3</v>
      </c>
      <c r="C7" s="530" t="str">
        <f>'Losses env. after'!L77</f>
        <v>Thermal insulation of the roof</v>
      </c>
      <c r="D7" s="258">
        <f>'Losses env. after'!Q79</f>
        <v>15350.099999999999</v>
      </c>
      <c r="E7" s="258">
        <f>'Losses env. before'!G19-'Losses env. after'!G19</f>
        <v>104445.32081504331</v>
      </c>
      <c r="F7" s="258">
        <f>E7*$D$41</f>
        <v>2285.8957701930199</v>
      </c>
      <c r="G7" s="259">
        <f t="shared" si="1"/>
        <v>6.7151355718654857</v>
      </c>
      <c r="H7" s="259">
        <f ca="1">'Financial indicators'!D67</f>
        <v>8.8106104380411505</v>
      </c>
      <c r="I7" s="543">
        <f>'Breakdown Baseline &amp; Balance'!I5</f>
        <v>33965.201833932326</v>
      </c>
      <c r="J7" s="543">
        <f>I7*$D$41</f>
        <v>743.36418903273125</v>
      </c>
      <c r="K7" s="544">
        <f t="shared" si="2"/>
        <v>20.649501585452505</v>
      </c>
      <c r="L7" s="544" t="e">
        <f ca="1">'Financial indicators'!D68</f>
        <v>#N/A</v>
      </c>
      <c r="M7" s="300">
        <v>20</v>
      </c>
      <c r="N7" s="301">
        <f>'Financial indicators'!D63</f>
        <v>-20957.799820216176</v>
      </c>
      <c r="O7" s="302" t="e">
        <f>'Financial indicators'!D69</f>
        <v>#NUM!</v>
      </c>
      <c r="P7" s="299">
        <f t="shared" si="0"/>
        <v>20.680173521378578</v>
      </c>
      <c r="Q7" s="260" t="s">
        <v>13</v>
      </c>
    </row>
    <row r="8" spans="2:17" ht="20.7" customHeight="1" x14ac:dyDescent="0.3">
      <c r="B8" s="257">
        <v>4</v>
      </c>
      <c r="C8" s="222" t="str">
        <f>'Ventilation losses'!D76</f>
        <v>Mechanical ventilation with heat recovery</v>
      </c>
      <c r="D8" s="575">
        <f>'Ventilation losses'!H76</f>
        <v>20139</v>
      </c>
      <c r="E8" s="258">
        <f>('Ventilation losses'!I52+'Ventilation losses'!G15)+'Ventilation losses'!I51</f>
        <v>69138.115096798778</v>
      </c>
      <c r="F8" s="258">
        <f>(('Ventilation losses'!I52+'Ventilation losses'!G15)*D41)+('Ventilation losses'!I51*E41)</f>
        <v>1274.8402540707789</v>
      </c>
      <c r="G8" s="259">
        <f t="shared" si="1"/>
        <v>15.797273372638488</v>
      </c>
      <c r="H8" s="259" t="e">
        <f ca="1">'Financial indicators'!D115</f>
        <v>#N/A</v>
      </c>
      <c r="I8" s="543">
        <f>'Breakdown Baseline &amp; Balance'!I8+'Breakdown Baseline &amp; Balance'!I21</f>
        <v>-11834.129488521176</v>
      </c>
      <c r="J8" s="543">
        <f>('Breakdown Baseline &amp; Balance'!I8*D41)+('Breakdown Baseline &amp; Balance'!I21*E41)</f>
        <v>-497.32253844331461</v>
      </c>
      <c r="K8" s="544">
        <f t="shared" si="2"/>
        <v>-40.494846791053824</v>
      </c>
      <c r="L8" s="544" t="e">
        <f ca="1">'Financial indicators'!D116</f>
        <v>#N/A</v>
      </c>
      <c r="M8" s="300">
        <v>20</v>
      </c>
      <c r="N8" s="301">
        <f>'Financial indicators'!D111</f>
        <v>-41573.074702157624</v>
      </c>
      <c r="O8" s="302" t="e">
        <f>'Financial indicators'!D117</f>
        <v>#NUM!</v>
      </c>
      <c r="P8" s="299">
        <f t="shared" si="0"/>
        <v>13.689346789166159</v>
      </c>
      <c r="Q8" s="260" t="s">
        <v>474</v>
      </c>
    </row>
    <row r="9" spans="2:17" ht="20.7" customHeight="1" x14ac:dyDescent="0.3">
      <c r="B9" s="257">
        <v>5</v>
      </c>
      <c r="C9" s="530" t="str">
        <f>'Heat distr. efficiency'!O37</f>
        <v xml:space="preserve">Heating system replacement </v>
      </c>
      <c r="D9" s="575">
        <f>'Heat distr. efficiency'!R37</f>
        <v>18000</v>
      </c>
      <c r="E9" s="258">
        <f>'Heat distr. efficiency'!L20+'Heat distr. efficiency'!L21</f>
        <v>28166.400000000001</v>
      </c>
      <c r="F9" s="258">
        <f>('Heat distr. efficiency'!L20*D41)+('Heat distr. efficiency'!L21*E41)</f>
        <v>616.45130791049485</v>
      </c>
      <c r="G9" s="259">
        <f t="shared" si="1"/>
        <v>29.199386503067483</v>
      </c>
      <c r="H9" s="259" t="e">
        <f ca="1">'Financial indicators'!D139</f>
        <v>#N/A</v>
      </c>
      <c r="I9" s="543">
        <f>'Breakdown Baseline &amp; Balance'!I10+'Breakdown Baseline &amp; Balance'!I20</f>
        <v>7098.5126977942182</v>
      </c>
      <c r="J9" s="543">
        <f>I9*$D$41</f>
        <v>155.35842126698836</v>
      </c>
      <c r="K9" s="544">
        <f t="shared" si="2"/>
        <v>115.86111556235778</v>
      </c>
      <c r="L9" s="544" t="e">
        <f ca="1">'Financial indicators'!D140</f>
        <v>#N/A</v>
      </c>
      <c r="M9" s="300">
        <v>20</v>
      </c>
      <c r="N9" s="301">
        <f>'Financial indicators'!D135</f>
        <v>-49740.04713779904</v>
      </c>
      <c r="O9" s="302" t="e">
        <f>'Financial indicators'!D141</f>
        <v>#NUM!</v>
      </c>
      <c r="P9" s="299">
        <f t="shared" si="0"/>
        <v>5.5769472000000002</v>
      </c>
      <c r="Q9" s="260" t="s">
        <v>13</v>
      </c>
    </row>
    <row r="10" spans="2:17" ht="20.7" customHeight="1" x14ac:dyDescent="0.3">
      <c r="B10" s="257">
        <v>6</v>
      </c>
      <c r="C10" s="530" t="s">
        <v>944</v>
      </c>
      <c r="D10" s="575">
        <f>IHS!C21</f>
        <v>22770</v>
      </c>
      <c r="E10" s="258">
        <f>'Breakdown Baseline &amp; Balance'!D11-'Breakdown Baseline &amp; Balance'!G11</f>
        <v>179846.86122253738</v>
      </c>
      <c r="F10" s="258">
        <f>E10*$D$41</f>
        <v>3936.1378388516255</v>
      </c>
      <c r="G10" s="259">
        <f t="shared" si="1"/>
        <v>5.7848583896754961</v>
      </c>
      <c r="H10" s="259">
        <f ca="1">'Financial indicators'!D187</f>
        <v>7.6702475227596416</v>
      </c>
      <c r="I10" s="543"/>
      <c r="J10" s="543"/>
      <c r="K10" s="544"/>
      <c r="L10" s="544"/>
      <c r="M10" s="300">
        <v>20</v>
      </c>
      <c r="N10" s="301">
        <f>'Financial indicators'!D183</f>
        <v>-2545.9337024553897</v>
      </c>
      <c r="O10" s="302">
        <f>'Financial indicators'!D189</f>
        <v>2.9448834385935596E-2</v>
      </c>
      <c r="P10" s="299">
        <f t="shared" si="0"/>
        <v>35.609678522062403</v>
      </c>
      <c r="Q10" s="260" t="s">
        <v>13</v>
      </c>
    </row>
    <row r="11" spans="2:17" ht="20.7" customHeight="1" x14ac:dyDescent="0.3">
      <c r="B11" s="257">
        <v>7</v>
      </c>
      <c r="C11" s="530" t="str">
        <f>Lighting!C20</f>
        <v>Installation of LED lighting and replacing of distribution system</v>
      </c>
      <c r="D11" s="575">
        <f>Lighting!F22</f>
        <v>30000</v>
      </c>
      <c r="E11" s="258">
        <f>Lighting!L17</f>
        <v>23380.561068480005</v>
      </c>
      <c r="F11" s="258">
        <f>E11*$E$41</f>
        <v>2138.9402175089826</v>
      </c>
      <c r="G11" s="259">
        <f t="shared" si="1"/>
        <v>14.025637441582218</v>
      </c>
      <c r="H11" s="259">
        <f ca="1">'Financial indicators'!D211</f>
        <v>18.573819759302708</v>
      </c>
      <c r="I11" s="543">
        <f>'Breakdown Baseline &amp; Balance'!I16</f>
        <v>17582.748845033202</v>
      </c>
      <c r="J11" s="543">
        <f>I11*$E$41</f>
        <v>1608.5349076460848</v>
      </c>
      <c r="K11" s="544">
        <f t="shared" si="2"/>
        <v>18.65051225024499</v>
      </c>
      <c r="L11" s="544" t="e">
        <f ca="1">'Financial indicators'!D212</f>
        <v>#N/A</v>
      </c>
      <c r="M11" s="300">
        <v>20</v>
      </c>
      <c r="N11" s="301">
        <f>'Financial indicators'!D207</f>
        <v>-37908.042017725413</v>
      </c>
      <c r="O11" s="302" t="e">
        <f>'Financial indicators'!D213</f>
        <v>#NUM!</v>
      </c>
      <c r="P11" s="299">
        <f>E11*$E$39/1000</f>
        <v>13.677628225060802</v>
      </c>
      <c r="Q11" s="260" t="s">
        <v>474</v>
      </c>
    </row>
    <row r="12" spans="2:17" ht="20.7" customHeight="1" x14ac:dyDescent="0.3">
      <c r="B12" s="257">
        <v>8</v>
      </c>
      <c r="C12" s="530" t="str">
        <f>Equipment!C105</f>
        <v>Replacement of inneficient electrical equipment</v>
      </c>
      <c r="D12" s="258">
        <f>Equipment!H117</f>
        <v>4170</v>
      </c>
      <c r="E12" s="258">
        <f>Equipment!K102</f>
        <v>5953.3958000000021</v>
      </c>
      <c r="F12" s="258">
        <f>E12*$E$41</f>
        <v>544.63867099135086</v>
      </c>
      <c r="G12" s="259">
        <f t="shared" si="1"/>
        <v>7.6564522904878745</v>
      </c>
      <c r="H12" s="259">
        <f ca="1">'Financial indicators'!D235</f>
        <v>9.9831245300271103</v>
      </c>
      <c r="I12" s="543">
        <f>'Breakdown Baseline &amp; Balance'!I17</f>
        <v>2549.910152476361</v>
      </c>
      <c r="J12" s="543">
        <f>I12*$E$41</f>
        <v>233.27521354989997</v>
      </c>
      <c r="K12" s="544">
        <f t="shared" si="2"/>
        <v>17.875881181469776</v>
      </c>
      <c r="L12" s="544" t="e">
        <f ca="1">'Financial indicators'!D236</f>
        <v>#N/A</v>
      </c>
      <c r="M12" s="300">
        <v>20</v>
      </c>
      <c r="N12" s="301">
        <f>'Financial indicators'!D231</f>
        <v>-37034.153277392768</v>
      </c>
      <c r="O12" s="302" t="e">
        <f>'Financial indicators'!D237</f>
        <v>#NUM!</v>
      </c>
      <c r="P12" s="299">
        <f>E12*$E$39/1000</f>
        <v>3.482736543000001</v>
      </c>
      <c r="Q12" s="260" t="s">
        <v>13</v>
      </c>
    </row>
    <row r="13" spans="2:17" ht="20.7" customHeight="1" x14ac:dyDescent="0.3">
      <c r="B13" s="257">
        <v>9</v>
      </c>
      <c r="C13" s="530" t="str">
        <f>PV!B27</f>
        <v>Installation of PV system</v>
      </c>
      <c r="D13" s="258">
        <f>PV!E29</f>
        <v>7268</v>
      </c>
      <c r="E13" s="258">
        <f>PV!C25</f>
        <v>15607.42</v>
      </c>
      <c r="F13" s="258">
        <f t="shared" ref="F13" si="3">E13*$E$41</f>
        <v>1427.824517631404</v>
      </c>
      <c r="G13" s="259">
        <f t="shared" si="1"/>
        <v>5.0902613803387915</v>
      </c>
      <c r="H13" s="301">
        <f ca="1">'Financial indicators'!D283</f>
        <v>6.8292777865704304</v>
      </c>
      <c r="I13" s="543">
        <f>'Breakdown Baseline &amp; Balance'!I22</f>
        <v>15607.42</v>
      </c>
      <c r="J13" s="543">
        <f>I13*$E$41</f>
        <v>1427.824517631404</v>
      </c>
      <c r="K13" s="544">
        <f t="shared" si="2"/>
        <v>5.0902613803387915</v>
      </c>
      <c r="L13" s="544">
        <f ca="1">'Financial indicators'!D284</f>
        <v>6.8292777865704304</v>
      </c>
      <c r="M13" s="300">
        <v>20</v>
      </c>
      <c r="N13" s="301">
        <f>'Financial indicators'!D279</f>
        <v>-26307.363167983607</v>
      </c>
      <c r="O13" s="302" t="e">
        <f>'Financial indicators'!D285</f>
        <v>#NUM!</v>
      </c>
      <c r="P13" s="299">
        <f>E13*$E$39/1000</f>
        <v>9.1303406999999996</v>
      </c>
      <c r="Q13" s="260" t="s">
        <v>13</v>
      </c>
    </row>
    <row r="14" spans="2:17" ht="20.7" customHeight="1" x14ac:dyDescent="0.3">
      <c r="B14" s="257">
        <v>10</v>
      </c>
      <c r="C14" s="530" t="str">
        <f>'Solar DHW'!B16</f>
        <v>Installation of solar DHW system</v>
      </c>
      <c r="D14" s="258">
        <f>'Solar DHW'!E26</f>
        <v>4000</v>
      </c>
      <c r="E14" s="258">
        <f>'Solar DHW'!I13</f>
        <v>7927.7999999999993</v>
      </c>
      <c r="F14" s="258">
        <f>E14*$E$41</f>
        <v>725.26447105788418</v>
      </c>
      <c r="G14" s="259">
        <f t="shared" si="1"/>
        <v>5.5152294916163838</v>
      </c>
      <c r="H14" s="301">
        <f ca="1">'Financial indicators'!D307</f>
        <v>7.3429290397741021</v>
      </c>
      <c r="I14" s="543">
        <f>'Breakdown Baseline &amp; Balance'!I13</f>
        <v>7927.7999999999993</v>
      </c>
      <c r="J14" s="543">
        <f>I14*D41</f>
        <v>173.5082466645656</v>
      </c>
      <c r="K14" s="544">
        <f t="shared" si="2"/>
        <v>23.053659274956484</v>
      </c>
      <c r="L14" s="544" t="e">
        <f ca="1">'Financial indicators'!D308</f>
        <v>#N/A</v>
      </c>
      <c r="M14" s="300">
        <v>20</v>
      </c>
      <c r="N14" s="301">
        <f>'Financial indicators'!D303</f>
        <v>-34036.759944762023</v>
      </c>
      <c r="O14" s="302" t="e">
        <f>'Financial indicators'!D309</f>
        <v>#NUM!</v>
      </c>
      <c r="P14" s="299">
        <f t="shared" ref="P14" si="4">E14*$D$39/1000</f>
        <v>1.5697043999999998</v>
      </c>
      <c r="Q14" s="260" t="s">
        <v>13</v>
      </c>
    </row>
    <row r="15" spans="2:17" ht="20.7" customHeight="1" x14ac:dyDescent="0.3">
      <c r="B15" s="257">
        <v>11</v>
      </c>
      <c r="C15" s="530" t="str">
        <f>EMS!B3</f>
        <v>Implementation of EMS system</v>
      </c>
      <c r="D15" s="258">
        <f>EMS!C14</f>
        <v>0</v>
      </c>
      <c r="E15" s="258">
        <f>EMS!D9+EMS!D10</f>
        <v>4970.9698560020697</v>
      </c>
      <c r="F15" s="258">
        <f>(EMS!D9*D41)+(EMS!D10*E41)</f>
        <v>143.63725955446935</v>
      </c>
      <c r="G15" s="259">
        <f t="shared" si="1"/>
        <v>0</v>
      </c>
      <c r="H15" s="301" t="e">
        <f ca="1">'Financial indicators'!D355</f>
        <v>#N/A</v>
      </c>
      <c r="I15" s="543">
        <f>'Breakdown Baseline &amp; Balance'!I14+'Breakdown Baseline &amp; Balance'!I24</f>
        <v>4970.9698560020697</v>
      </c>
      <c r="J15" s="543">
        <f>('Breakdown Baseline &amp; Balance'!I14*D41)+('Breakdown Baseline &amp; Balance'!I24*E41)</f>
        <v>143.63725955446935</v>
      </c>
      <c r="K15" s="544">
        <f t="shared" si="2"/>
        <v>0</v>
      </c>
      <c r="L15" s="544" t="e">
        <f ca="1">'Financial indicators'!D356</f>
        <v>#N/A</v>
      </c>
      <c r="M15" s="300">
        <v>20</v>
      </c>
      <c r="N15" s="301">
        <f>'Financial indicators'!D351</f>
        <v>-39141.156433390002</v>
      </c>
      <c r="O15" s="302" t="e">
        <f>'Financial indicators'!D357</f>
        <v>#NUM!</v>
      </c>
      <c r="P15" s="299">
        <f>((EMS!D9*D39)+(EMS!D10*E39))/1000</f>
        <v>1.1779940765923249</v>
      </c>
      <c r="Q15" s="260" t="s">
        <v>13</v>
      </c>
    </row>
    <row r="16" spans="2:17" ht="14.85" customHeight="1" x14ac:dyDescent="0.3">
      <c r="B16" s="576" t="s">
        <v>14</v>
      </c>
      <c r="C16" s="576"/>
      <c r="D16" s="576"/>
      <c r="E16" s="576"/>
      <c r="F16" s="576"/>
      <c r="G16" s="576"/>
      <c r="H16" s="576"/>
      <c r="I16" s="576"/>
      <c r="J16" s="576"/>
      <c r="K16" s="576"/>
      <c r="L16" s="576"/>
      <c r="M16" s="576"/>
      <c r="N16" s="576"/>
      <c r="O16" s="576"/>
      <c r="P16" s="576"/>
      <c r="Q16" s="576"/>
    </row>
    <row r="17" spans="2:17" ht="26.4" customHeight="1" x14ac:dyDescent="0.3">
      <c r="B17" s="257">
        <v>1</v>
      </c>
      <c r="C17" s="222" t="str">
        <f>'Non-EE measures'!C4</f>
        <v>Elektr kabellarini va tarqatish shkaflarini almashtirish</v>
      </c>
      <c r="D17" s="258">
        <f>'Non-EE measures'!H4</f>
        <v>4000</v>
      </c>
      <c r="E17" s="488"/>
      <c r="F17" s="488"/>
      <c r="G17" s="488"/>
      <c r="H17" s="488"/>
      <c r="I17" s="488"/>
      <c r="J17" s="488"/>
      <c r="K17" s="488"/>
      <c r="L17" s="488"/>
      <c r="M17" s="488"/>
      <c r="N17" s="488"/>
      <c r="O17" s="488"/>
      <c r="P17" s="488"/>
      <c r="Q17" s="260" t="s">
        <v>474</v>
      </c>
    </row>
    <row r="18" spans="2:17" ht="25.2" customHeight="1" x14ac:dyDescent="0.3">
      <c r="B18" s="257">
        <v>2</v>
      </c>
      <c r="C18" s="222" t="str">
        <f>'Non-EE measures'!C5</f>
        <v>Ichki devorlarni gipslash va bo‘yash (fasad ichki qismi)</v>
      </c>
      <c r="D18" s="258">
        <f>'Non-EE measures'!H5</f>
        <v>5000</v>
      </c>
      <c r="E18" s="488"/>
      <c r="F18" s="488"/>
      <c r="G18" s="488"/>
      <c r="H18" s="488"/>
      <c r="I18" s="488"/>
      <c r="J18" s="488"/>
      <c r="K18" s="488"/>
      <c r="L18" s="488"/>
      <c r="M18" s="488"/>
      <c r="N18" s="488"/>
      <c r="O18" s="488"/>
      <c r="P18" s="488"/>
      <c r="Q18" s="260" t="s">
        <v>474</v>
      </c>
    </row>
    <row r="19" spans="2:17" ht="22.2" customHeight="1" x14ac:dyDescent="0.3">
      <c r="B19" s="257">
        <v>3</v>
      </c>
      <c r="C19" s="222" t="str">
        <f>'Non-EE measures'!C6</f>
        <v>Eski isitish quvurlarini (podvalda) demontaj qilish</v>
      </c>
      <c r="D19" s="258">
        <f>'Non-EE measures'!H6</f>
        <v>2000</v>
      </c>
      <c r="E19" s="488"/>
      <c r="F19" s="488"/>
      <c r="G19" s="488"/>
      <c r="H19" s="488"/>
      <c r="I19" s="488"/>
      <c r="J19" s="488"/>
      <c r="K19" s="488"/>
      <c r="L19" s="488"/>
      <c r="M19" s="488"/>
      <c r="N19" s="488"/>
      <c r="O19" s="488"/>
      <c r="P19" s="488"/>
      <c r="Q19" s="260" t="s">
        <v>474</v>
      </c>
    </row>
    <row r="20" spans="2:17" x14ac:dyDescent="0.3">
      <c r="B20" s="257">
        <v>4</v>
      </c>
      <c r="C20" s="222">
        <f>'Non-EE measures'!C7</f>
        <v>0</v>
      </c>
      <c r="D20" s="258">
        <f>'Non-EE measures'!H7</f>
        <v>0</v>
      </c>
      <c r="E20" s="488"/>
      <c r="F20" s="488"/>
      <c r="G20" s="488"/>
      <c r="H20" s="488"/>
      <c r="I20" s="488"/>
      <c r="J20" s="488"/>
      <c r="K20" s="488"/>
      <c r="L20" s="488"/>
      <c r="M20" s="488"/>
      <c r="N20" s="488"/>
      <c r="O20" s="488"/>
      <c r="P20" s="488"/>
      <c r="Q20" s="260" t="s">
        <v>13</v>
      </c>
    </row>
    <row r="21" spans="2:17" x14ac:dyDescent="0.3">
      <c r="B21" s="257">
        <v>5</v>
      </c>
      <c r="C21" s="222">
        <f>'Non-EE measures'!C8</f>
        <v>0</v>
      </c>
      <c r="D21" s="258">
        <f>'Non-EE measures'!H8</f>
        <v>0</v>
      </c>
      <c r="E21" s="488"/>
      <c r="F21" s="488"/>
      <c r="G21" s="488"/>
      <c r="H21" s="488"/>
      <c r="I21" s="488"/>
      <c r="J21" s="488"/>
      <c r="K21" s="488"/>
      <c r="L21" s="488"/>
      <c r="M21" s="488"/>
      <c r="N21" s="488"/>
      <c r="O21" s="488"/>
      <c r="P21" s="488"/>
      <c r="Q21" s="260" t="s">
        <v>13</v>
      </c>
    </row>
    <row r="22" spans="2:17" x14ac:dyDescent="0.3">
      <c r="B22" s="257">
        <v>6</v>
      </c>
      <c r="C22" s="222">
        <f>'Non-EE measures'!C9</f>
        <v>0</v>
      </c>
      <c r="D22" s="258">
        <f>'Non-EE measures'!H9</f>
        <v>0</v>
      </c>
      <c r="E22" s="488"/>
      <c r="F22" s="488"/>
      <c r="G22" s="488"/>
      <c r="H22" s="488"/>
      <c r="I22" s="488"/>
      <c r="J22" s="488"/>
      <c r="K22" s="488"/>
      <c r="L22" s="488"/>
      <c r="M22" s="488"/>
      <c r="N22" s="488"/>
      <c r="O22" s="488"/>
      <c r="P22" s="488"/>
      <c r="Q22" s="260" t="s">
        <v>13</v>
      </c>
    </row>
    <row r="23" spans="2:17" x14ac:dyDescent="0.3">
      <c r="B23" s="257">
        <v>7</v>
      </c>
      <c r="C23" s="222">
        <f>'Non-EE measures'!C10</f>
        <v>0</v>
      </c>
      <c r="D23" s="258">
        <f>'Non-EE measures'!H10</f>
        <v>0</v>
      </c>
      <c r="E23" s="488"/>
      <c r="F23" s="488"/>
      <c r="G23" s="488"/>
      <c r="H23" s="488"/>
      <c r="I23" s="488"/>
      <c r="J23" s="488"/>
      <c r="K23" s="488"/>
      <c r="L23" s="488"/>
      <c r="M23" s="488"/>
      <c r="N23" s="488"/>
      <c r="O23" s="488"/>
      <c r="P23" s="488"/>
      <c r="Q23" s="260" t="s">
        <v>13</v>
      </c>
    </row>
    <row r="24" spans="2:17" x14ac:dyDescent="0.3">
      <c r="B24" s="257">
        <v>8</v>
      </c>
      <c r="C24" s="222">
        <f>'Non-EE measures'!C11</f>
        <v>0</v>
      </c>
      <c r="D24" s="258">
        <f>'Non-EE measures'!H11</f>
        <v>0</v>
      </c>
      <c r="E24" s="488"/>
      <c r="F24" s="488"/>
      <c r="G24" s="488"/>
      <c r="H24" s="488"/>
      <c r="I24" s="488"/>
      <c r="J24" s="488"/>
      <c r="K24" s="488"/>
      <c r="L24" s="488"/>
      <c r="M24" s="488"/>
      <c r="N24" s="488"/>
      <c r="O24" s="488"/>
      <c r="P24" s="488"/>
      <c r="Q24" s="260" t="s">
        <v>13</v>
      </c>
    </row>
    <row r="25" spans="2:17" x14ac:dyDescent="0.3">
      <c r="B25" s="257">
        <v>9</v>
      </c>
      <c r="C25" s="222">
        <f>'Non-EE measures'!C12</f>
        <v>0</v>
      </c>
      <c r="D25" s="258">
        <f>'Non-EE measures'!H12</f>
        <v>0</v>
      </c>
      <c r="E25" s="488"/>
      <c r="F25" s="488"/>
      <c r="G25" s="488"/>
      <c r="H25" s="488"/>
      <c r="I25" s="488"/>
      <c r="J25" s="488"/>
      <c r="K25" s="488"/>
      <c r="L25" s="488"/>
      <c r="M25" s="488"/>
      <c r="N25" s="488"/>
      <c r="O25" s="488"/>
      <c r="P25" s="488"/>
      <c r="Q25" s="260" t="s">
        <v>13</v>
      </c>
    </row>
    <row r="26" spans="2:17" x14ac:dyDescent="0.3">
      <c r="B26" s="257">
        <v>10</v>
      </c>
      <c r="C26" s="222">
        <f>'Non-EE measures'!C13</f>
        <v>0</v>
      </c>
      <c r="D26" s="258">
        <f>'Non-EE measures'!H13</f>
        <v>0</v>
      </c>
      <c r="E26" s="488"/>
      <c r="F26" s="488"/>
      <c r="G26" s="488"/>
      <c r="H26" s="488"/>
      <c r="I26" s="488"/>
      <c r="J26" s="488"/>
      <c r="K26" s="488"/>
      <c r="L26" s="488"/>
      <c r="M26" s="488"/>
      <c r="N26" s="488"/>
      <c r="O26" s="488"/>
      <c r="P26" s="488"/>
      <c r="Q26" s="260" t="s">
        <v>13</v>
      </c>
    </row>
    <row r="27" spans="2:17" x14ac:dyDescent="0.3">
      <c r="B27" s="257">
        <v>11</v>
      </c>
      <c r="C27" s="222">
        <f>'Non-EE measures'!C14</f>
        <v>0</v>
      </c>
      <c r="D27" s="258">
        <f>'Non-EE measures'!H14</f>
        <v>0</v>
      </c>
      <c r="E27" s="488"/>
      <c r="F27" s="488"/>
      <c r="G27" s="488"/>
      <c r="H27" s="488"/>
      <c r="I27" s="488"/>
      <c r="J27" s="488"/>
      <c r="K27" s="488"/>
      <c r="L27" s="488"/>
      <c r="M27" s="488"/>
      <c r="N27" s="488"/>
      <c r="O27" s="488"/>
      <c r="P27" s="488"/>
      <c r="Q27" s="260" t="s">
        <v>13</v>
      </c>
    </row>
    <row r="28" spans="2:17" x14ac:dyDescent="0.3">
      <c r="B28" s="257">
        <v>12</v>
      </c>
      <c r="C28" s="222">
        <f>'Non-EE measures'!C15</f>
        <v>0</v>
      </c>
      <c r="D28" s="258">
        <f>'Non-EE measures'!H15</f>
        <v>0</v>
      </c>
      <c r="E28" s="488"/>
      <c r="F28" s="488"/>
      <c r="G28" s="488"/>
      <c r="H28" s="488"/>
      <c r="I28" s="488"/>
      <c r="J28" s="488"/>
      <c r="K28" s="488"/>
      <c r="L28" s="488"/>
      <c r="M28" s="488"/>
      <c r="N28" s="488"/>
      <c r="O28" s="488"/>
      <c r="P28" s="488"/>
      <c r="Q28" s="260" t="s">
        <v>13</v>
      </c>
    </row>
    <row r="29" spans="2:17" x14ac:dyDescent="0.3">
      <c r="B29" s="257">
        <v>13</v>
      </c>
      <c r="C29" s="222">
        <f>'Non-EE measures'!C16</f>
        <v>0</v>
      </c>
      <c r="D29" s="258">
        <f>'Non-EE measures'!H16</f>
        <v>0</v>
      </c>
      <c r="E29" s="488"/>
      <c r="F29" s="488"/>
      <c r="G29" s="488"/>
      <c r="H29" s="488"/>
      <c r="I29" s="488"/>
      <c r="J29" s="488"/>
      <c r="K29" s="488"/>
      <c r="L29" s="488"/>
      <c r="M29" s="488"/>
      <c r="N29" s="488"/>
      <c r="O29" s="488"/>
      <c r="P29" s="488"/>
      <c r="Q29" s="260" t="s">
        <v>13</v>
      </c>
    </row>
    <row r="30" spans="2:17" x14ac:dyDescent="0.3">
      <c r="B30" s="577" t="s">
        <v>0</v>
      </c>
      <c r="C30" s="577"/>
      <c r="D30" s="261">
        <f>SUM(D5:D29)</f>
        <v>225458.75</v>
      </c>
      <c r="E30" s="261">
        <f>SUM(E5:E15)</f>
        <v>527517.14835310273</v>
      </c>
      <c r="F30" s="261">
        <f>SUM(F5:F15)</f>
        <v>15021.360472314631</v>
      </c>
      <c r="G30" s="262">
        <f>IF(D30&gt;0,SUM(D5:D15)/F30,"")</f>
        <v>14.276919217487775</v>
      </c>
      <c r="H30" s="263">
        <f ca="1">'Financial indicators'!D379</f>
        <v>20.025329091077374</v>
      </c>
      <c r="I30" s="261">
        <f>SUM(I5:I15)</f>
        <v>96057.068490336707</v>
      </c>
      <c r="J30" s="261">
        <f>SUM(J5:J15)</f>
        <v>4386.2576277307271</v>
      </c>
      <c r="K30" s="262">
        <f>IF(D30&gt;0,D30/J30,"")</f>
        <v>51.401164531378264</v>
      </c>
      <c r="L30" s="263" t="e">
        <f ca="1">'Financial indicators'!D380</f>
        <v>#N/A</v>
      </c>
      <c r="M30" s="578" t="e">
        <f>#REF!</f>
        <v>#REF!</v>
      </c>
      <c r="N30" s="261">
        <f>'Financial indicators'!D375</f>
        <v>-31714.153672770597</v>
      </c>
      <c r="O30" s="264">
        <f>'Financial indicators'!D381</f>
        <v>2.4881129835340632E-2</v>
      </c>
      <c r="P30" s="265">
        <f>SUM(P5:P15)</f>
        <v>122.03445026712004</v>
      </c>
      <c r="Q30" s="579"/>
    </row>
    <row r="31" spans="2:17" x14ac:dyDescent="0.3">
      <c r="B31" s="580" t="s">
        <v>15</v>
      </c>
      <c r="C31" s="580"/>
      <c r="D31" s="261">
        <f>SUMIF(Q5:Q29,"Yes",D5:D29)</f>
        <v>164319.75</v>
      </c>
      <c r="E31" s="261">
        <f ca="1">SUMIF(Q5:Q29,"Yes",E5:E15)</f>
        <v>434998.47218782391</v>
      </c>
      <c r="F31" s="261">
        <f ca="1">SUMIF(Q5:Q29,"Yes",F5:F15)</f>
        <v>11607.58000073487</v>
      </c>
      <c r="G31" s="262">
        <f ca="1">IF(D31&gt;0, SUMIF(Q5:Q15,"Yes",D5:D15)/F31, "")</f>
        <v>14.156245314664814</v>
      </c>
      <c r="H31" s="263">
        <f ca="1">'Financial indicators'!D403</f>
        <v>18.7638970483323</v>
      </c>
      <c r="I31" s="261">
        <f ca="1">SUMIF(Q5:Q29,"Yes",I5:I15)</f>
        <v>90308.449133824673</v>
      </c>
      <c r="J31" s="261">
        <f ca="1">SUMIF(Q5:Q29,"Yes",J5:J15)</f>
        <v>3275.0452585279577</v>
      </c>
      <c r="K31" s="262">
        <f ca="1">IF(D31&gt;0,D31/J31,"")</f>
        <v>50.173276101184989</v>
      </c>
      <c r="L31" s="263" t="e">
        <f ca="1">'Financial indicators'!D404</f>
        <v>#N/A</v>
      </c>
      <c r="M31" s="578"/>
      <c r="N31" s="261">
        <f ca="1">'Financial indicators'!D399</f>
        <v>-24012.149610528781</v>
      </c>
      <c r="O31" s="264">
        <f ca="1">'Financial indicators'!D405</f>
        <v>2.4352838083299799E-2</v>
      </c>
      <c r="P31" s="265">
        <f ca="1">SUMIF(Q5:Q29,"Yes",P5:P15)</f>
        <v>94.66747525289307</v>
      </c>
      <c r="Q31" s="579"/>
    </row>
    <row r="38" spans="3:15" ht="40.799999999999997" x14ac:dyDescent="0.3">
      <c r="C38" s="256"/>
      <c r="D38" s="256" t="s">
        <v>1164</v>
      </c>
      <c r="E38" s="256" t="s">
        <v>422</v>
      </c>
      <c r="F38" s="256" t="s">
        <v>1160</v>
      </c>
      <c r="G38" s="256" t="s">
        <v>1161</v>
      </c>
      <c r="N38" s="256" t="s">
        <v>924</v>
      </c>
      <c r="O38" s="256" t="s">
        <v>925</v>
      </c>
    </row>
    <row r="39" spans="3:15" ht="20.399999999999999" x14ac:dyDescent="0.3">
      <c r="C39" s="266" t="s">
        <v>421</v>
      </c>
      <c r="D39" s="76">
        <v>0.19800000000000001</v>
      </c>
      <c r="E39" s="76">
        <v>0.58499999999999996</v>
      </c>
      <c r="F39" s="76" t="s">
        <v>1162</v>
      </c>
      <c r="G39" s="76">
        <v>0.38</v>
      </c>
      <c r="N39" s="76">
        <v>1</v>
      </c>
      <c r="O39" s="76">
        <v>12024</v>
      </c>
    </row>
    <row r="40" spans="3:15" x14ac:dyDescent="0.3">
      <c r="C40" s="266" t="s">
        <v>423</v>
      </c>
      <c r="D40" s="76">
        <v>1.36</v>
      </c>
      <c r="E40" s="76">
        <v>2.7890000000000001</v>
      </c>
      <c r="F40" s="76">
        <v>1.36</v>
      </c>
      <c r="G40" s="76">
        <v>1</v>
      </c>
    </row>
    <row r="41" spans="3:15" x14ac:dyDescent="0.3">
      <c r="C41" s="266" t="s">
        <v>913</v>
      </c>
      <c r="D41" s="549">
        <f>(D47*1)/(9.5*O39)</f>
        <v>2.1886052456490529E-2</v>
      </c>
      <c r="E41" s="548">
        <f>E46</f>
        <v>9.1483699268130408E-2</v>
      </c>
      <c r="F41" s="549">
        <f>(D45/1163)/O39</f>
        <v>5.0057523245283578E-2</v>
      </c>
      <c r="G41" s="549">
        <f>((D48/5.5)/1163)/O39</f>
        <v>1.5602344907620858E-2</v>
      </c>
    </row>
    <row r="44" spans="3:15" ht="20.399999999999999" x14ac:dyDescent="0.3">
      <c r="C44" s="378"/>
      <c r="D44" s="377" t="s">
        <v>935</v>
      </c>
      <c r="E44" s="377" t="s">
        <v>923</v>
      </c>
      <c r="F44" s="378" t="s">
        <v>398</v>
      </c>
      <c r="G44" s="378"/>
      <c r="H44" s="378"/>
      <c r="I44" s="378"/>
      <c r="J44" s="378"/>
      <c r="K44" s="378"/>
    </row>
    <row r="45" spans="3:15" x14ac:dyDescent="0.3">
      <c r="C45" s="381" t="s">
        <v>928</v>
      </c>
      <c r="D45" s="380">
        <v>700000</v>
      </c>
      <c r="E45" s="547">
        <f xml:space="preserve"> (D45 *1) / O39</f>
        <v>58.216899534264805</v>
      </c>
      <c r="F45" s="379" t="s">
        <v>934</v>
      </c>
      <c r="G45" s="378"/>
      <c r="H45" s="378"/>
      <c r="I45" s="378"/>
      <c r="J45" s="378" t="s">
        <v>676</v>
      </c>
      <c r="K45" s="378"/>
    </row>
    <row r="46" spans="3:15" x14ac:dyDescent="0.3">
      <c r="C46" s="378" t="s">
        <v>929</v>
      </c>
      <c r="D46" s="380">
        <v>1100</v>
      </c>
      <c r="E46" s="547">
        <f xml:space="preserve"> (D46 * 1) / O39</f>
        <v>9.1483699268130408E-2</v>
      </c>
      <c r="F46" s="378" t="s">
        <v>922</v>
      </c>
      <c r="G46" s="487"/>
      <c r="H46" s="487"/>
      <c r="I46" s="487"/>
      <c r="J46" s="487" t="s">
        <v>832</v>
      </c>
      <c r="K46" s="378"/>
    </row>
    <row r="47" spans="3:15" x14ac:dyDescent="0.3">
      <c r="C47" s="381" t="s">
        <v>930</v>
      </c>
      <c r="D47" s="380">
        <v>2500</v>
      </c>
      <c r="E47" s="574">
        <f>(D47*1)/O39</f>
        <v>0.20791749833666001</v>
      </c>
      <c r="F47" s="378" t="s">
        <v>926</v>
      </c>
      <c r="G47" s="378"/>
      <c r="H47" s="378"/>
      <c r="I47" s="378"/>
      <c r="J47" s="378"/>
      <c r="K47" s="378"/>
    </row>
    <row r="48" spans="3:15" x14ac:dyDescent="0.3">
      <c r="C48" s="381" t="s">
        <v>1163</v>
      </c>
      <c r="D48" s="380">
        <v>1200000</v>
      </c>
      <c r="E48" s="574">
        <f>D48/O39</f>
        <v>99.800399201596804</v>
      </c>
    </row>
  </sheetData>
  <mergeCells count="17">
    <mergeCell ref="I3:J3"/>
    <mergeCell ref="B3:B4"/>
    <mergeCell ref="C3:C4"/>
    <mergeCell ref="D3:D4"/>
    <mergeCell ref="E3:F3"/>
    <mergeCell ref="G3:H3"/>
    <mergeCell ref="B16:Q16"/>
    <mergeCell ref="B30:C30"/>
    <mergeCell ref="M30:M31"/>
    <mergeCell ref="Q30:Q31"/>
    <mergeCell ref="B31:C31"/>
    <mergeCell ref="P3:P4"/>
    <mergeCell ref="Q3:Q4"/>
    <mergeCell ref="K3:L3"/>
    <mergeCell ref="M3:M4"/>
    <mergeCell ref="N3:N4"/>
    <mergeCell ref="O3:O4"/>
  </mergeCells>
  <conditionalFormatting sqref="Q5:Q15">
    <cfRule type="cellIs" dxfId="3" priority="1" operator="equal">
      <formula>"No"</formula>
    </cfRule>
    <cfRule type="cellIs" dxfId="2" priority="2" operator="equal">
      <formula>"Yes"</formula>
    </cfRule>
  </conditionalFormatting>
  <conditionalFormatting sqref="Q17:Q29">
    <cfRule type="cellIs" dxfId="1" priority="3" operator="equal">
      <formula>"No"</formula>
    </cfRule>
    <cfRule type="cellIs" dxfId="0" priority="4" operator="equal">
      <formula>"Yes"</formula>
    </cfRule>
  </conditionalFormatting>
  <dataValidations count="1">
    <dataValidation type="list" allowBlank="1" showInputMessage="1" showErrorMessage="1" sqref="Q17:Q29 Q5:Q15" xr:uid="{00000000-0002-0000-1B00-000000000000}">
      <formula1>"Yes,No"</formula1>
    </dataValidation>
  </dataValidations>
  <pageMargins left="0.7" right="0.7" top="0.75" bottom="0.75" header="0.3" footer="0.3"/>
  <pageSetup paperSize="9"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5E7F-8E17-413D-8EA8-15B410B232C7}">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Intro</vt:lpstr>
      <vt:lpstr>Sheet1</vt:lpstr>
      <vt:lpstr>Building_data</vt:lpstr>
      <vt:lpstr>Envelope</vt:lpstr>
      <vt:lpstr>Consumption</vt:lpstr>
      <vt:lpstr>Weather</vt:lpstr>
      <vt:lpstr>U-values</vt:lpstr>
      <vt:lpstr>Losses env. before</vt:lpstr>
      <vt:lpstr>Losses env. after</vt:lpstr>
      <vt:lpstr>Ventilation losses</vt:lpstr>
      <vt:lpstr>Heat gains Mec Vent</vt:lpstr>
      <vt:lpstr>gains</vt:lpstr>
      <vt:lpstr>Heat distr. efficiency</vt:lpstr>
      <vt:lpstr>DHW generation</vt:lpstr>
      <vt:lpstr>DHW distr. efficiency</vt:lpstr>
      <vt:lpstr>IHS</vt:lpstr>
      <vt:lpstr>Lighting</vt:lpstr>
      <vt:lpstr>Equipment</vt:lpstr>
      <vt:lpstr>Cooling</vt:lpstr>
      <vt:lpstr>PV</vt:lpstr>
      <vt:lpstr>Solar DHW</vt:lpstr>
      <vt:lpstr>Shading</vt:lpstr>
      <vt:lpstr>EMS</vt:lpstr>
      <vt:lpstr>Overall gener. &amp; distrib. eff.</vt:lpstr>
      <vt:lpstr>Breakdown Baseline &amp; Balance</vt:lpstr>
      <vt:lpstr>Non-EE measures</vt:lpstr>
      <vt:lpstr>Financial indicators</vt:lpstr>
      <vt:lpstr>Measures_summary</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Saidmurodjon Khamdamov</cp:lastModifiedBy>
  <cp:lastPrinted>2026-06-24T08:10:18Z</cp:lastPrinted>
  <dcterms:created xsi:type="dcterms:W3CDTF">2015-06-05T18:17:20Z</dcterms:created>
  <dcterms:modified xsi:type="dcterms:W3CDTF">2026-06-27T18:53:26Z</dcterms:modified>
</cp:coreProperties>
</file>