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2022-23-2\fluid mechanics\labs\measurment\"/>
    </mc:Choice>
  </mc:AlternateContent>
  <xr:revisionPtr revIDLastSave="0" documentId="13_ncr:1_{B2976D14-7182-4672-9EE3-E6F8B26182A3}" xr6:coauthVersionLast="47" xr6:coauthVersionMax="47" xr10:uidLastSave="{00000000-0000-0000-0000-000000000000}"/>
  <bookViews>
    <workbookView xWindow="-120" yWindow="-120" windowWidth="29040" windowHeight="15720" xr2:uid="{810A73CB-777E-46A4-9A6A-19D2F2E2A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3" i="1" l="1"/>
  <c r="W14" i="1"/>
  <c r="W15" i="1"/>
  <c r="W16" i="1"/>
  <c r="W17" i="1"/>
  <c r="W18" i="1"/>
  <c r="W19" i="1"/>
  <c r="W20" i="1"/>
  <c r="W21" i="1"/>
  <c r="W12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27" i="1"/>
  <c r="T27" i="1"/>
  <c r="M27" i="1"/>
  <c r="F27" i="1"/>
  <c r="P13" i="1"/>
  <c r="P14" i="1"/>
  <c r="P15" i="1"/>
  <c r="P16" i="1"/>
  <c r="P17" i="1"/>
  <c r="P18" i="1"/>
  <c r="P19" i="1"/>
  <c r="P20" i="1"/>
  <c r="P21" i="1"/>
  <c r="P12" i="1"/>
  <c r="R12" i="1"/>
  <c r="H13" i="1"/>
  <c r="H14" i="1"/>
  <c r="H12" i="1"/>
  <c r="L13" i="1"/>
  <c r="R13" i="1" s="1"/>
  <c r="L14" i="1"/>
  <c r="R14" i="1" s="1"/>
  <c r="L15" i="1"/>
  <c r="U15" i="1" s="1"/>
  <c r="L16" i="1"/>
  <c r="R16" i="1" s="1"/>
  <c r="L17" i="1"/>
  <c r="T17" i="1" s="1"/>
  <c r="L18" i="1"/>
  <c r="S18" i="1" s="1"/>
  <c r="L19" i="1"/>
  <c r="U19" i="1" s="1"/>
  <c r="L20" i="1"/>
  <c r="U20" i="1" s="1"/>
  <c r="L21" i="1"/>
  <c r="Q21" i="1" s="1"/>
  <c r="L12" i="1"/>
  <c r="Q12" i="1" s="1"/>
  <c r="C4" i="1"/>
  <c r="AH29" i="1" s="1"/>
  <c r="R20" i="1" l="1"/>
  <c r="R19" i="1"/>
  <c r="S17" i="1"/>
  <c r="Q18" i="1"/>
  <c r="R17" i="1"/>
  <c r="U17" i="1"/>
  <c r="Q17" i="1"/>
  <c r="T12" i="1"/>
  <c r="T21" i="1"/>
  <c r="R18" i="1"/>
  <c r="U18" i="1"/>
  <c r="T20" i="1"/>
  <c r="T19" i="1"/>
  <c r="T18" i="1"/>
  <c r="S20" i="1"/>
  <c r="R21" i="1"/>
  <c r="S19" i="1"/>
  <c r="Q20" i="1"/>
  <c r="Z38" i="1"/>
  <c r="AA39" i="1"/>
  <c r="AB27" i="1"/>
  <c r="AB28" i="1"/>
  <c r="Q19" i="1"/>
  <c r="Z37" i="1"/>
  <c r="AA38" i="1"/>
  <c r="AB39" i="1"/>
  <c r="AH28" i="1"/>
  <c r="U16" i="1"/>
  <c r="Z36" i="1"/>
  <c r="AA37" i="1"/>
  <c r="AC37" i="1" s="1"/>
  <c r="AB38" i="1"/>
  <c r="AH27" i="1"/>
  <c r="Z35" i="1"/>
  <c r="AA36" i="1"/>
  <c r="AB37" i="1"/>
  <c r="AH37" i="1"/>
  <c r="S16" i="1"/>
  <c r="U14" i="1"/>
  <c r="Q16" i="1"/>
  <c r="Z34" i="1"/>
  <c r="AA35" i="1"/>
  <c r="AB36" i="1"/>
  <c r="AH36" i="1"/>
  <c r="Q15" i="1"/>
  <c r="Z33" i="1"/>
  <c r="AA34" i="1"/>
  <c r="AB35" i="1"/>
  <c r="AH35" i="1"/>
  <c r="S15" i="1"/>
  <c r="H20" i="1"/>
  <c r="I20" i="1" s="1"/>
  <c r="Q14" i="1"/>
  <c r="Z32" i="1"/>
  <c r="AA33" i="1"/>
  <c r="AC33" i="1" s="1"/>
  <c r="AB34" i="1"/>
  <c r="AH34" i="1"/>
  <c r="Q13" i="1"/>
  <c r="Z31" i="1"/>
  <c r="AA32" i="1"/>
  <c r="AB33" i="1"/>
  <c r="AH33" i="1"/>
  <c r="H21" i="1"/>
  <c r="Z30" i="1"/>
  <c r="AA31" i="1"/>
  <c r="AB32" i="1"/>
  <c r="AH32" i="1"/>
  <c r="T16" i="1"/>
  <c r="S14" i="1"/>
  <c r="H19" i="1"/>
  <c r="J19" i="1" s="1"/>
  <c r="S13" i="1"/>
  <c r="T13" i="1"/>
  <c r="AB31" i="1"/>
  <c r="AH31" i="1"/>
  <c r="T15" i="1"/>
  <c r="H18" i="1"/>
  <c r="J18" i="1" s="1"/>
  <c r="T14" i="1"/>
  <c r="U12" i="1"/>
  <c r="H17" i="1"/>
  <c r="R15" i="1"/>
  <c r="U21" i="1"/>
  <c r="AA30" i="1"/>
  <c r="H16" i="1"/>
  <c r="J16" i="1" s="1"/>
  <c r="S12" i="1"/>
  <c r="V12" i="1" s="1"/>
  <c r="Z27" i="1"/>
  <c r="Z28" i="1"/>
  <c r="AA29" i="1"/>
  <c r="AB30" i="1"/>
  <c r="AH30" i="1"/>
  <c r="U13" i="1"/>
  <c r="Z29" i="1"/>
  <c r="H15" i="1"/>
  <c r="I15" i="1" s="1"/>
  <c r="S21" i="1"/>
  <c r="V21" i="1" s="1"/>
  <c r="Z39" i="1"/>
  <c r="AA27" i="1"/>
  <c r="AC27" i="1" s="1"/>
  <c r="AA28" i="1"/>
  <c r="AC28" i="1" s="1"/>
  <c r="AB29" i="1"/>
  <c r="I21" i="1"/>
  <c r="J17" i="1"/>
  <c r="J14" i="1"/>
  <c r="J13" i="1"/>
  <c r="J20" i="1"/>
  <c r="M20" i="1" s="1"/>
  <c r="N20" i="1" s="1"/>
  <c r="V18" i="1" l="1"/>
  <c r="V15" i="1"/>
  <c r="V14" i="1"/>
  <c r="V17" i="1"/>
  <c r="V19" i="1"/>
  <c r="V20" i="1"/>
  <c r="V16" i="1"/>
  <c r="V13" i="1"/>
  <c r="AC35" i="1"/>
  <c r="AC31" i="1"/>
  <c r="AC29" i="1"/>
  <c r="AC34" i="1"/>
  <c r="AC36" i="1"/>
  <c r="AC30" i="1"/>
  <c r="AC32" i="1"/>
  <c r="J15" i="1"/>
  <c r="M15" i="1" s="1"/>
  <c r="N15" i="1" s="1"/>
  <c r="I19" i="1"/>
  <c r="M19" i="1" s="1"/>
  <c r="N19" i="1" s="1"/>
  <c r="AC39" i="1"/>
  <c r="AC38" i="1"/>
  <c r="I17" i="1"/>
  <c r="M17" i="1" s="1"/>
  <c r="N17" i="1" s="1"/>
  <c r="I18" i="1"/>
  <c r="M18" i="1" s="1"/>
  <c r="N18" i="1" s="1"/>
  <c r="I16" i="1"/>
  <c r="M16" i="1" s="1"/>
  <c r="N16" i="1" s="1"/>
  <c r="I12" i="1"/>
  <c r="J12" i="1"/>
  <c r="J21" i="1"/>
  <c r="M21" i="1" s="1"/>
  <c r="N21" i="1" s="1"/>
  <c r="I13" i="1"/>
  <c r="M13" i="1" s="1"/>
  <c r="N13" i="1" s="1"/>
  <c r="I14" i="1"/>
  <c r="M14" i="1" s="1"/>
  <c r="N14" i="1" s="1"/>
  <c r="M12" i="1" l="1"/>
  <c r="N12" i="1" s="1"/>
</calcChain>
</file>

<file path=xl/sharedStrings.xml><?xml version="1.0" encoding="utf-8"?>
<sst xmlns="http://schemas.openxmlformats.org/spreadsheetml/2006/main" count="53" uniqueCount="36">
  <si>
    <t>X</t>
  </si>
  <si>
    <t>P0</t>
  </si>
  <si>
    <t>qv</t>
  </si>
  <si>
    <t>density</t>
  </si>
  <si>
    <t>T</t>
  </si>
  <si>
    <t>d_orifice</t>
  </si>
  <si>
    <t>v1</t>
  </si>
  <si>
    <t>v2</t>
  </si>
  <si>
    <t>D</t>
  </si>
  <si>
    <t>D_L</t>
  </si>
  <si>
    <t>Pouter</t>
  </si>
  <si>
    <t>Pinner</t>
  </si>
  <si>
    <t>x=14mm</t>
  </si>
  <si>
    <t>x=8mm</t>
  </si>
  <si>
    <t>x=25mm</t>
  </si>
  <si>
    <t>alpha</t>
  </si>
  <si>
    <t>Preal</t>
  </si>
  <si>
    <t>Porifice</t>
  </si>
  <si>
    <t>x</t>
  </si>
  <si>
    <t>sum</t>
  </si>
  <si>
    <t>radius</t>
  </si>
  <si>
    <t>angle</t>
  </si>
  <si>
    <t>Pressure</t>
  </si>
  <si>
    <t>Velocity</t>
  </si>
  <si>
    <t>x = 0.014</t>
  </si>
  <si>
    <t>error_pressure</t>
  </si>
  <si>
    <t>error_density</t>
  </si>
  <si>
    <t>Hwater</t>
  </si>
  <si>
    <t>p1</t>
  </si>
  <si>
    <t>p2</t>
  </si>
  <si>
    <t>pwater</t>
  </si>
  <si>
    <t>P_orifice</t>
  </si>
  <si>
    <t>P_real</t>
  </si>
  <si>
    <t>P_ideal</t>
  </si>
  <si>
    <t>eff</t>
  </si>
  <si>
    <t>relative_error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</si>
</sst>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1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2" fontId="0" fillId="0" borderId="0" xfId="0" applyNumberFormat="1"/>
    <xf numFmtId="2" fontId="3" fillId="4" borderId="0" xfId="3" applyNumberFormat="1"/>
    <xf numFmtId="0" fontId="0" fillId="0" borderId="2" xfId="0" applyBorder="1"/>
    <xf numFmtId="2" fontId="0" fillId="0" borderId="2" xfId="0" applyNumberFormat="1" applyBorder="1"/>
    <xf numFmtId="0" fontId="5" fillId="5" borderId="2" xfId="4" applyBorder="1"/>
    <xf numFmtId="0" fontId="1" fillId="2" borderId="2" xfId="1" applyBorder="1"/>
    <xf numFmtId="164" fontId="0" fillId="0" borderId="2" xfId="0" applyNumberFormat="1" applyBorder="1"/>
    <xf numFmtId="0" fontId="3" fillId="4" borderId="2" xfId="3" applyBorder="1"/>
    <xf numFmtId="1" fontId="0" fillId="0" borderId="0" xfId="0" applyNumberFormat="1"/>
    <xf numFmtId="164" fontId="0" fillId="0" borderId="0" xfId="0" applyNumberFormat="1"/>
    <xf numFmtId="165" fontId="0" fillId="0" borderId="2" xfId="0" applyNumberFormat="1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P_real</a:t>
            </a:r>
          </a:p>
        </c:rich>
      </c:tx>
      <c:layout>
        <c:manualLayout>
          <c:xMode val="edge"/>
          <c:yMode val="edge"/>
          <c:x val="0.4368943495066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902287862635106E-2"/>
          <c:y val="7.2604160590069064E-2"/>
          <c:w val="0.88118347205842185"/>
          <c:h val="0.8326922611772640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Sheet1!$F$12:$F$21</c:f>
              <c:numCache>
                <c:formatCode>0.000</c:formatCode>
                <c:ptCount val="10"/>
                <c:pt idx="0">
                  <c:v>8.0000000000000002E-3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1.2E-2</c:v>
                </c:pt>
                <c:pt idx="4">
                  <c:v>1.4E-2</c:v>
                </c:pt>
                <c:pt idx="5">
                  <c:v>1.6E-2</c:v>
                </c:pt>
                <c:pt idx="6">
                  <c:v>1.7999999999999999E-2</c:v>
                </c:pt>
                <c:pt idx="7">
                  <c:v>0.02</c:v>
                </c:pt>
                <c:pt idx="8">
                  <c:v>2.1999999999999999E-2</c:v>
                </c:pt>
                <c:pt idx="9">
                  <c:v>2.5000000000000001E-2</c:v>
                </c:pt>
              </c:numCache>
            </c:numRef>
          </c:xVal>
          <c:yVal>
            <c:numRef>
              <c:f>Sheet1!$L$12:$L$21</c:f>
              <c:numCache>
                <c:formatCode>0.00</c:formatCode>
                <c:ptCount val="10"/>
                <c:pt idx="0">
                  <c:v>-157.69999999999999</c:v>
                </c:pt>
                <c:pt idx="1">
                  <c:v>-130.5</c:v>
                </c:pt>
                <c:pt idx="2">
                  <c:v>-31.2</c:v>
                </c:pt>
                <c:pt idx="3">
                  <c:v>41.36</c:v>
                </c:pt>
                <c:pt idx="4">
                  <c:v>81.599999999999994</c:v>
                </c:pt>
                <c:pt idx="5">
                  <c:v>111.6</c:v>
                </c:pt>
                <c:pt idx="6">
                  <c:v>125.2</c:v>
                </c:pt>
                <c:pt idx="7">
                  <c:v>130.5</c:v>
                </c:pt>
                <c:pt idx="8">
                  <c:v>131.1</c:v>
                </c:pt>
                <c:pt idx="9">
                  <c:v>125.2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A-440B-AC4F-75392B96F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325088"/>
        <c:axId val="917791920"/>
      </c:scatterChart>
      <c:valAx>
        <c:axId val="74632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x[m]</a:t>
                </a:r>
              </a:p>
            </c:rich>
          </c:tx>
          <c:layout>
            <c:manualLayout>
              <c:xMode val="edge"/>
              <c:yMode val="edge"/>
              <c:x val="0.50114317612275439"/>
              <c:y val="0.89822366446265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91920"/>
        <c:crosses val="autoZero"/>
        <c:crossBetween val="midCat"/>
      </c:valAx>
      <c:valAx>
        <c:axId val="9177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P_real[Pa]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2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dependance on sheet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30542409029579"/>
          <c:y val="0.14608172535707836"/>
          <c:w val="0.78820995455006049"/>
          <c:h val="0.66962860882323105"/>
        </c:manualLayout>
      </c:layout>
      <c:scatterChart>
        <c:scatterStyle val="lineMarker"/>
        <c:varyColors val="0"/>
        <c:ser>
          <c:idx val="1"/>
          <c:order val="0"/>
          <c:tx>
            <c:v>Efficiency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Sheet1!$V$15:$V$21</c:f>
                <c:numCache>
                  <c:formatCode>General</c:formatCode>
                  <c:ptCount val="7"/>
                  <c:pt idx="0">
                    <c:v>3.5586241040110329E-2</c:v>
                  </c:pt>
                  <c:pt idx="1">
                    <c:v>4.5677710807360619E-2</c:v>
                  </c:pt>
                  <c:pt idx="2">
                    <c:v>5.0500312354854845E-2</c:v>
                  </c:pt>
                  <c:pt idx="3">
                    <c:v>5.0590014079681528E-2</c:v>
                  </c:pt>
                  <c:pt idx="4">
                    <c:v>4.9045624281506613E-2</c:v>
                  </c:pt>
                  <c:pt idx="5">
                    <c:v>4.6910517544557329E-2</c:v>
                  </c:pt>
                  <c:pt idx="6">
                    <c:v>4.3260972611900622E-2</c:v>
                  </c:pt>
                </c:numCache>
              </c:numRef>
            </c:plus>
            <c:minus>
              <c:numRef>
                <c:f>Sheet1!$V$15:$V$21</c:f>
                <c:numCache>
                  <c:formatCode>General</c:formatCode>
                  <c:ptCount val="7"/>
                  <c:pt idx="0">
                    <c:v>3.5586241040110329E-2</c:v>
                  </c:pt>
                  <c:pt idx="1">
                    <c:v>4.5677710807360619E-2</c:v>
                  </c:pt>
                  <c:pt idx="2">
                    <c:v>5.0500312354854845E-2</c:v>
                  </c:pt>
                  <c:pt idx="3">
                    <c:v>5.0590014079681528E-2</c:v>
                  </c:pt>
                  <c:pt idx="4">
                    <c:v>4.9045624281506613E-2</c:v>
                  </c:pt>
                  <c:pt idx="5">
                    <c:v>4.6910517544557329E-2</c:v>
                  </c:pt>
                  <c:pt idx="6">
                    <c:v>4.3260972611900622E-2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Sheet1!$F$15:$F$21</c:f>
              <c:numCache>
                <c:formatCode>0.000</c:formatCode>
                <c:ptCount val="7"/>
                <c:pt idx="0">
                  <c:v>1.2E-2</c:v>
                </c:pt>
                <c:pt idx="1">
                  <c:v>1.4E-2</c:v>
                </c:pt>
                <c:pt idx="2">
                  <c:v>1.6E-2</c:v>
                </c:pt>
                <c:pt idx="3">
                  <c:v>1.7999999999999999E-2</c:v>
                </c:pt>
                <c:pt idx="4">
                  <c:v>0.02</c:v>
                </c:pt>
                <c:pt idx="5">
                  <c:v>2.1999999999999999E-2</c:v>
                </c:pt>
                <c:pt idx="6">
                  <c:v>2.5000000000000001E-2</c:v>
                </c:pt>
              </c:numCache>
            </c:numRef>
          </c:xVal>
          <c:yVal>
            <c:numRef>
              <c:f>Sheet1!$N$15:$N$21</c:f>
              <c:numCache>
                <c:formatCode>0.00</c:formatCode>
                <c:ptCount val="7"/>
                <c:pt idx="0">
                  <c:v>0.38339965108887325</c:v>
                </c:pt>
                <c:pt idx="1">
                  <c:v>0.62630903216912281</c:v>
                </c:pt>
                <c:pt idx="2">
                  <c:v>0.75874941990080813</c:v>
                </c:pt>
                <c:pt idx="3">
                  <c:v>0.79460937548427957</c:v>
                </c:pt>
                <c:pt idx="4">
                  <c:v>0.7905058807053944</c:v>
                </c:pt>
                <c:pt idx="5">
                  <c:v>0.76833587470815468</c:v>
                </c:pt>
                <c:pt idx="6">
                  <c:v>0.71754568769602856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23-429E-B282-C8CD05D79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573808"/>
        <c:axId val="1341941040"/>
      </c:scatterChart>
      <c:scatterChart>
        <c:scatterStyle val="lineMarker"/>
        <c:varyColors val="0"/>
        <c:ser>
          <c:idx val="2"/>
          <c:order val="1"/>
          <c:tx>
            <c:v>Relative error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Sheet1!$F$15:$F$21</c:f>
              <c:numCache>
                <c:formatCode>0.000</c:formatCode>
                <c:ptCount val="7"/>
                <c:pt idx="0">
                  <c:v>1.2E-2</c:v>
                </c:pt>
                <c:pt idx="1">
                  <c:v>1.4E-2</c:v>
                </c:pt>
                <c:pt idx="2">
                  <c:v>1.6E-2</c:v>
                </c:pt>
                <c:pt idx="3">
                  <c:v>1.7999999999999999E-2</c:v>
                </c:pt>
                <c:pt idx="4">
                  <c:v>0.02</c:v>
                </c:pt>
                <c:pt idx="5">
                  <c:v>2.1999999999999999E-2</c:v>
                </c:pt>
                <c:pt idx="6">
                  <c:v>2.5000000000000001E-2</c:v>
                </c:pt>
              </c:numCache>
            </c:numRef>
          </c:xVal>
          <c:yVal>
            <c:numRef>
              <c:f>Sheet1!$W$15:$W$21</c:f>
              <c:numCache>
                <c:formatCode>0.0000</c:formatCode>
                <c:ptCount val="7"/>
                <c:pt idx="0">
                  <c:v>9.2817614567576445</c:v>
                </c:pt>
                <c:pt idx="1">
                  <c:v>7.2931585625011746</c:v>
                </c:pt>
                <c:pt idx="2">
                  <c:v>6.6557299459229631</c:v>
                </c:pt>
                <c:pt idx="3">
                  <c:v>6.3666520482279898</c:v>
                </c:pt>
                <c:pt idx="4">
                  <c:v>6.2043338928410741</c:v>
                </c:pt>
                <c:pt idx="5">
                  <c:v>6.1054701581357058</c:v>
                </c:pt>
                <c:pt idx="6">
                  <c:v>6.0290199430795157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23-429E-B282-C8CD05D79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57992"/>
        <c:axId val="513856912"/>
      </c:scatterChart>
      <c:valAx>
        <c:axId val="1521573808"/>
        <c:scaling>
          <c:orientation val="minMax"/>
          <c:max val="2.5000000000000005E-2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Gap size of the sheet diffuser 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x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41040"/>
        <c:crosses val="autoZero"/>
        <c:crossBetween val="midCat"/>
      </c:valAx>
      <c:valAx>
        <c:axId val="13419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</a:t>
                </a:r>
                <a:r>
                  <a:rPr lang="el-GR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η</a:t>
                </a:r>
                <a:r>
                  <a:rPr lang="en-US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573808"/>
        <c:crosses val="autoZero"/>
        <c:crossBetween val="midCat"/>
      </c:valAx>
      <c:valAx>
        <c:axId val="513856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error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7992"/>
        <c:crosses val="max"/>
        <c:crossBetween val="midCat"/>
      </c:valAx>
      <c:valAx>
        <c:axId val="513857992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51385691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918863644000969"/>
          <c:y val="0.54098330773536385"/>
          <c:w val="0.19730853361955353"/>
          <c:h val="0.14007574576638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distribution(x = 8mm)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95259463555216"/>
          <c:y val="0.11375688108084145"/>
          <c:w val="0.80511570265980748"/>
          <c:h val="0.77721320954301876"/>
        </c:manualLayout>
      </c:layout>
      <c:scatterChart>
        <c:scatterStyle val="lineMarker"/>
        <c:varyColors val="0"/>
        <c:ser>
          <c:idx val="0"/>
          <c:order val="0"/>
          <c:tx>
            <c:v>Outer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2.0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Sheet1!$D$27:$D$41</c:f>
              <c:numCache>
                <c:formatCode>0.000</c:formatCode>
                <c:ptCount val="15"/>
                <c:pt idx="0">
                  <c:v>1.6E-2</c:v>
                </c:pt>
                <c:pt idx="1">
                  <c:v>2.7E-2</c:v>
                </c:pt>
                <c:pt idx="2">
                  <c:v>3.7999999999999999E-2</c:v>
                </c:pt>
                <c:pt idx="3">
                  <c:v>4.9000000000000002E-2</c:v>
                </c:pt>
                <c:pt idx="4">
                  <c:v>0.06</c:v>
                </c:pt>
                <c:pt idx="5">
                  <c:v>7.0999999999999994E-2</c:v>
                </c:pt>
                <c:pt idx="6">
                  <c:v>8.2000000000000003E-2</c:v>
                </c:pt>
                <c:pt idx="7">
                  <c:v>9.2999999999999999E-2</c:v>
                </c:pt>
                <c:pt idx="8">
                  <c:v>0.104</c:v>
                </c:pt>
                <c:pt idx="9">
                  <c:v>0.115</c:v>
                </c:pt>
                <c:pt idx="10">
                  <c:v>0.126</c:v>
                </c:pt>
                <c:pt idx="11">
                  <c:v>0.13700000000000001</c:v>
                </c:pt>
                <c:pt idx="12">
                  <c:v>0.14799999999999999</c:v>
                </c:pt>
                <c:pt idx="13">
                  <c:v>0.159</c:v>
                </c:pt>
                <c:pt idx="14">
                  <c:v>0.17</c:v>
                </c:pt>
              </c:numCache>
            </c:numRef>
          </c:xVal>
          <c:yVal>
            <c:numRef>
              <c:f>Sheet1!$E$27:$E$41</c:f>
              <c:numCache>
                <c:formatCode>0.00</c:formatCode>
                <c:ptCount val="15"/>
                <c:pt idx="0">
                  <c:v>351.3</c:v>
                </c:pt>
                <c:pt idx="1">
                  <c:v>350.6</c:v>
                </c:pt>
                <c:pt idx="2">
                  <c:v>347.2</c:v>
                </c:pt>
                <c:pt idx="3">
                  <c:v>331.6</c:v>
                </c:pt>
                <c:pt idx="4">
                  <c:v>306.5</c:v>
                </c:pt>
                <c:pt idx="5">
                  <c:v>265.7</c:v>
                </c:pt>
                <c:pt idx="6">
                  <c:v>206.6</c:v>
                </c:pt>
                <c:pt idx="7">
                  <c:v>121.1</c:v>
                </c:pt>
                <c:pt idx="8">
                  <c:v>11.5</c:v>
                </c:pt>
                <c:pt idx="9">
                  <c:v>-99.1</c:v>
                </c:pt>
                <c:pt idx="10">
                  <c:v>-179.8</c:v>
                </c:pt>
                <c:pt idx="11">
                  <c:v>-169.9</c:v>
                </c:pt>
                <c:pt idx="12">
                  <c:v>-128.5</c:v>
                </c:pt>
                <c:pt idx="13">
                  <c:v>-85.6</c:v>
                </c:pt>
                <c:pt idx="14">
                  <c:v>-74.400000000000006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60-4A68-9437-326404DEB9FB}"/>
            </c:ext>
          </c:extLst>
        </c:ser>
        <c:ser>
          <c:idx val="1"/>
          <c:order val="1"/>
          <c:tx>
            <c:v>Inner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2.0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Sheet1!$F$27:$F$39</c:f>
              <c:numCache>
                <c:formatCode>0.000</c:formatCode>
                <c:ptCount val="13"/>
                <c:pt idx="0">
                  <c:v>5.2499999999999998E-2</c:v>
                </c:pt>
                <c:pt idx="1">
                  <c:v>5.28E-2</c:v>
                </c:pt>
                <c:pt idx="2">
                  <c:v>6.5430000000000002E-2</c:v>
                </c:pt>
                <c:pt idx="3">
                  <c:v>6.5790000000000001E-2</c:v>
                </c:pt>
                <c:pt idx="4">
                  <c:v>7.6939999999999995E-2</c:v>
                </c:pt>
                <c:pt idx="5">
                  <c:v>9.0550000000000005E-2</c:v>
                </c:pt>
                <c:pt idx="6">
                  <c:v>0.10013</c:v>
                </c:pt>
                <c:pt idx="7">
                  <c:v>0.11204</c:v>
                </c:pt>
                <c:pt idx="8">
                  <c:v>0.12361</c:v>
                </c:pt>
                <c:pt idx="9">
                  <c:v>0.13466</c:v>
                </c:pt>
                <c:pt idx="10">
                  <c:v>0.14616000000000001</c:v>
                </c:pt>
                <c:pt idx="11">
                  <c:v>0.15811</c:v>
                </c:pt>
                <c:pt idx="12">
                  <c:v>0.16961000000000001</c:v>
                </c:pt>
              </c:numCache>
            </c:numRef>
          </c:xVal>
          <c:yVal>
            <c:numRef>
              <c:f>Sheet1!$G$27:$G$39</c:f>
              <c:numCache>
                <c:formatCode>0.00</c:formatCode>
                <c:ptCount val="13"/>
                <c:pt idx="0">
                  <c:v>137.19999999999999</c:v>
                </c:pt>
                <c:pt idx="1">
                  <c:v>94.78</c:v>
                </c:pt>
                <c:pt idx="2">
                  <c:v>131.30000000000001</c:v>
                </c:pt>
                <c:pt idx="3">
                  <c:v>197.56</c:v>
                </c:pt>
                <c:pt idx="4">
                  <c:v>198.3</c:v>
                </c:pt>
                <c:pt idx="5">
                  <c:v>94.98</c:v>
                </c:pt>
                <c:pt idx="6">
                  <c:v>0.3</c:v>
                </c:pt>
                <c:pt idx="7">
                  <c:v>-93.5</c:v>
                </c:pt>
                <c:pt idx="8">
                  <c:v>-210.47</c:v>
                </c:pt>
                <c:pt idx="9">
                  <c:v>-180.3</c:v>
                </c:pt>
                <c:pt idx="10">
                  <c:v>-128.30000000000001</c:v>
                </c:pt>
                <c:pt idx="11">
                  <c:v>-78.2</c:v>
                </c:pt>
                <c:pt idx="12">
                  <c:v>-46.2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60-4A68-9437-326404DEB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463936"/>
        <c:axId val="1288598208"/>
      </c:scatterChart>
      <c:valAx>
        <c:axId val="147246393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Radius[m]</a:t>
                </a:r>
              </a:p>
            </c:rich>
          </c:tx>
          <c:layout>
            <c:manualLayout>
              <c:xMode val="edge"/>
              <c:yMode val="edge"/>
              <c:x val="0.4596953775987821"/>
              <c:y val="0.88698568548347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98208"/>
        <c:crosses val="autoZero"/>
        <c:crossBetween val="midCat"/>
      </c:valAx>
      <c:valAx>
        <c:axId val="12885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46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07623735813769"/>
          <c:y val="0.20930416007134681"/>
          <c:w val="0.12608747711885274"/>
          <c:h val="0.1423796644895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  <a:r>
              <a:rPr lang="en-US" baseline="0"/>
              <a:t> distribution(x = 14mm)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74599143648498"/>
          <c:y val="0.15443490998840367"/>
          <c:w val="0.80991625487110031"/>
          <c:h val="0.68654085441725421"/>
        </c:manualLayout>
      </c:layout>
      <c:scatterChart>
        <c:scatterStyle val="lineMarker"/>
        <c:varyColors val="0"/>
        <c:ser>
          <c:idx val="0"/>
          <c:order val="0"/>
          <c:tx>
            <c:v>Outer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2.0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Sheet1!$K$27:$K$41</c:f>
              <c:numCache>
                <c:formatCode>0.000</c:formatCode>
                <c:ptCount val="15"/>
                <c:pt idx="0">
                  <c:v>1.6E-2</c:v>
                </c:pt>
                <c:pt idx="1">
                  <c:v>2.7E-2</c:v>
                </c:pt>
                <c:pt idx="2">
                  <c:v>3.7999999999999999E-2</c:v>
                </c:pt>
                <c:pt idx="3">
                  <c:v>4.9000000000000002E-2</c:v>
                </c:pt>
                <c:pt idx="4">
                  <c:v>0.06</c:v>
                </c:pt>
                <c:pt idx="5">
                  <c:v>7.0999999999999994E-2</c:v>
                </c:pt>
                <c:pt idx="6">
                  <c:v>8.2000000000000003E-2</c:v>
                </c:pt>
                <c:pt idx="7">
                  <c:v>9.2999999999999999E-2</c:v>
                </c:pt>
                <c:pt idx="8">
                  <c:v>0.104</c:v>
                </c:pt>
                <c:pt idx="9">
                  <c:v>0.115</c:v>
                </c:pt>
                <c:pt idx="10">
                  <c:v>0.126</c:v>
                </c:pt>
                <c:pt idx="11">
                  <c:v>0.13700000000000001</c:v>
                </c:pt>
                <c:pt idx="12">
                  <c:v>0.14799999999999999</c:v>
                </c:pt>
                <c:pt idx="13">
                  <c:v>0.159</c:v>
                </c:pt>
                <c:pt idx="14">
                  <c:v>0.17</c:v>
                </c:pt>
              </c:numCache>
            </c:numRef>
          </c:xVal>
          <c:yVal>
            <c:numRef>
              <c:f>Sheet1!$L$27:$L$41</c:f>
              <c:numCache>
                <c:formatCode>0.00</c:formatCode>
                <c:ptCount val="15"/>
                <c:pt idx="0">
                  <c:v>166.8</c:v>
                </c:pt>
                <c:pt idx="1">
                  <c:v>162.6</c:v>
                </c:pt>
                <c:pt idx="2">
                  <c:v>155.1</c:v>
                </c:pt>
                <c:pt idx="3">
                  <c:v>140.9</c:v>
                </c:pt>
                <c:pt idx="4">
                  <c:v>110.8</c:v>
                </c:pt>
                <c:pt idx="5">
                  <c:v>70.400000000000006</c:v>
                </c:pt>
                <c:pt idx="6">
                  <c:v>26.5</c:v>
                </c:pt>
                <c:pt idx="7">
                  <c:v>-16.3</c:v>
                </c:pt>
                <c:pt idx="8">
                  <c:v>-51.2</c:v>
                </c:pt>
                <c:pt idx="9">
                  <c:v>-71.900000000000006</c:v>
                </c:pt>
                <c:pt idx="10">
                  <c:v>-74.7</c:v>
                </c:pt>
                <c:pt idx="11">
                  <c:v>-64.3</c:v>
                </c:pt>
                <c:pt idx="12">
                  <c:v>-46.3</c:v>
                </c:pt>
                <c:pt idx="13">
                  <c:v>-31.2</c:v>
                </c:pt>
                <c:pt idx="14">
                  <c:v>-28.5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18-4C90-B268-CB4CB95CCC2F}"/>
            </c:ext>
          </c:extLst>
        </c:ser>
        <c:ser>
          <c:idx val="1"/>
          <c:order val="1"/>
          <c:tx>
            <c:v>Inner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2.0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Sheet1!$M$27:$M$39</c:f>
              <c:numCache>
                <c:formatCode>0.000</c:formatCode>
                <c:ptCount val="13"/>
                <c:pt idx="0">
                  <c:v>5.2499999999999998E-2</c:v>
                </c:pt>
                <c:pt idx="1">
                  <c:v>5.28E-2</c:v>
                </c:pt>
                <c:pt idx="2">
                  <c:v>6.5430000000000002E-2</c:v>
                </c:pt>
                <c:pt idx="3">
                  <c:v>6.5790000000000001E-2</c:v>
                </c:pt>
                <c:pt idx="4">
                  <c:v>7.6939999999999995E-2</c:v>
                </c:pt>
                <c:pt idx="5">
                  <c:v>9.0550000000000005E-2</c:v>
                </c:pt>
                <c:pt idx="6">
                  <c:v>0.10013</c:v>
                </c:pt>
                <c:pt idx="7">
                  <c:v>0.11204</c:v>
                </c:pt>
                <c:pt idx="8">
                  <c:v>0.12361</c:v>
                </c:pt>
                <c:pt idx="9">
                  <c:v>0.13466</c:v>
                </c:pt>
                <c:pt idx="10">
                  <c:v>0.14616000000000001</c:v>
                </c:pt>
                <c:pt idx="11">
                  <c:v>0.15811</c:v>
                </c:pt>
                <c:pt idx="12">
                  <c:v>0.16961000000000001</c:v>
                </c:pt>
              </c:numCache>
            </c:numRef>
          </c:xVal>
          <c:yVal>
            <c:numRef>
              <c:f>Sheet1!$N$27:$N$39</c:f>
              <c:numCache>
                <c:formatCode>0.00</c:formatCode>
                <c:ptCount val="13"/>
                <c:pt idx="0">
                  <c:v>-118.5</c:v>
                </c:pt>
                <c:pt idx="1">
                  <c:v>-169.9</c:v>
                </c:pt>
                <c:pt idx="2">
                  <c:v>-104.6</c:v>
                </c:pt>
                <c:pt idx="3">
                  <c:v>-47.3</c:v>
                </c:pt>
                <c:pt idx="4">
                  <c:v>-35.33</c:v>
                </c:pt>
                <c:pt idx="5">
                  <c:v>-46.17</c:v>
                </c:pt>
                <c:pt idx="6">
                  <c:v>-71.7</c:v>
                </c:pt>
                <c:pt idx="7">
                  <c:v>-83.9</c:v>
                </c:pt>
                <c:pt idx="8">
                  <c:v>-93.9</c:v>
                </c:pt>
                <c:pt idx="9">
                  <c:v>-70.400000000000006</c:v>
                </c:pt>
                <c:pt idx="10">
                  <c:v>-47.4</c:v>
                </c:pt>
                <c:pt idx="11">
                  <c:v>-29.7</c:v>
                </c:pt>
                <c:pt idx="12">
                  <c:v>-14.1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18-4C90-B268-CB4CB95CC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574736"/>
        <c:axId val="1522335328"/>
      </c:scatterChart>
      <c:valAx>
        <c:axId val="152157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335328"/>
        <c:crosses val="autoZero"/>
        <c:crossBetween val="midCat"/>
      </c:valAx>
      <c:valAx>
        <c:axId val="15223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Pressue[Pa]</a:t>
                </a:r>
              </a:p>
            </c:rich>
          </c:tx>
          <c:layout>
            <c:manualLayout>
              <c:xMode val="edge"/>
              <c:yMode val="edge"/>
              <c:x val="2.1101659095126495E-2"/>
              <c:y val="0.38405434382126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57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0737169767072"/>
          <c:y val="0.18009564910345766"/>
          <c:w val="0.13646972713089225"/>
          <c:h val="0.14503724838391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distribution(x</a:t>
            </a:r>
            <a:r>
              <a:rPr lang="en-US" baseline="0"/>
              <a:t> = 25mm)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22732933916322"/>
          <c:y val="0.12962532145603012"/>
          <c:w val="0.80849534361721365"/>
          <c:h val="0.76545059743991795"/>
        </c:manualLayout>
      </c:layout>
      <c:scatterChart>
        <c:scatterStyle val="lineMarker"/>
        <c:varyColors val="0"/>
        <c:ser>
          <c:idx val="0"/>
          <c:order val="0"/>
          <c:tx>
            <c:v>Outer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2.0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Sheet1!$R$27:$R$41</c:f>
              <c:numCache>
                <c:formatCode>0.000</c:formatCode>
                <c:ptCount val="15"/>
                <c:pt idx="0">
                  <c:v>1.6E-2</c:v>
                </c:pt>
                <c:pt idx="1">
                  <c:v>2.7E-2</c:v>
                </c:pt>
                <c:pt idx="2">
                  <c:v>3.7999999999999999E-2</c:v>
                </c:pt>
                <c:pt idx="3">
                  <c:v>4.9000000000000002E-2</c:v>
                </c:pt>
                <c:pt idx="4">
                  <c:v>0.06</c:v>
                </c:pt>
                <c:pt idx="5">
                  <c:v>7.0999999999999994E-2</c:v>
                </c:pt>
                <c:pt idx="6">
                  <c:v>8.2000000000000003E-2</c:v>
                </c:pt>
                <c:pt idx="7">
                  <c:v>9.2999999999999999E-2</c:v>
                </c:pt>
                <c:pt idx="8">
                  <c:v>0.104</c:v>
                </c:pt>
                <c:pt idx="9">
                  <c:v>0.115</c:v>
                </c:pt>
                <c:pt idx="10">
                  <c:v>0.126</c:v>
                </c:pt>
                <c:pt idx="11">
                  <c:v>0.13700000000000001</c:v>
                </c:pt>
                <c:pt idx="12">
                  <c:v>0.14799999999999999</c:v>
                </c:pt>
                <c:pt idx="13">
                  <c:v>0.159</c:v>
                </c:pt>
                <c:pt idx="14">
                  <c:v>0.17</c:v>
                </c:pt>
              </c:numCache>
            </c:numRef>
          </c:xVal>
          <c:yVal>
            <c:numRef>
              <c:f>Sheet1!$S$27:$S$41</c:f>
              <c:numCache>
                <c:formatCode>0.00</c:formatCode>
                <c:ptCount val="15"/>
                <c:pt idx="0">
                  <c:v>137.4</c:v>
                </c:pt>
                <c:pt idx="1">
                  <c:v>135.69999999999999</c:v>
                </c:pt>
                <c:pt idx="2">
                  <c:v>128.5</c:v>
                </c:pt>
                <c:pt idx="3">
                  <c:v>110.6</c:v>
                </c:pt>
                <c:pt idx="4">
                  <c:v>75.900000000000006</c:v>
                </c:pt>
                <c:pt idx="5">
                  <c:v>29.8</c:v>
                </c:pt>
                <c:pt idx="6">
                  <c:v>-16.2</c:v>
                </c:pt>
                <c:pt idx="7">
                  <c:v>-48.9</c:v>
                </c:pt>
                <c:pt idx="8">
                  <c:v>-62.5</c:v>
                </c:pt>
                <c:pt idx="9">
                  <c:v>-60.2</c:v>
                </c:pt>
                <c:pt idx="10">
                  <c:v>-51.3</c:v>
                </c:pt>
                <c:pt idx="11">
                  <c:v>-41.7</c:v>
                </c:pt>
                <c:pt idx="12">
                  <c:v>-32.5</c:v>
                </c:pt>
                <c:pt idx="13">
                  <c:v>-21.4</c:v>
                </c:pt>
                <c:pt idx="14" formatCode="General">
                  <c:v>-19.7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5-4FF2-AD27-C9D6A7748607}"/>
            </c:ext>
          </c:extLst>
        </c:ser>
        <c:ser>
          <c:idx val="1"/>
          <c:order val="1"/>
          <c:tx>
            <c:v>Inner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2.0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Sheet1!$T$27:$T$39</c:f>
              <c:numCache>
                <c:formatCode>0.000</c:formatCode>
                <c:ptCount val="13"/>
                <c:pt idx="0">
                  <c:v>5.2499999999999998E-2</c:v>
                </c:pt>
                <c:pt idx="1">
                  <c:v>5.28E-2</c:v>
                </c:pt>
                <c:pt idx="2">
                  <c:v>6.5430000000000002E-2</c:v>
                </c:pt>
                <c:pt idx="3">
                  <c:v>6.5790000000000001E-2</c:v>
                </c:pt>
                <c:pt idx="4">
                  <c:v>7.6939999999999995E-2</c:v>
                </c:pt>
                <c:pt idx="5">
                  <c:v>9.0550000000000005E-2</c:v>
                </c:pt>
                <c:pt idx="6">
                  <c:v>0.10013</c:v>
                </c:pt>
                <c:pt idx="7">
                  <c:v>0.11204</c:v>
                </c:pt>
                <c:pt idx="8">
                  <c:v>0.12361</c:v>
                </c:pt>
                <c:pt idx="9">
                  <c:v>0.13466</c:v>
                </c:pt>
                <c:pt idx="10">
                  <c:v>0.14616000000000001</c:v>
                </c:pt>
                <c:pt idx="11">
                  <c:v>0.15811</c:v>
                </c:pt>
                <c:pt idx="12">
                  <c:v>0.16961000000000001</c:v>
                </c:pt>
              </c:numCache>
            </c:numRef>
          </c:xVal>
          <c:yVal>
            <c:numRef>
              <c:f>Sheet1!$U$27:$U$39</c:f>
              <c:numCache>
                <c:formatCode>0.00</c:formatCode>
                <c:ptCount val="13"/>
                <c:pt idx="0">
                  <c:v>-156.6</c:v>
                </c:pt>
                <c:pt idx="1">
                  <c:v>-187.2</c:v>
                </c:pt>
                <c:pt idx="2">
                  <c:v>-106.3</c:v>
                </c:pt>
                <c:pt idx="3">
                  <c:v>-90.6</c:v>
                </c:pt>
                <c:pt idx="4">
                  <c:v>-89.2</c:v>
                </c:pt>
                <c:pt idx="5">
                  <c:v>-86.9</c:v>
                </c:pt>
                <c:pt idx="6">
                  <c:v>-85.6</c:v>
                </c:pt>
                <c:pt idx="7">
                  <c:v>-73.099999999999994</c:v>
                </c:pt>
                <c:pt idx="8">
                  <c:v>-60.4</c:v>
                </c:pt>
                <c:pt idx="9">
                  <c:v>-46.6</c:v>
                </c:pt>
                <c:pt idx="10">
                  <c:v>-36.4</c:v>
                </c:pt>
                <c:pt idx="11">
                  <c:v>-24.4</c:v>
                </c:pt>
                <c:pt idx="12">
                  <c:v>-10.9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65-4FF2-AD27-C9D6A7748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058256"/>
        <c:axId val="1342001088"/>
      </c:scatterChart>
      <c:valAx>
        <c:axId val="147205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01088"/>
        <c:crosses val="autoZero"/>
        <c:crossBetween val="midCat"/>
      </c:valAx>
      <c:valAx>
        <c:axId val="13420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05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35112687964401"/>
          <c:y val="0.18292571383122561"/>
          <c:w val="0.1423602170299448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- symmetry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Sheet1!$AC$27:$AC$39</c:f>
                <c:numCache>
                  <c:formatCode>General</c:formatCode>
                  <c:ptCount val="13"/>
                  <c:pt idx="0">
                    <c:v>0.17466924743012727</c:v>
                  </c:pt>
                  <c:pt idx="1">
                    <c:v>0.1743608881852711</c:v>
                  </c:pt>
                  <c:pt idx="2">
                    <c:v>0.17529110278083729</c:v>
                  </c:pt>
                  <c:pt idx="3">
                    <c:v>0.17466924743012727</c:v>
                  </c:pt>
                  <c:pt idx="4">
                    <c:v>0.1745148553734415</c:v>
                  </c:pt>
                  <c:pt idx="5">
                    <c:v>0.17420734396480853</c:v>
                  </c:pt>
                  <c:pt idx="6">
                    <c:v>0.1745148553734415</c:v>
                  </c:pt>
                  <c:pt idx="7">
                    <c:v>0.17405422082316657</c:v>
                  </c:pt>
                  <c:pt idx="8">
                    <c:v>0.17623696266295591</c:v>
                  </c:pt>
                  <c:pt idx="9">
                    <c:v>0.17390151688328223</c:v>
                  </c:pt>
                  <c:pt idx="10">
                    <c:v>0.17529110278083729</c:v>
                  </c:pt>
                  <c:pt idx="11">
                    <c:v>0.17482406626815297</c:v>
                  </c:pt>
                  <c:pt idx="12">
                    <c:v>0.17359735915908631</c:v>
                  </c:pt>
                </c:numCache>
              </c:numRef>
            </c:plus>
            <c:minus>
              <c:numRef>
                <c:f>Sheet1!$AC$27:$AC$39</c:f>
                <c:numCache>
                  <c:formatCode>General</c:formatCode>
                  <c:ptCount val="13"/>
                  <c:pt idx="0">
                    <c:v>0.17466924743012727</c:v>
                  </c:pt>
                  <c:pt idx="1">
                    <c:v>0.1743608881852711</c:v>
                  </c:pt>
                  <c:pt idx="2">
                    <c:v>0.17529110278083729</c:v>
                  </c:pt>
                  <c:pt idx="3">
                    <c:v>0.17466924743012727</c:v>
                  </c:pt>
                  <c:pt idx="4">
                    <c:v>0.1745148553734415</c:v>
                  </c:pt>
                  <c:pt idx="5">
                    <c:v>0.17420734396480853</c:v>
                  </c:pt>
                  <c:pt idx="6">
                    <c:v>0.1745148553734415</c:v>
                  </c:pt>
                  <c:pt idx="7">
                    <c:v>0.17405422082316657</c:v>
                  </c:pt>
                  <c:pt idx="8">
                    <c:v>0.17623696266295591</c:v>
                  </c:pt>
                  <c:pt idx="9">
                    <c:v>0.17390151688328223</c:v>
                  </c:pt>
                  <c:pt idx="10">
                    <c:v>0.17529110278083729</c:v>
                  </c:pt>
                  <c:pt idx="11">
                    <c:v>0.17482406626815297</c:v>
                  </c:pt>
                  <c:pt idx="12">
                    <c:v>0.17359735915908631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Sheet1!$X$27:$X$39</c:f>
              <c:numCache>
                <c:formatCode>0.00</c:formatCode>
                <c:ptCount val="13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</c:numCache>
            </c:numRef>
          </c:xVal>
          <c:yVal>
            <c:numRef>
              <c:f>Sheet1!$Z$27:$Z$39</c:f>
              <c:numCache>
                <c:formatCode>0.000</c:formatCode>
                <c:ptCount val="13"/>
                <c:pt idx="0">
                  <c:v>9.6299337033340038</c:v>
                </c:pt>
                <c:pt idx="1">
                  <c:v>9.6473005951757802</c:v>
                </c:pt>
                <c:pt idx="2">
                  <c:v>9.5951056192449808</c:v>
                </c:pt>
                <c:pt idx="3">
                  <c:v>9.6299337033340038</c:v>
                </c:pt>
                <c:pt idx="4">
                  <c:v>9.6386210607193998</c:v>
                </c:pt>
                <c:pt idx="5">
                  <c:v>9.6559723277987057</c:v>
                </c:pt>
                <c:pt idx="6">
                  <c:v>9.6386210607193998</c:v>
                </c:pt>
                <c:pt idx="7">
                  <c:v>9.6646362795890948</c:v>
                </c:pt>
                <c:pt idx="8">
                  <c:v>9.542625158479936</c:v>
                </c:pt>
                <c:pt idx="9">
                  <c:v>9.67329247145382</c:v>
                </c:pt>
                <c:pt idx="10">
                  <c:v>9.5951056192449808</c:v>
                </c:pt>
                <c:pt idx="11">
                  <c:v>9.6212385018287936</c:v>
                </c:pt>
                <c:pt idx="12">
                  <c:v>9.6905816585670408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F-4BB6-9E33-4DD2FAC3A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451984"/>
        <c:axId val="1467232368"/>
      </c:scatterChart>
      <c:valAx>
        <c:axId val="146745198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32368"/>
        <c:crosses val="autoZero"/>
        <c:crossBetween val="midCat"/>
      </c:valAx>
      <c:valAx>
        <c:axId val="1467232368"/>
        <c:scaling>
          <c:orientation val="minMax"/>
          <c:min val="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Veloctity(m/s)</a:t>
                </a:r>
              </a:p>
            </c:rich>
          </c:tx>
          <c:layout>
            <c:manualLayout>
              <c:xMode val="edge"/>
              <c:yMode val="edge"/>
              <c:x val="2.2236029765639688E-2"/>
              <c:y val="0.37143620695924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2001574803149613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device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669844659532936"/>
                  <c:y val="0.123362761151950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Sheet1!$AF$28:$AF$39</c:f>
              <c:numCache>
                <c:formatCode>0.00</c:formatCode>
                <c:ptCount val="12"/>
                <c:pt idx="0">
                  <c:v>28.8</c:v>
                </c:pt>
                <c:pt idx="1">
                  <c:v>40.200000000000003</c:v>
                </c:pt>
                <c:pt idx="2">
                  <c:v>49.4</c:v>
                </c:pt>
                <c:pt idx="3">
                  <c:v>57.69</c:v>
                </c:pt>
                <c:pt idx="4">
                  <c:v>64.5</c:v>
                </c:pt>
                <c:pt idx="5">
                  <c:v>81.3</c:v>
                </c:pt>
                <c:pt idx="6">
                  <c:v>81.900000000000006</c:v>
                </c:pt>
                <c:pt idx="7">
                  <c:v>96.8</c:v>
                </c:pt>
                <c:pt idx="8">
                  <c:v>104.9</c:v>
                </c:pt>
                <c:pt idx="9">
                  <c:v>114.5</c:v>
                </c:pt>
              </c:numCache>
            </c:numRef>
          </c:xVal>
          <c:yVal>
            <c:numRef>
              <c:f>Sheet1!$AH$28:$AH$39</c:f>
              <c:numCache>
                <c:formatCode>0.00</c:formatCode>
                <c:ptCount val="12"/>
                <c:pt idx="0">
                  <c:v>24.455452143185475</c:v>
                </c:pt>
                <c:pt idx="1">
                  <c:v>36.194069171914506</c:v>
                </c:pt>
                <c:pt idx="2">
                  <c:v>45.976250029188698</c:v>
                </c:pt>
                <c:pt idx="3">
                  <c:v>53.80199471500805</c:v>
                </c:pt>
                <c:pt idx="4">
                  <c:v>60.649521315099982</c:v>
                </c:pt>
                <c:pt idx="5">
                  <c:v>77.279228772466098</c:v>
                </c:pt>
                <c:pt idx="6">
                  <c:v>85.104973458285443</c:v>
                </c:pt>
                <c:pt idx="7">
                  <c:v>92.930718144104802</c:v>
                </c:pt>
                <c:pt idx="8">
                  <c:v>100.75646282992416</c:v>
                </c:pt>
                <c:pt idx="9">
                  <c:v>110.53864368719836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4B-45EE-AA93-854CA0AE9160}"/>
            </c:ext>
          </c:extLst>
        </c:ser>
        <c:ser>
          <c:idx val="1"/>
          <c:order val="1"/>
          <c:tx>
            <c:v>device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5411727485738577E-2"/>
                  <c:y val="4.451625118859118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Sheet1!$AG$28:$AG$39</c:f>
              <c:numCache>
                <c:formatCode>0.00</c:formatCode>
                <c:ptCount val="12"/>
                <c:pt idx="0">
                  <c:v>26.5</c:v>
                </c:pt>
                <c:pt idx="1">
                  <c:v>37.6</c:v>
                </c:pt>
                <c:pt idx="2">
                  <c:v>46.6</c:v>
                </c:pt>
                <c:pt idx="3">
                  <c:v>54.6</c:v>
                </c:pt>
                <c:pt idx="4">
                  <c:v>61.7</c:v>
                </c:pt>
                <c:pt idx="5">
                  <c:v>78.099999999999994</c:v>
                </c:pt>
                <c:pt idx="6">
                  <c:v>85.5</c:v>
                </c:pt>
                <c:pt idx="7">
                  <c:v>93.1</c:v>
                </c:pt>
                <c:pt idx="8">
                  <c:v>101.1</c:v>
                </c:pt>
                <c:pt idx="9">
                  <c:v>110.5</c:v>
                </c:pt>
              </c:numCache>
            </c:numRef>
          </c:xVal>
          <c:yVal>
            <c:numRef>
              <c:f>Sheet1!$AH$28:$AH$39</c:f>
              <c:numCache>
                <c:formatCode>0.00</c:formatCode>
                <c:ptCount val="12"/>
                <c:pt idx="0">
                  <c:v>24.455452143185475</c:v>
                </c:pt>
                <c:pt idx="1">
                  <c:v>36.194069171914506</c:v>
                </c:pt>
                <c:pt idx="2">
                  <c:v>45.976250029188698</c:v>
                </c:pt>
                <c:pt idx="3">
                  <c:v>53.80199471500805</c:v>
                </c:pt>
                <c:pt idx="4">
                  <c:v>60.649521315099982</c:v>
                </c:pt>
                <c:pt idx="5">
                  <c:v>77.279228772466098</c:v>
                </c:pt>
                <c:pt idx="6">
                  <c:v>85.104973458285443</c:v>
                </c:pt>
                <c:pt idx="7">
                  <c:v>92.930718144104802</c:v>
                </c:pt>
                <c:pt idx="8">
                  <c:v>100.75646282992416</c:v>
                </c:pt>
                <c:pt idx="9">
                  <c:v>110.53864368719836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4B-45EE-AA93-854CA0AE9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746640"/>
        <c:axId val="1635003312"/>
      </c:scatterChart>
      <c:valAx>
        <c:axId val="174674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 device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03312"/>
        <c:crosses val="autoZero"/>
        <c:crossBetween val="midCat"/>
      </c:valAx>
      <c:valAx>
        <c:axId val="16350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0"/>
                  <a:t> water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74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60985386505669"/>
          <c:y val="0.23509345395756656"/>
          <c:w val="0.28167716294106598"/>
          <c:h val="0.23038174323933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405075</xdr:colOff>
      <xdr:row>9</xdr:row>
      <xdr:rowOff>170106</xdr:rowOff>
    </xdr:from>
    <xdr:ext cx="11898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95DBEB-6E88-F38E-8CB9-0E1D0BCF35C8}"/>
                </a:ext>
              </a:extLst>
            </xdr:cNvPr>
            <xdr:cNvSpPr txBox="1"/>
          </xdr:nvSpPr>
          <xdr:spPr>
            <a:xfrm>
              <a:off x="7155499" y="1783753"/>
              <a:ext cx="11898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𝑖𝑑𝑒𝑎𝑙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95DBEB-6E88-F38E-8CB9-0E1D0BCF35C8}"/>
                </a:ext>
              </a:extLst>
            </xdr:cNvPr>
            <xdr:cNvSpPr txBox="1"/>
          </xdr:nvSpPr>
          <xdr:spPr>
            <a:xfrm>
              <a:off x="7155499" y="1783753"/>
              <a:ext cx="11898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Δ𝑃_𝑖𝑑𝑒𝑎𝑙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134918</xdr:colOff>
      <xdr:row>10</xdr:row>
      <xdr:rowOff>6820</xdr:rowOff>
    </xdr:from>
    <xdr:ext cx="4085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6375BF9-E488-2228-64BD-E3541D8E6E3F}"/>
                </a:ext>
              </a:extLst>
            </xdr:cNvPr>
            <xdr:cNvSpPr txBox="1"/>
          </xdr:nvSpPr>
          <xdr:spPr>
            <a:xfrm>
              <a:off x="6885342" y="1799761"/>
              <a:ext cx="4085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𝑟𝑒𝑎𝑙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6375BF9-E488-2228-64BD-E3541D8E6E3F}"/>
                </a:ext>
              </a:extLst>
            </xdr:cNvPr>
            <xdr:cNvSpPr txBox="1"/>
          </xdr:nvSpPr>
          <xdr:spPr>
            <a:xfrm>
              <a:off x="6885342" y="1799761"/>
              <a:ext cx="4085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Δ𝑃_𝑟𝑒𝑎𝑙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228600</xdr:colOff>
      <xdr:row>9</xdr:row>
      <xdr:rowOff>179070</xdr:rowOff>
    </xdr:from>
    <xdr:ext cx="112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D8444C5-8E2A-26CD-1DDA-6055C6E22205}"/>
                </a:ext>
              </a:extLst>
            </xdr:cNvPr>
            <xdr:cNvSpPr txBox="1"/>
          </xdr:nvSpPr>
          <xdr:spPr>
            <a:xfrm>
              <a:off x="8153400" y="182499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D8444C5-8E2A-26CD-1DDA-6055C6E22205}"/>
                </a:ext>
              </a:extLst>
            </xdr:cNvPr>
            <xdr:cNvSpPr txBox="1"/>
          </xdr:nvSpPr>
          <xdr:spPr>
            <a:xfrm>
              <a:off x="8153400" y="182499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15240</xdr:colOff>
      <xdr:row>9</xdr:row>
      <xdr:rowOff>163830</xdr:rowOff>
    </xdr:from>
    <xdr:ext cx="554191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3AAEEA5-90BC-0241-5B09-2B53FCCD6AFF}"/>
                </a:ext>
              </a:extLst>
            </xdr:cNvPr>
            <xdr:cNvSpPr txBox="1"/>
          </xdr:nvSpPr>
          <xdr:spPr>
            <a:xfrm>
              <a:off x="3672840" y="1809750"/>
              <a:ext cx="55419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𝑜𝑟𝑖𝑓𝑖𝑐𝑒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3AAEEA5-90BC-0241-5B09-2B53FCCD6AFF}"/>
                </a:ext>
              </a:extLst>
            </xdr:cNvPr>
            <xdr:cNvSpPr txBox="1"/>
          </xdr:nvSpPr>
          <xdr:spPr>
            <a:xfrm>
              <a:off x="3672840" y="1809750"/>
              <a:ext cx="55419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Δ𝑃_𝑜𝑟𝑖𝑓𝑖𝑐𝑒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25</xdr:col>
      <xdr:colOff>409976</xdr:colOff>
      <xdr:row>3</xdr:row>
      <xdr:rowOff>14407</xdr:rowOff>
    </xdr:from>
    <xdr:to>
      <xdr:col>36</xdr:col>
      <xdr:colOff>60352</xdr:colOff>
      <xdr:row>22</xdr:row>
      <xdr:rowOff>131013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D9B85B-EB4C-D04F-4AFB-54303F69D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49</xdr:row>
      <xdr:rowOff>161926</xdr:rowOff>
    </xdr:from>
    <xdr:to>
      <xdr:col>10</xdr:col>
      <xdr:colOff>224791</xdr:colOff>
      <xdr:row>66</xdr:row>
      <xdr:rowOff>156890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9E9FF-E9D2-A79B-06C7-BE0D4B176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775643</xdr:colOff>
      <xdr:row>48</xdr:row>
      <xdr:rowOff>40822</xdr:rowOff>
    </xdr:from>
    <xdr:to>
      <xdr:col>26</xdr:col>
      <xdr:colOff>180987</xdr:colOff>
      <xdr:row>64</xdr:row>
      <xdr:rowOff>182574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518C9F-D53C-7CAA-A00B-443853694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571500</xdr:colOff>
      <xdr:row>48</xdr:row>
      <xdr:rowOff>45027</xdr:rowOff>
    </xdr:from>
    <xdr:to>
      <xdr:col>34</xdr:col>
      <xdr:colOff>350732</xdr:colOff>
      <xdr:row>64</xdr:row>
      <xdr:rowOff>131617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7C53AA-D9FE-8BF6-F40C-B3F9C5278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548640</xdr:colOff>
      <xdr:row>48</xdr:row>
      <xdr:rowOff>53340</xdr:rowOff>
    </xdr:from>
    <xdr:to>
      <xdr:col>42</xdr:col>
      <xdr:colOff>441959</xdr:colOff>
      <xdr:row>64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925C1-1805-BB19-E5A2-A28447DB6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587828</xdr:colOff>
      <xdr:row>47</xdr:row>
      <xdr:rowOff>48985</xdr:rowOff>
    </xdr:from>
    <xdr:to>
      <xdr:col>17</xdr:col>
      <xdr:colOff>326571</xdr:colOff>
      <xdr:row>62</xdr:row>
      <xdr:rowOff>16328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3D6464-A077-DC2F-7AEC-67ED11758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121024</xdr:colOff>
      <xdr:row>21</xdr:row>
      <xdr:rowOff>147918</xdr:rowOff>
    </xdr:from>
    <xdr:to>
      <xdr:col>44</xdr:col>
      <xdr:colOff>425824</xdr:colOff>
      <xdr:row>37</xdr:row>
      <xdr:rowOff>22412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3AAC7DA-032E-C3E7-1BDF-4C3972218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13</xdr:col>
      <xdr:colOff>427935</xdr:colOff>
      <xdr:row>93</xdr:row>
      <xdr:rowOff>55806</xdr:rowOff>
    </xdr:from>
    <xdr:ext cx="11898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152F0CD-3540-4323-915D-312C286AA7F4}"/>
                </a:ext>
              </a:extLst>
            </xdr:cNvPr>
            <xdr:cNvSpPr txBox="1"/>
          </xdr:nvSpPr>
          <xdr:spPr>
            <a:xfrm>
              <a:off x="7811715" y="14320446"/>
              <a:ext cx="11898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𝑖𝑑𝑒𝑎𝑙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152F0CD-3540-4323-915D-312C286AA7F4}"/>
                </a:ext>
              </a:extLst>
            </xdr:cNvPr>
            <xdr:cNvSpPr txBox="1"/>
          </xdr:nvSpPr>
          <xdr:spPr>
            <a:xfrm>
              <a:off x="7811715" y="14320446"/>
              <a:ext cx="11898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Δ𝑃_𝑖𝑑𝑒𝑎𝑙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165398</xdr:colOff>
      <xdr:row>92</xdr:row>
      <xdr:rowOff>37300</xdr:rowOff>
    </xdr:from>
    <xdr:ext cx="4085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3A1111F0-4C37-41C6-8E19-87C895E6E5CC}"/>
                </a:ext>
              </a:extLst>
            </xdr:cNvPr>
            <xdr:cNvSpPr txBox="1"/>
          </xdr:nvSpPr>
          <xdr:spPr>
            <a:xfrm>
              <a:off x="5697518" y="14119060"/>
              <a:ext cx="4085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𝑟𝑒𝑎𝑙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3A1111F0-4C37-41C6-8E19-87C895E6E5CC}"/>
                </a:ext>
              </a:extLst>
            </xdr:cNvPr>
            <xdr:cNvSpPr txBox="1"/>
          </xdr:nvSpPr>
          <xdr:spPr>
            <a:xfrm>
              <a:off x="5697518" y="14119060"/>
              <a:ext cx="4085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Δ𝑃_𝑟𝑒𝑎𝑙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205740</xdr:colOff>
      <xdr:row>91</xdr:row>
      <xdr:rowOff>148590</xdr:rowOff>
    </xdr:from>
    <xdr:ext cx="112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BC5290A-8EC7-4EAB-890F-EF3941418A05}"/>
                </a:ext>
              </a:extLst>
            </xdr:cNvPr>
            <xdr:cNvSpPr txBox="1"/>
          </xdr:nvSpPr>
          <xdr:spPr>
            <a:xfrm>
              <a:off x="8808720" y="1404747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BC5290A-8EC7-4EAB-890F-EF3941418A05}"/>
                </a:ext>
              </a:extLst>
            </xdr:cNvPr>
            <xdr:cNvSpPr txBox="1"/>
          </xdr:nvSpPr>
          <xdr:spPr>
            <a:xfrm>
              <a:off x="8808720" y="1404747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594360</xdr:colOff>
      <xdr:row>91</xdr:row>
      <xdr:rowOff>171450</xdr:rowOff>
    </xdr:from>
    <xdr:ext cx="554191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4E106A45-201F-41C6-A93D-79BAD5DFF9C8}"/>
                </a:ext>
              </a:extLst>
            </xdr:cNvPr>
            <xdr:cNvSpPr txBox="1"/>
          </xdr:nvSpPr>
          <xdr:spPr>
            <a:xfrm>
              <a:off x="4907280" y="14070330"/>
              <a:ext cx="55419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𝑜𝑟𝑖𝑓𝑖𝑐𝑒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4E106A45-201F-41C6-A93D-79BAD5DFF9C8}"/>
                </a:ext>
              </a:extLst>
            </xdr:cNvPr>
            <xdr:cNvSpPr txBox="1"/>
          </xdr:nvSpPr>
          <xdr:spPr>
            <a:xfrm>
              <a:off x="4907280" y="14070330"/>
              <a:ext cx="55419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Δ𝑃_𝑜𝑟𝑖𝑓𝑖𝑐𝑒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BF23-871A-468C-95BF-1B2B7104A87D}">
  <dimension ref="A3:AH106"/>
  <sheetViews>
    <sheetView tabSelected="1" topLeftCell="A34" zoomScaleNormal="100" workbookViewId="0">
      <selection activeCell="W12" sqref="W12"/>
    </sheetView>
  </sheetViews>
  <sheetFormatPr defaultRowHeight="15" x14ac:dyDescent="0.25"/>
  <cols>
    <col min="6" max="6" width="8.7109375" customWidth="1"/>
    <col min="7" max="7" width="9.7109375" customWidth="1"/>
    <col min="12" max="12" width="9.28515625" customWidth="1"/>
    <col min="13" max="13" width="8.85546875" customWidth="1"/>
    <col min="18" max="18" width="13" bestFit="1" customWidth="1"/>
  </cols>
  <sheetData>
    <row r="3" spans="1:23" x14ac:dyDescent="0.25">
      <c r="A3" s="3" t="s">
        <v>4</v>
      </c>
      <c r="B3" s="2" t="s">
        <v>1</v>
      </c>
      <c r="C3" s="2" t="s">
        <v>3</v>
      </c>
      <c r="E3" s="3" t="s">
        <v>5</v>
      </c>
      <c r="F3" s="3" t="s">
        <v>8</v>
      </c>
      <c r="G3" s="3" t="s">
        <v>9</v>
      </c>
      <c r="H3" s="3" t="s">
        <v>15</v>
      </c>
    </row>
    <row r="4" spans="1:23" x14ac:dyDescent="0.25">
      <c r="A4">
        <v>19.5</v>
      </c>
      <c r="B4">
        <v>100300</v>
      </c>
      <c r="C4">
        <f>B4/(287*((A4+273)))</f>
        <v>1.1947943655260729</v>
      </c>
      <c r="E4">
        <v>0.1</v>
      </c>
      <c r="F4">
        <v>0.105</v>
      </c>
      <c r="G4">
        <v>0.36</v>
      </c>
      <c r="H4">
        <v>0.6</v>
      </c>
    </row>
    <row r="11" spans="1:23" x14ac:dyDescent="0.25">
      <c r="E11" s="6"/>
      <c r="F11" s="6" t="s">
        <v>0</v>
      </c>
      <c r="G11" s="6"/>
      <c r="H11" s="6" t="s">
        <v>2</v>
      </c>
      <c r="I11" s="6" t="s">
        <v>6</v>
      </c>
      <c r="J11" s="6" t="s">
        <v>7</v>
      </c>
      <c r="K11" s="6"/>
      <c r="L11" s="6"/>
      <c r="M11" s="6"/>
      <c r="N11" s="6"/>
      <c r="P11" s="6" t="s">
        <v>16</v>
      </c>
      <c r="Q11" s="6" t="s">
        <v>17</v>
      </c>
      <c r="R11" s="6" t="s">
        <v>9</v>
      </c>
      <c r="S11" s="6" t="s">
        <v>8</v>
      </c>
      <c r="T11" s="6" t="s">
        <v>5</v>
      </c>
      <c r="U11" s="6" t="s">
        <v>18</v>
      </c>
      <c r="V11" s="6" t="s">
        <v>19</v>
      </c>
      <c r="W11" s="6" t="s">
        <v>35</v>
      </c>
    </row>
    <row r="12" spans="1:23" x14ac:dyDescent="0.25">
      <c r="E12" s="6">
        <v>1</v>
      </c>
      <c r="F12" s="10">
        <v>8.0000000000000002E-3</v>
      </c>
      <c r="G12" s="7">
        <v>529.20000000000005</v>
      </c>
      <c r="H12" s="7">
        <f>0.6*$E$4^2*PI()/4*SQRT(2*G12/$C$4)</f>
        <v>0.14025535908235798</v>
      </c>
      <c r="I12" s="7">
        <f>4*H12/($F$4^2*PI())</f>
        <v>16.197611750085102</v>
      </c>
      <c r="J12" s="7">
        <f t="shared" ref="J12:J21" si="0">H12/($G$4*PI()*F12)</f>
        <v>15.501620620198629</v>
      </c>
      <c r="K12" s="7">
        <v>157.69999999999999</v>
      </c>
      <c r="L12" s="7">
        <f>-K12</f>
        <v>-157.69999999999999</v>
      </c>
      <c r="M12" s="7">
        <f>$C$4*(I12^2-J12^2)/2</f>
        <v>13.180006377551088</v>
      </c>
      <c r="N12" s="7">
        <f>L12/M12</f>
        <v>-11.965092844613741</v>
      </c>
      <c r="O12" s="4"/>
      <c r="P12" s="14">
        <f>2/($H$4^2*$E$4^4*G12*((1/$F$4)^4-1/(16*$G$4^2*F12^2)))</f>
        <v>0.15174499485876761</v>
      </c>
      <c r="Q12" s="14">
        <f>-2*L12/($H$4^2*$E$4^4*G12^2*((1/$F$4)^4-1/(16*$G$4^2*F12^2)))</f>
        <v>4.5219549677300915E-2</v>
      </c>
      <c r="R12" s="14">
        <f>-32*10^-3*L12*F12^2*$F$4^8*$G$4/($H$4^2*$E$4^4*G12*($F$4^4-(16*$G$4^2*F12^2))^2)</f>
        <v>0.72401126837026875</v>
      </c>
      <c r="S12" s="14">
        <f>4*L12*10^-3/($H$4^2*$E$4^4*$F$4^5*G12*((1/$F$4)^4-1/(16*$G$4^2*F12^2))^2)</f>
        <v>-5.4204617581433734</v>
      </c>
      <c r="T12" s="14">
        <f>-4*L12*10^-3/($H$4^2*$E$4^5*G12*((1/$F$4)^4-1/(16*$G$4^2*F12^2)))</f>
        <v>0.4786037137845528</v>
      </c>
      <c r="U12" s="14">
        <f>-6.4*10^-3*L12*F12*$F$4^8*$G$4^2/($H$4^2*$E$4^4*G12*($F$4^4-16*$G$4^2*F12^2)^2)</f>
        <v>6.5161014153324208</v>
      </c>
      <c r="V12" s="14">
        <f>SQRT(P12^2+Q12^2+R12^2+S12^2+T12^2+U12^2)</f>
        <v>8.521696339878881</v>
      </c>
      <c r="W12" s="14">
        <f>(V12/N12)*100</f>
        <v>-71.221313955077619</v>
      </c>
    </row>
    <row r="13" spans="1:23" x14ac:dyDescent="0.25">
      <c r="E13" s="6">
        <v>2</v>
      </c>
      <c r="F13" s="10">
        <v>8.9999999999999993E-3</v>
      </c>
      <c r="G13" s="7">
        <v>539.4</v>
      </c>
      <c r="H13" s="7">
        <f t="shared" ref="H13:H21" si="1">0.6*$E$4^2*PI()/4*SQRT(2*G13/$C$4)</f>
        <v>0.14160057526129086</v>
      </c>
      <c r="I13" s="7">
        <f t="shared" ref="I13:I21" si="2">4*H13/($F$4^2*PI())</f>
        <v>16.352966165979421</v>
      </c>
      <c r="J13" s="7">
        <f t="shared" si="0"/>
        <v>13.911377467586661</v>
      </c>
      <c r="K13" s="7">
        <v>130.5</v>
      </c>
      <c r="L13" s="7">
        <f t="shared" ref="L13:L21" si="3">-K13</f>
        <v>-130.5</v>
      </c>
      <c r="M13" s="7">
        <f t="shared" ref="M13:M21" si="4">$C$4*(I13^2-J13^2)/2</f>
        <v>44.143517447291352</v>
      </c>
      <c r="N13" s="7">
        <f t="shared" ref="N13:N21" si="5">L13/M13</f>
        <v>-2.956266458734758</v>
      </c>
      <c r="O13" s="4"/>
      <c r="P13" s="14">
        <f t="shared" ref="P13:P21" si="6">2/($H$4^2*$E$4^4*G13*((1/$F$4)^4-1/(16*$G$4^2*F13^2)))</f>
        <v>4.5306765651107458E-2</v>
      </c>
      <c r="Q13" s="14">
        <f t="shared" ref="Q13:Q21" si="7">-2*L13/($H$4^2*$E$4^4*G13^2*((1/$F$4)^4-1/(16*$G$4^2*F13^2)))</f>
        <v>1.0961314270429222E-2</v>
      </c>
      <c r="R13" s="14">
        <f t="shared" ref="R13:R21" si="8">-32*10^-3*L13*F13^2*$F$4^8*$G$4/($H$4^2*$E$4^4*G13*($F$4^4-(16*$G$4^2*F13^2))^2)</f>
        <v>4.3013776581670195E-2</v>
      </c>
      <c r="S13" s="14">
        <f t="shared" ref="S13:S21" si="9">4*L13*10^-3/($H$4^2*$E$4^4*$F$4^5*G13*((1/$F$4)^4-1/(16*$G$4^2*F13^2))^2)</f>
        <v>-0.40757128546420657</v>
      </c>
      <c r="T13" s="14">
        <f t="shared" ref="T13:T21" si="10">-4*L13*10^-3/($H$4^2*$E$4^5*G13*((1/$F$4)^4-1/(16*$G$4^2*F13^2)))</f>
        <v>0.11825065834939046</v>
      </c>
      <c r="U13" s="14">
        <f t="shared" ref="U13:U21" si="11">-6.4*10^-3*L13*F13*$F$4^8*$G$4^2/($H$4^2*$E$4^4*G13*($F$4^4-16*$G$4^2*F13^2)^2)</f>
        <v>0.3441102126533615</v>
      </c>
      <c r="V13" s="14">
        <f t="shared" ref="V13:V21" si="12">SQRT(P13^2+Q13^2+R13^2+S13^2+T13^2+U13^2)</f>
        <v>0.55002949719762217</v>
      </c>
      <c r="W13" s="14">
        <f t="shared" ref="W13:W21" si="13">(V13/N13)*100</f>
        <v>-18.605545368634576</v>
      </c>
    </row>
    <row r="14" spans="1:23" x14ac:dyDescent="0.25">
      <c r="E14" s="6">
        <v>3</v>
      </c>
      <c r="F14" s="10">
        <v>0.01</v>
      </c>
      <c r="G14" s="7">
        <v>581.5</v>
      </c>
      <c r="H14" s="7">
        <f t="shared" si="1"/>
        <v>0.14702270409193877</v>
      </c>
      <c r="I14" s="7">
        <f t="shared" si="2"/>
        <v>16.979149281066</v>
      </c>
      <c r="J14" s="7">
        <f t="shared" si="0"/>
        <v>12.999661168316155</v>
      </c>
      <c r="K14" s="7">
        <v>31.2</v>
      </c>
      <c r="L14" s="7">
        <f t="shared" si="3"/>
        <v>-31.2</v>
      </c>
      <c r="M14" s="7">
        <f t="shared" si="4"/>
        <v>71.269674961821508</v>
      </c>
      <c r="N14" s="7">
        <f t="shared" si="5"/>
        <v>-0.4377738500521231</v>
      </c>
      <c r="O14" s="4"/>
      <c r="P14" s="14">
        <f t="shared" si="6"/>
        <v>2.8062426285392524E-2</v>
      </c>
      <c r="Q14" s="14">
        <f t="shared" si="7"/>
        <v>1.5056710233950932E-3</v>
      </c>
      <c r="R14" s="14">
        <f t="shared" si="8"/>
        <v>3.4450836249595106E-3</v>
      </c>
      <c r="S14" s="14">
        <f t="shared" si="9"/>
        <v>-4.0300529620755685E-2</v>
      </c>
      <c r="T14" s="14">
        <f t="shared" si="10"/>
        <v>1.7510954002084928E-2</v>
      </c>
      <c r="U14" s="14">
        <f t="shared" si="11"/>
        <v>2.4804602099708476E-2</v>
      </c>
      <c r="V14" s="14">
        <f t="shared" si="12"/>
        <v>5.7859052001723532E-2</v>
      </c>
      <c r="W14" s="14">
        <f t="shared" si="13"/>
        <v>-13.216653300519116</v>
      </c>
    </row>
    <row r="15" spans="1:23" x14ac:dyDescent="0.25">
      <c r="E15" s="6">
        <v>4</v>
      </c>
      <c r="F15" s="10">
        <v>1.2E-2</v>
      </c>
      <c r="G15" s="7">
        <v>614.29999999999995</v>
      </c>
      <c r="H15" s="7">
        <f t="shared" si="1"/>
        <v>0.15111229600356985</v>
      </c>
      <c r="I15" s="7">
        <f t="shared" si="2"/>
        <v>17.451442264623168</v>
      </c>
      <c r="J15" s="7">
        <f t="shared" si="0"/>
        <v>11.134383736543427</v>
      </c>
      <c r="K15" s="7">
        <v>-41.36</v>
      </c>
      <c r="L15" s="7">
        <f t="shared" si="3"/>
        <v>41.36</v>
      </c>
      <c r="M15" s="7">
        <f t="shared" si="4"/>
        <v>107.87698914836159</v>
      </c>
      <c r="N15" s="7">
        <f t="shared" si="5"/>
        <v>0.38339965108887325</v>
      </c>
      <c r="O15" s="4"/>
      <c r="P15" s="14">
        <f t="shared" si="6"/>
        <v>1.8539634965612835E-2</v>
      </c>
      <c r="Q15" s="14">
        <f t="shared" si="7"/>
        <v>-1.2482489047334316E-3</v>
      </c>
      <c r="R15" s="14">
        <f t="shared" si="8"/>
        <v>-1.4623318233559165E-3</v>
      </c>
      <c r="S15" s="14">
        <f t="shared" si="9"/>
        <v>2.4633119211159585E-2</v>
      </c>
      <c r="T15" s="14">
        <f t="shared" si="10"/>
        <v>-1.5335986043554937E-2</v>
      </c>
      <c r="U15" s="14">
        <f t="shared" si="11"/>
        <v>-8.7739909401354996E-3</v>
      </c>
      <c r="V15" s="14">
        <f t="shared" si="12"/>
        <v>3.5586241040110329E-2</v>
      </c>
      <c r="W15" s="14">
        <f t="shared" si="13"/>
        <v>9.2817614567576445</v>
      </c>
    </row>
    <row r="16" spans="1:23" x14ac:dyDescent="0.25">
      <c r="E16" s="6">
        <v>5</v>
      </c>
      <c r="F16" s="10">
        <v>1.4E-2</v>
      </c>
      <c r="G16" s="7">
        <v>627.6</v>
      </c>
      <c r="H16" s="7">
        <f t="shared" si="1"/>
        <v>0.15273937673768137</v>
      </c>
      <c r="I16" s="7">
        <f t="shared" si="2"/>
        <v>17.639348254024302</v>
      </c>
      <c r="J16" s="7">
        <f t="shared" si="0"/>
        <v>9.64651857641954</v>
      </c>
      <c r="K16" s="7">
        <v>-81.599999999999994</v>
      </c>
      <c r="L16" s="7">
        <f t="shared" si="3"/>
        <v>81.599999999999994</v>
      </c>
      <c r="M16" s="7">
        <f t="shared" si="4"/>
        <v>130.28711995002089</v>
      </c>
      <c r="N16" s="7">
        <f t="shared" si="5"/>
        <v>0.62630903216912281</v>
      </c>
      <c r="O16" s="4"/>
      <c r="P16" s="14">
        <f t="shared" si="6"/>
        <v>1.5350711572772624E-2</v>
      </c>
      <c r="Q16" s="14">
        <f t="shared" si="7"/>
        <v>-1.9958860171100158E-3</v>
      </c>
      <c r="R16" s="14">
        <f t="shared" si="8"/>
        <v>-1.4846328503563891E-3</v>
      </c>
      <c r="S16" s="14">
        <f t="shared" si="9"/>
        <v>3.4039731246981855E-2</v>
      </c>
      <c r="T16" s="14">
        <f t="shared" si="10"/>
        <v>-2.5052361286764916E-2</v>
      </c>
      <c r="U16" s="14">
        <f t="shared" si="11"/>
        <v>-7.6352546589757162E-3</v>
      </c>
      <c r="V16" s="14">
        <f t="shared" si="12"/>
        <v>4.5677710807360619E-2</v>
      </c>
      <c r="W16" s="14">
        <f t="shared" si="13"/>
        <v>7.2931585625011746</v>
      </c>
    </row>
    <row r="17" spans="2:34" x14ac:dyDescent="0.25">
      <c r="E17" s="6">
        <v>6</v>
      </c>
      <c r="F17" s="10">
        <v>1.6E-2</v>
      </c>
      <c r="G17" s="7">
        <v>644.1</v>
      </c>
      <c r="H17" s="7">
        <f t="shared" si="1"/>
        <v>0.15473415807696125</v>
      </c>
      <c r="I17" s="7">
        <f t="shared" si="2"/>
        <v>17.869718728788104</v>
      </c>
      <c r="J17" s="7">
        <f t="shared" si="0"/>
        <v>8.5509396260802433</v>
      </c>
      <c r="K17" s="7">
        <v>-111.6</v>
      </c>
      <c r="L17" s="7">
        <f t="shared" si="3"/>
        <v>111.6</v>
      </c>
      <c r="M17" s="7">
        <f t="shared" si="4"/>
        <v>147.08413222192584</v>
      </c>
      <c r="N17" s="7">
        <f t="shared" si="5"/>
        <v>0.75874941990080813</v>
      </c>
      <c r="O17" s="4"/>
      <c r="P17" s="14">
        <f t="shared" si="6"/>
        <v>1.3597659854853198E-2</v>
      </c>
      <c r="Q17" s="14">
        <f t="shared" si="7"/>
        <v>-2.355998819750996E-3</v>
      </c>
      <c r="R17" s="14">
        <f t="shared" si="8"/>
        <v>-1.2518459677919661E-3</v>
      </c>
      <c r="S17" s="14">
        <f t="shared" si="9"/>
        <v>3.7488826442032872E-2</v>
      </c>
      <c r="T17" s="14">
        <f t="shared" si="10"/>
        <v>-3.0349976796032331E-2</v>
      </c>
      <c r="U17" s="14">
        <f t="shared" si="11"/>
        <v>-5.6333068550638472E-3</v>
      </c>
      <c r="V17" s="14">
        <f t="shared" si="12"/>
        <v>5.0500312354854845E-2</v>
      </c>
      <c r="W17" s="14">
        <f t="shared" si="13"/>
        <v>6.6557299459229631</v>
      </c>
    </row>
    <row r="18" spans="2:34" x14ac:dyDescent="0.25">
      <c r="E18" s="6">
        <v>7</v>
      </c>
      <c r="F18" s="10">
        <v>1.7999999999999999E-2</v>
      </c>
      <c r="G18" s="7">
        <v>649.5</v>
      </c>
      <c r="H18" s="7">
        <f t="shared" si="1"/>
        <v>0.15538143369963678</v>
      </c>
      <c r="I18" s="7">
        <f t="shared" si="2"/>
        <v>17.944470376782078</v>
      </c>
      <c r="J18" s="7">
        <f t="shared" si="0"/>
        <v>7.6326306290132102</v>
      </c>
      <c r="K18" s="7">
        <v>-125.2</v>
      </c>
      <c r="L18" s="7">
        <f t="shared" si="3"/>
        <v>125.2</v>
      </c>
      <c r="M18" s="7">
        <f t="shared" si="4"/>
        <v>157.56169491921247</v>
      </c>
      <c r="N18" s="7">
        <f t="shared" si="5"/>
        <v>0.79460937548427957</v>
      </c>
      <c r="O18" s="4"/>
      <c r="P18" s="14">
        <f t="shared" si="6"/>
        <v>1.2693440502943772E-2</v>
      </c>
      <c r="Q18" s="14">
        <f t="shared" si="7"/>
        <v>-2.4468341046475139E-3</v>
      </c>
      <c r="R18" s="14">
        <f t="shared" si="8"/>
        <v>-9.7508437592264607E-4</v>
      </c>
      <c r="S18" s="14">
        <f t="shared" si="9"/>
        <v>3.6957126215251691E-2</v>
      </c>
      <c r="T18" s="14">
        <f t="shared" si="10"/>
        <v>-3.1784375019371203E-2</v>
      </c>
      <c r="U18" s="14">
        <f t="shared" si="11"/>
        <v>-3.9003375036905851E-3</v>
      </c>
      <c r="V18" s="14">
        <f t="shared" si="12"/>
        <v>5.0590014079681528E-2</v>
      </c>
      <c r="W18" s="14">
        <f t="shared" si="13"/>
        <v>6.3666520482279898</v>
      </c>
    </row>
    <row r="19" spans="2:34" x14ac:dyDescent="0.25">
      <c r="E19" s="6">
        <v>8</v>
      </c>
      <c r="F19" s="10">
        <v>0.02</v>
      </c>
      <c r="G19" s="7">
        <v>653.1</v>
      </c>
      <c r="H19" s="7">
        <f t="shared" si="1"/>
        <v>0.15581145693989795</v>
      </c>
      <c r="I19" s="7">
        <f t="shared" si="2"/>
        <v>17.994132290129532</v>
      </c>
      <c r="J19" s="7">
        <f t="shared" si="0"/>
        <v>6.8883787673152108</v>
      </c>
      <c r="K19" s="7">
        <v>-130.5</v>
      </c>
      <c r="L19" s="7">
        <f t="shared" si="3"/>
        <v>130.5</v>
      </c>
      <c r="M19" s="7">
        <f t="shared" si="4"/>
        <v>165.08416089650157</v>
      </c>
      <c r="N19" s="7">
        <f t="shared" si="5"/>
        <v>0.7905058807053944</v>
      </c>
      <c r="O19" s="4"/>
      <c r="P19" s="14">
        <f t="shared" si="6"/>
        <v>1.2115032654488808E-2</v>
      </c>
      <c r="Q19" s="14">
        <f t="shared" si="7"/>
        <v>-2.4207805258165513E-3</v>
      </c>
      <c r="R19" s="14">
        <f t="shared" si="8"/>
        <v>-7.54092119626869E-4</v>
      </c>
      <c r="S19" s="14">
        <f t="shared" si="9"/>
        <v>3.5285427132885017E-2</v>
      </c>
      <c r="T19" s="14">
        <f t="shared" si="10"/>
        <v>-3.162023522821579E-2</v>
      </c>
      <c r="U19" s="14">
        <f t="shared" si="11"/>
        <v>-2.714731630656728E-3</v>
      </c>
      <c r="V19" s="14">
        <f t="shared" si="12"/>
        <v>4.9045624281506613E-2</v>
      </c>
      <c r="W19" s="14">
        <f t="shared" si="13"/>
        <v>6.2043338928410741</v>
      </c>
    </row>
    <row r="20" spans="2:34" x14ac:dyDescent="0.25">
      <c r="E20" s="6">
        <v>9</v>
      </c>
      <c r="F20" s="10">
        <v>2.1999999999999999E-2</v>
      </c>
      <c r="G20" s="7">
        <v>655.5</v>
      </c>
      <c r="H20" s="7">
        <f t="shared" si="1"/>
        <v>0.15609748096575116</v>
      </c>
      <c r="I20" s="7">
        <f t="shared" si="2"/>
        <v>18.02716422667925</v>
      </c>
      <c r="J20" s="7">
        <f t="shared" si="0"/>
        <v>6.2736580050233188</v>
      </c>
      <c r="K20" s="7">
        <v>-131.1</v>
      </c>
      <c r="L20" s="7">
        <f t="shared" si="3"/>
        <v>131.1</v>
      </c>
      <c r="M20" s="7">
        <f t="shared" si="4"/>
        <v>170.62850286640219</v>
      </c>
      <c r="N20" s="7">
        <f t="shared" si="5"/>
        <v>0.76833587470815468</v>
      </c>
      <c r="O20" s="4"/>
      <c r="P20" s="14">
        <f t="shared" si="6"/>
        <v>1.1721371086318155E-2</v>
      </c>
      <c r="Q20" s="14">
        <f t="shared" si="7"/>
        <v>-2.3442742172636306E-3</v>
      </c>
      <c r="R20" s="14">
        <f t="shared" si="8"/>
        <v>-5.8820928704216382E-4</v>
      </c>
      <c r="S20" s="14">
        <f t="shared" si="9"/>
        <v>3.3303373195266467E-2</v>
      </c>
      <c r="T20" s="14">
        <f t="shared" si="10"/>
        <v>-3.0733434988326189E-2</v>
      </c>
      <c r="U20" s="14">
        <f t="shared" si="11"/>
        <v>-1.9250485757743548E-3</v>
      </c>
      <c r="V20" s="14">
        <f t="shared" si="12"/>
        <v>4.6910517544557329E-2</v>
      </c>
      <c r="W20" s="14">
        <f t="shared" si="13"/>
        <v>6.1054701581357058</v>
      </c>
    </row>
    <row r="21" spans="2:34" x14ac:dyDescent="0.25">
      <c r="E21" s="6">
        <v>10</v>
      </c>
      <c r="F21" s="10">
        <v>2.5000000000000001E-2</v>
      </c>
      <c r="G21" s="7">
        <v>650.1</v>
      </c>
      <c r="H21" s="7">
        <f t="shared" si="1"/>
        <v>0.15545318684763096</v>
      </c>
      <c r="I21" s="7">
        <f t="shared" si="2"/>
        <v>17.952756902449689</v>
      </c>
      <c r="J21" s="7">
        <f t="shared" si="0"/>
        <v>5.498031801375217</v>
      </c>
      <c r="K21" s="7">
        <v>-125.2</v>
      </c>
      <c r="L21" s="7">
        <f t="shared" si="3"/>
        <v>125.2</v>
      </c>
      <c r="M21" s="7">
        <f t="shared" si="4"/>
        <v>174.48366305705966</v>
      </c>
      <c r="N21" s="7">
        <f t="shared" si="5"/>
        <v>0.71754568769602856</v>
      </c>
      <c r="O21" s="4"/>
      <c r="P21" s="14">
        <f t="shared" si="6"/>
        <v>1.1462391177252855E-2</v>
      </c>
      <c r="Q21" s="14">
        <f t="shared" si="7"/>
        <v>-2.2074932708691856E-3</v>
      </c>
      <c r="R21" s="14">
        <f t="shared" si="8"/>
        <v>-4.1257218849427492E-4</v>
      </c>
      <c r="S21" s="14">
        <f t="shared" si="9"/>
        <v>3.0164140252380903E-2</v>
      </c>
      <c r="T21" s="14">
        <f t="shared" si="10"/>
        <v>-2.8701827507841147E-2</v>
      </c>
      <c r="U21" s="14">
        <f t="shared" si="11"/>
        <v>-1.188207902863512E-3</v>
      </c>
      <c r="V21" s="14">
        <f t="shared" si="12"/>
        <v>4.3260972611900622E-2</v>
      </c>
      <c r="W21" s="14">
        <f t="shared" si="13"/>
        <v>6.0290199430795157</v>
      </c>
    </row>
    <row r="22" spans="2:34" x14ac:dyDescent="0.25">
      <c r="E22" s="1">
        <v>11</v>
      </c>
    </row>
    <row r="26" spans="2:34" x14ac:dyDescent="0.25">
      <c r="B26" t="s">
        <v>13</v>
      </c>
      <c r="C26" s="6"/>
      <c r="D26" s="6" t="s">
        <v>20</v>
      </c>
      <c r="E26" s="11" t="s">
        <v>10</v>
      </c>
      <c r="F26" s="6" t="s">
        <v>20</v>
      </c>
      <c r="G26" s="11" t="s">
        <v>11</v>
      </c>
      <c r="I26" t="s">
        <v>12</v>
      </c>
      <c r="K26" t="s">
        <v>20</v>
      </c>
      <c r="L26" s="1" t="s">
        <v>10</v>
      </c>
      <c r="M26" t="s">
        <v>20</v>
      </c>
      <c r="N26" s="1" t="s">
        <v>11</v>
      </c>
      <c r="P26" t="s">
        <v>14</v>
      </c>
      <c r="R26" t="s">
        <v>20</v>
      </c>
      <c r="S26" s="5" t="s">
        <v>10</v>
      </c>
      <c r="T26" s="4" t="s">
        <v>20</v>
      </c>
      <c r="U26" s="5" t="s">
        <v>11</v>
      </c>
      <c r="W26" t="s">
        <v>24</v>
      </c>
      <c r="X26" t="s">
        <v>21</v>
      </c>
      <c r="Y26" t="s">
        <v>22</v>
      </c>
      <c r="Z26" t="s">
        <v>23</v>
      </c>
      <c r="AA26" t="s">
        <v>25</v>
      </c>
      <c r="AB26" t="s">
        <v>26</v>
      </c>
      <c r="AC26" t="s">
        <v>19</v>
      </c>
      <c r="AE26" t="s">
        <v>27</v>
      </c>
      <c r="AF26" t="s">
        <v>28</v>
      </c>
      <c r="AG26" t="s">
        <v>29</v>
      </c>
      <c r="AH26" t="s">
        <v>30</v>
      </c>
    </row>
    <row r="27" spans="2:34" x14ac:dyDescent="0.25">
      <c r="C27" s="6">
        <v>1</v>
      </c>
      <c r="D27" s="10">
        <v>1.6E-2</v>
      </c>
      <c r="E27" s="7">
        <v>351.3</v>
      </c>
      <c r="F27" s="10">
        <f>52.5*10^-3</f>
        <v>5.2499999999999998E-2</v>
      </c>
      <c r="G27" s="7">
        <v>137.19999999999999</v>
      </c>
      <c r="H27" s="4"/>
      <c r="I27" s="4"/>
      <c r="J27" s="12">
        <v>1</v>
      </c>
      <c r="K27" s="13">
        <f>D27</f>
        <v>1.6E-2</v>
      </c>
      <c r="L27" s="4">
        <v>166.8</v>
      </c>
      <c r="M27" s="13">
        <f>52.5*10^-3</f>
        <v>5.2499999999999998E-2</v>
      </c>
      <c r="N27" s="4">
        <v>-118.5</v>
      </c>
      <c r="O27" s="4"/>
      <c r="P27" s="4"/>
      <c r="Q27" s="4">
        <v>1</v>
      </c>
      <c r="R27" s="13">
        <f>D27</f>
        <v>1.6E-2</v>
      </c>
      <c r="S27" s="4">
        <v>137.4</v>
      </c>
      <c r="T27" s="13">
        <f>52.5*10^-3</f>
        <v>5.2499999999999998E-2</v>
      </c>
      <c r="U27" s="4">
        <v>-156.6</v>
      </c>
      <c r="V27" s="4"/>
      <c r="W27" s="4"/>
      <c r="X27" s="4">
        <v>0</v>
      </c>
      <c r="Y27" s="4">
        <v>55.4</v>
      </c>
      <c r="Z27" s="13">
        <f>SQRT(2*Y27/$C$4)</f>
        <v>9.6299337033340038</v>
      </c>
      <c r="AA27" s="13">
        <f>SQRT(1/(2*(Y27*$C$4)))*2</f>
        <v>0.17382551811072211</v>
      </c>
      <c r="AB27" s="13">
        <f>-SQRT(Y27/(2*$C$4^3))*0.004255</f>
        <v>-1.7147456118796044E-2</v>
      </c>
      <c r="AC27" s="13">
        <f>SQRT(AA27^2+AB27^2)</f>
        <v>0.17466924743012727</v>
      </c>
      <c r="AD27" s="4"/>
      <c r="AE27" s="4">
        <v>-2.7</v>
      </c>
      <c r="AF27" s="4">
        <v>-6.6</v>
      </c>
      <c r="AG27" s="4">
        <v>-8.6999999999999993</v>
      </c>
      <c r="AH27" s="4">
        <f t="shared" ref="AH27:AH37" si="14">(998.359-$C$4)*9.81*AE27/1000</f>
        <v>-26.411888314640318</v>
      </c>
    </row>
    <row r="28" spans="2:34" x14ac:dyDescent="0.25">
      <c r="C28" s="6">
        <v>2</v>
      </c>
      <c r="D28" s="10">
        <v>2.7E-2</v>
      </c>
      <c r="E28" s="7">
        <v>350.6</v>
      </c>
      <c r="F28" s="10">
        <v>5.28E-2</v>
      </c>
      <c r="G28" s="7">
        <v>94.78</v>
      </c>
      <c r="H28" s="4"/>
      <c r="I28" s="4"/>
      <c r="J28" s="12">
        <v>2</v>
      </c>
      <c r="K28" s="13">
        <f t="shared" ref="K28:K41" si="15">D28</f>
        <v>2.7E-2</v>
      </c>
      <c r="L28" s="4">
        <v>162.6</v>
      </c>
      <c r="M28" s="13">
        <v>5.28E-2</v>
      </c>
      <c r="N28" s="4">
        <v>-169.9</v>
      </c>
      <c r="O28" s="4"/>
      <c r="P28" s="4"/>
      <c r="Q28" s="4">
        <v>2</v>
      </c>
      <c r="R28" s="13">
        <f t="shared" ref="R28:R41" si="16">D28</f>
        <v>2.7E-2</v>
      </c>
      <c r="S28" s="4">
        <v>135.69999999999999</v>
      </c>
      <c r="T28" s="13">
        <v>5.28E-2</v>
      </c>
      <c r="U28" s="4">
        <v>-187.2</v>
      </c>
      <c r="V28" s="4"/>
      <c r="W28" s="4"/>
      <c r="X28" s="4">
        <v>30</v>
      </c>
      <c r="Y28" s="4">
        <v>55.6</v>
      </c>
      <c r="Z28" s="13">
        <f t="shared" ref="Z28:Z39" si="17">SQRT(2*Y28/$C$4)</f>
        <v>9.6473005951757802</v>
      </c>
      <c r="AA28" s="13">
        <f t="shared" ref="AA28:AA39" si="18">SQRT(1/(2*(Y28*$C$4)))*2</f>
        <v>0.17351260063265792</v>
      </c>
      <c r="AB28" s="13">
        <f t="shared" ref="AB28:AB39" si="19">-SQRT(Y28/(2*$C$4^3))*0.004255</f>
        <v>-1.717838032086751E-2</v>
      </c>
      <c r="AC28" s="13">
        <f t="shared" ref="AC28:AC39" si="20">SQRT(AA28^2+AB28^2)</f>
        <v>0.1743608881852711</v>
      </c>
      <c r="AD28" s="4"/>
      <c r="AE28" s="4">
        <v>2.5</v>
      </c>
      <c r="AF28" s="4">
        <v>28.8</v>
      </c>
      <c r="AG28" s="4">
        <v>26.5</v>
      </c>
      <c r="AH28" s="4">
        <f t="shared" si="14"/>
        <v>24.455452143185475</v>
      </c>
    </row>
    <row r="29" spans="2:34" x14ac:dyDescent="0.25">
      <c r="C29" s="6">
        <v>3</v>
      </c>
      <c r="D29" s="10">
        <v>3.7999999999999999E-2</v>
      </c>
      <c r="E29" s="7">
        <v>347.2</v>
      </c>
      <c r="F29" s="10">
        <v>6.5430000000000002E-2</v>
      </c>
      <c r="G29" s="7">
        <v>131.30000000000001</v>
      </c>
      <c r="H29" s="4"/>
      <c r="I29" s="4"/>
      <c r="J29" s="12">
        <v>3</v>
      </c>
      <c r="K29" s="13">
        <f t="shared" si="15"/>
        <v>3.7999999999999999E-2</v>
      </c>
      <c r="L29" s="4">
        <v>155.1</v>
      </c>
      <c r="M29" s="13">
        <v>6.5430000000000002E-2</v>
      </c>
      <c r="N29" s="4">
        <v>-104.6</v>
      </c>
      <c r="O29" s="4"/>
      <c r="P29" s="4"/>
      <c r="Q29" s="4">
        <v>3</v>
      </c>
      <c r="R29" s="13">
        <f t="shared" si="16"/>
        <v>3.7999999999999999E-2</v>
      </c>
      <c r="S29" s="4">
        <v>128.5</v>
      </c>
      <c r="T29" s="13">
        <v>6.5430000000000002E-2</v>
      </c>
      <c r="U29" s="4">
        <v>-106.3</v>
      </c>
      <c r="V29" s="4"/>
      <c r="W29" s="4"/>
      <c r="X29" s="4">
        <v>60</v>
      </c>
      <c r="Y29" s="4">
        <v>55</v>
      </c>
      <c r="Z29" s="13">
        <f t="shared" si="17"/>
        <v>9.5951056192449808</v>
      </c>
      <c r="AA29" s="13">
        <f t="shared" si="18"/>
        <v>0.17445646580445417</v>
      </c>
      <c r="AB29" s="13">
        <f t="shared" si="19"/>
        <v>-1.7085439799471691E-2</v>
      </c>
      <c r="AC29" s="13">
        <f t="shared" si="20"/>
        <v>0.17529110278083729</v>
      </c>
      <c r="AD29" s="4"/>
      <c r="AE29" s="4">
        <v>3.7</v>
      </c>
      <c r="AF29" s="4">
        <v>40.200000000000003</v>
      </c>
      <c r="AG29" s="4">
        <v>37.6</v>
      </c>
      <c r="AH29" s="4">
        <f t="shared" si="14"/>
        <v>36.194069171914506</v>
      </c>
    </row>
    <row r="30" spans="2:34" x14ac:dyDescent="0.25">
      <c r="C30" s="6">
        <v>4</v>
      </c>
      <c r="D30" s="10">
        <v>4.9000000000000002E-2</v>
      </c>
      <c r="E30" s="7">
        <v>331.6</v>
      </c>
      <c r="F30" s="10">
        <v>6.5790000000000001E-2</v>
      </c>
      <c r="G30" s="7">
        <v>197.56</v>
      </c>
      <c r="H30" s="4"/>
      <c r="I30" s="4"/>
      <c r="J30" s="12">
        <v>4</v>
      </c>
      <c r="K30" s="13">
        <f t="shared" si="15"/>
        <v>4.9000000000000002E-2</v>
      </c>
      <c r="L30" s="4">
        <v>140.9</v>
      </c>
      <c r="M30" s="13">
        <v>6.5790000000000001E-2</v>
      </c>
      <c r="N30" s="4">
        <v>-47.3</v>
      </c>
      <c r="O30" s="4"/>
      <c r="P30" s="4"/>
      <c r="Q30" s="4">
        <v>4</v>
      </c>
      <c r="R30" s="13">
        <f t="shared" si="16"/>
        <v>4.9000000000000002E-2</v>
      </c>
      <c r="S30" s="4">
        <v>110.6</v>
      </c>
      <c r="T30" s="13">
        <v>6.5790000000000001E-2</v>
      </c>
      <c r="U30" s="4">
        <v>-90.6</v>
      </c>
      <c r="V30" s="4"/>
      <c r="W30" s="4"/>
      <c r="X30" s="4">
        <v>90</v>
      </c>
      <c r="Y30" s="4">
        <v>55.4</v>
      </c>
      <c r="Z30" s="13">
        <f t="shared" si="17"/>
        <v>9.6299337033340038</v>
      </c>
      <c r="AA30" s="13">
        <f t="shared" si="18"/>
        <v>0.17382551811072211</v>
      </c>
      <c r="AB30" s="13">
        <f t="shared" si="19"/>
        <v>-1.7147456118796044E-2</v>
      </c>
      <c r="AC30" s="13">
        <f t="shared" si="20"/>
        <v>0.17466924743012727</v>
      </c>
      <c r="AD30" s="4"/>
      <c r="AE30" s="4">
        <v>4.7</v>
      </c>
      <c r="AF30" s="4">
        <v>49.4</v>
      </c>
      <c r="AG30" s="4">
        <v>46.6</v>
      </c>
      <c r="AH30" s="4">
        <f t="shared" si="14"/>
        <v>45.976250029188698</v>
      </c>
    </row>
    <row r="31" spans="2:34" x14ac:dyDescent="0.25">
      <c r="C31" s="6">
        <v>5</v>
      </c>
      <c r="D31" s="10">
        <v>0.06</v>
      </c>
      <c r="E31" s="7">
        <v>306.5</v>
      </c>
      <c r="F31" s="10">
        <v>7.6939999999999995E-2</v>
      </c>
      <c r="G31" s="7">
        <v>198.3</v>
      </c>
      <c r="H31" s="4"/>
      <c r="I31" s="4"/>
      <c r="J31" s="12">
        <v>5</v>
      </c>
      <c r="K31" s="13">
        <f t="shared" si="15"/>
        <v>0.06</v>
      </c>
      <c r="L31" s="4">
        <v>110.8</v>
      </c>
      <c r="M31" s="13">
        <v>7.6939999999999995E-2</v>
      </c>
      <c r="N31" s="4">
        <v>-35.33</v>
      </c>
      <c r="O31" s="4"/>
      <c r="P31" s="4"/>
      <c r="Q31" s="4">
        <v>5</v>
      </c>
      <c r="R31" s="13">
        <f t="shared" si="16"/>
        <v>0.06</v>
      </c>
      <c r="S31" s="4">
        <v>75.900000000000006</v>
      </c>
      <c r="T31" s="13">
        <v>7.6939999999999995E-2</v>
      </c>
      <c r="U31" s="4">
        <v>-89.2</v>
      </c>
      <c r="V31" s="4"/>
      <c r="W31" s="4"/>
      <c r="X31" s="4">
        <v>120</v>
      </c>
      <c r="Y31" s="4">
        <v>55.5</v>
      </c>
      <c r="Z31" s="13">
        <f t="shared" si="17"/>
        <v>9.6386210607193998</v>
      </c>
      <c r="AA31" s="13">
        <f t="shared" si="18"/>
        <v>0.17366884794089008</v>
      </c>
      <c r="AB31" s="13">
        <f t="shared" si="19"/>
        <v>-1.7162925184746394E-2</v>
      </c>
      <c r="AC31" s="13">
        <f t="shared" si="20"/>
        <v>0.1745148553734415</v>
      </c>
      <c r="AD31" s="4"/>
      <c r="AE31" s="4">
        <v>5.5</v>
      </c>
      <c r="AF31" s="4">
        <v>57.69</v>
      </c>
      <c r="AG31" s="4">
        <v>54.6</v>
      </c>
      <c r="AH31" s="4">
        <f t="shared" si="14"/>
        <v>53.80199471500805</v>
      </c>
    </row>
    <row r="32" spans="2:34" x14ac:dyDescent="0.25">
      <c r="C32" s="6">
        <v>6</v>
      </c>
      <c r="D32" s="10">
        <v>7.0999999999999994E-2</v>
      </c>
      <c r="E32" s="7">
        <v>265.7</v>
      </c>
      <c r="F32" s="10">
        <v>9.0550000000000005E-2</v>
      </c>
      <c r="G32" s="7">
        <v>94.98</v>
      </c>
      <c r="H32" s="4"/>
      <c r="I32" s="4"/>
      <c r="J32" s="12">
        <v>6</v>
      </c>
      <c r="K32" s="13">
        <f t="shared" si="15"/>
        <v>7.0999999999999994E-2</v>
      </c>
      <c r="L32" s="4">
        <v>70.400000000000006</v>
      </c>
      <c r="M32" s="13">
        <v>9.0550000000000005E-2</v>
      </c>
      <c r="N32" s="4">
        <v>-46.17</v>
      </c>
      <c r="O32" s="4"/>
      <c r="P32" s="4"/>
      <c r="Q32" s="4">
        <v>6</v>
      </c>
      <c r="R32" s="13">
        <f t="shared" si="16"/>
        <v>7.0999999999999994E-2</v>
      </c>
      <c r="S32" s="4">
        <v>29.8</v>
      </c>
      <c r="T32" s="13">
        <v>9.0550000000000005E-2</v>
      </c>
      <c r="U32" s="4">
        <v>-86.9</v>
      </c>
      <c r="V32" s="4"/>
      <c r="W32" s="4"/>
      <c r="X32" s="4">
        <v>150</v>
      </c>
      <c r="Y32" s="4">
        <v>55.7</v>
      </c>
      <c r="Z32" s="13">
        <f t="shared" si="17"/>
        <v>9.6559723277987057</v>
      </c>
      <c r="AA32" s="13">
        <f t="shared" si="18"/>
        <v>0.1733567742872299</v>
      </c>
      <c r="AB32" s="13">
        <f t="shared" si="19"/>
        <v>-1.7193821564723013E-2</v>
      </c>
      <c r="AC32" s="13">
        <f t="shared" si="20"/>
        <v>0.17420734396480853</v>
      </c>
      <c r="AD32" s="4"/>
      <c r="AE32" s="4">
        <v>6.2</v>
      </c>
      <c r="AF32" s="4">
        <v>64.5</v>
      </c>
      <c r="AG32" s="4">
        <v>61.7</v>
      </c>
      <c r="AH32" s="4">
        <f t="shared" si="14"/>
        <v>60.649521315099982</v>
      </c>
    </row>
    <row r="33" spans="3:34" x14ac:dyDescent="0.25">
      <c r="C33" s="6">
        <v>7</v>
      </c>
      <c r="D33" s="10">
        <v>8.2000000000000003E-2</v>
      </c>
      <c r="E33" s="7">
        <v>206.6</v>
      </c>
      <c r="F33" s="10">
        <v>0.10013</v>
      </c>
      <c r="G33" s="7">
        <v>0.3</v>
      </c>
      <c r="H33" s="4"/>
      <c r="I33" s="4"/>
      <c r="J33" s="12">
        <v>7</v>
      </c>
      <c r="K33" s="13">
        <f t="shared" si="15"/>
        <v>8.2000000000000003E-2</v>
      </c>
      <c r="L33" s="4">
        <v>26.5</v>
      </c>
      <c r="M33" s="13">
        <v>0.10013</v>
      </c>
      <c r="N33" s="4">
        <v>-71.7</v>
      </c>
      <c r="O33" s="4"/>
      <c r="P33" s="4"/>
      <c r="Q33" s="4">
        <v>7</v>
      </c>
      <c r="R33" s="13">
        <f t="shared" si="16"/>
        <v>8.2000000000000003E-2</v>
      </c>
      <c r="S33" s="4">
        <v>-16.2</v>
      </c>
      <c r="T33" s="13">
        <v>0.10013</v>
      </c>
      <c r="U33" s="4">
        <v>-85.6</v>
      </c>
      <c r="V33" s="4"/>
      <c r="W33" s="4"/>
      <c r="X33" s="4">
        <v>180</v>
      </c>
      <c r="Y33" s="4">
        <v>55.5</v>
      </c>
      <c r="Z33" s="13">
        <f t="shared" si="17"/>
        <v>9.6386210607193998</v>
      </c>
      <c r="AA33" s="13">
        <f t="shared" si="18"/>
        <v>0.17366884794089008</v>
      </c>
      <c r="AB33" s="13">
        <f t="shared" si="19"/>
        <v>-1.7162925184746394E-2</v>
      </c>
      <c r="AC33" s="13">
        <f t="shared" si="20"/>
        <v>0.1745148553734415</v>
      </c>
      <c r="AD33" s="4"/>
      <c r="AE33" s="4">
        <v>7.9</v>
      </c>
      <c r="AF33" s="4">
        <v>81.3</v>
      </c>
      <c r="AG33" s="4">
        <v>78.099999999999994</v>
      </c>
      <c r="AH33" s="4">
        <f t="shared" si="14"/>
        <v>77.279228772466098</v>
      </c>
    </row>
    <row r="34" spans="3:34" x14ac:dyDescent="0.25">
      <c r="C34" s="6">
        <v>8</v>
      </c>
      <c r="D34" s="10">
        <v>9.2999999999999999E-2</v>
      </c>
      <c r="E34" s="7">
        <v>121.1</v>
      </c>
      <c r="F34" s="10">
        <v>0.11204</v>
      </c>
      <c r="G34" s="7">
        <v>-93.5</v>
      </c>
      <c r="H34" s="4"/>
      <c r="I34" s="4"/>
      <c r="J34" s="12">
        <v>8</v>
      </c>
      <c r="K34" s="13">
        <f t="shared" si="15"/>
        <v>9.2999999999999999E-2</v>
      </c>
      <c r="L34" s="4">
        <v>-16.3</v>
      </c>
      <c r="M34" s="13">
        <v>0.11204</v>
      </c>
      <c r="N34" s="4">
        <v>-83.9</v>
      </c>
      <c r="O34" s="4"/>
      <c r="P34" s="4"/>
      <c r="Q34" s="4">
        <v>8</v>
      </c>
      <c r="R34" s="13">
        <f t="shared" si="16"/>
        <v>9.2999999999999999E-2</v>
      </c>
      <c r="S34" s="4">
        <v>-48.9</v>
      </c>
      <c r="T34" s="13">
        <v>0.11204</v>
      </c>
      <c r="U34" s="4">
        <v>-73.099999999999994</v>
      </c>
      <c r="V34" s="4"/>
      <c r="W34" s="4"/>
      <c r="X34" s="4">
        <v>210</v>
      </c>
      <c r="Y34" s="4">
        <v>55.8</v>
      </c>
      <c r="Z34" s="13">
        <f t="shared" si="17"/>
        <v>9.6646362795890948</v>
      </c>
      <c r="AA34" s="13">
        <f t="shared" si="18"/>
        <v>0.17320136701772573</v>
      </c>
      <c r="AB34" s="13">
        <f t="shared" si="19"/>
        <v>-1.7209248953708012E-2</v>
      </c>
      <c r="AC34" s="13">
        <f t="shared" si="20"/>
        <v>0.17405422082316657</v>
      </c>
      <c r="AD34" s="4"/>
      <c r="AE34" s="4">
        <v>8.6999999999999993</v>
      </c>
      <c r="AF34" s="4">
        <v>81.900000000000006</v>
      </c>
      <c r="AG34" s="4">
        <v>85.5</v>
      </c>
      <c r="AH34" s="4">
        <f t="shared" si="14"/>
        <v>85.104973458285443</v>
      </c>
    </row>
    <row r="35" spans="3:34" x14ac:dyDescent="0.25">
      <c r="C35" s="6">
        <v>9</v>
      </c>
      <c r="D35" s="10">
        <v>0.104</v>
      </c>
      <c r="E35" s="7">
        <v>11.5</v>
      </c>
      <c r="F35" s="10">
        <v>0.12361</v>
      </c>
      <c r="G35" s="7">
        <v>-210.47</v>
      </c>
      <c r="H35" s="4"/>
      <c r="I35" s="4"/>
      <c r="J35" s="12">
        <v>9</v>
      </c>
      <c r="K35" s="13">
        <f t="shared" si="15"/>
        <v>0.104</v>
      </c>
      <c r="L35" s="4">
        <v>-51.2</v>
      </c>
      <c r="M35" s="13">
        <v>0.12361</v>
      </c>
      <c r="N35" s="4">
        <v>-93.9</v>
      </c>
      <c r="O35" s="4"/>
      <c r="P35" s="4"/>
      <c r="Q35" s="4">
        <v>9</v>
      </c>
      <c r="R35" s="13">
        <f t="shared" si="16"/>
        <v>0.104</v>
      </c>
      <c r="S35" s="4">
        <v>-62.5</v>
      </c>
      <c r="T35" s="13">
        <v>0.12361</v>
      </c>
      <c r="U35" s="4">
        <v>-60.4</v>
      </c>
      <c r="V35" s="4"/>
      <c r="W35" s="4"/>
      <c r="X35" s="4">
        <v>240</v>
      </c>
      <c r="Y35" s="4">
        <v>54.4</v>
      </c>
      <c r="Z35" s="13">
        <f t="shared" si="17"/>
        <v>9.542625158479936</v>
      </c>
      <c r="AA35" s="13">
        <f t="shared" si="18"/>
        <v>0.17541590364852824</v>
      </c>
      <c r="AB35" s="13">
        <f t="shared" si="19"/>
        <v>-1.6991990932035437E-2</v>
      </c>
      <c r="AC35" s="13">
        <f t="shared" si="20"/>
        <v>0.17623696266295591</v>
      </c>
      <c r="AD35" s="4"/>
      <c r="AE35" s="4">
        <v>9.5</v>
      </c>
      <c r="AF35" s="4">
        <v>96.8</v>
      </c>
      <c r="AG35" s="4">
        <v>93.1</v>
      </c>
      <c r="AH35" s="4">
        <f t="shared" si="14"/>
        <v>92.930718144104802</v>
      </c>
    </row>
    <row r="36" spans="3:34" x14ac:dyDescent="0.25">
      <c r="C36" s="6">
        <v>10</v>
      </c>
      <c r="D36" s="10">
        <v>0.115</v>
      </c>
      <c r="E36" s="7">
        <v>-99.1</v>
      </c>
      <c r="F36" s="10">
        <v>0.13466</v>
      </c>
      <c r="G36" s="7">
        <v>-180.3</v>
      </c>
      <c r="H36" s="4"/>
      <c r="I36" s="4"/>
      <c r="J36" s="12">
        <v>10</v>
      </c>
      <c r="K36" s="13">
        <f t="shared" si="15"/>
        <v>0.115</v>
      </c>
      <c r="L36" s="4">
        <v>-71.900000000000006</v>
      </c>
      <c r="M36" s="13">
        <v>0.13466</v>
      </c>
      <c r="N36" s="4">
        <v>-70.400000000000006</v>
      </c>
      <c r="O36" s="4"/>
      <c r="P36" s="4"/>
      <c r="Q36" s="4">
        <v>10</v>
      </c>
      <c r="R36" s="13">
        <f t="shared" si="16"/>
        <v>0.115</v>
      </c>
      <c r="S36" s="4">
        <v>-60.2</v>
      </c>
      <c r="T36" s="13">
        <v>0.13466</v>
      </c>
      <c r="U36" s="4">
        <v>-46.6</v>
      </c>
      <c r="V36" s="4"/>
      <c r="W36" s="4"/>
      <c r="X36" s="4">
        <v>270</v>
      </c>
      <c r="Y36" s="4">
        <v>55.9</v>
      </c>
      <c r="Z36" s="13">
        <f t="shared" si="17"/>
        <v>9.67329247145382</v>
      </c>
      <c r="AA36" s="13">
        <f t="shared" si="18"/>
        <v>0.17304637694908445</v>
      </c>
      <c r="AB36" s="13">
        <f t="shared" si="19"/>
        <v>-1.7224662525050134E-2</v>
      </c>
      <c r="AC36" s="13">
        <f t="shared" si="20"/>
        <v>0.17390151688328223</v>
      </c>
      <c r="AD36" s="4"/>
      <c r="AE36" s="4">
        <v>10.3</v>
      </c>
      <c r="AF36" s="4">
        <v>104.9</v>
      </c>
      <c r="AG36" s="4">
        <v>101.1</v>
      </c>
      <c r="AH36" s="4">
        <f t="shared" si="14"/>
        <v>100.75646282992416</v>
      </c>
    </row>
    <row r="37" spans="3:34" x14ac:dyDescent="0.25">
      <c r="C37" s="6">
        <v>11</v>
      </c>
      <c r="D37" s="10">
        <v>0.126</v>
      </c>
      <c r="E37" s="7">
        <v>-179.8</v>
      </c>
      <c r="F37" s="10">
        <v>0.14616000000000001</v>
      </c>
      <c r="G37" s="7">
        <v>-128.30000000000001</v>
      </c>
      <c r="H37" s="4"/>
      <c r="I37" s="4"/>
      <c r="J37" s="12">
        <v>11</v>
      </c>
      <c r="K37" s="13">
        <f t="shared" si="15"/>
        <v>0.126</v>
      </c>
      <c r="L37" s="4">
        <v>-74.7</v>
      </c>
      <c r="M37" s="13">
        <v>0.14616000000000001</v>
      </c>
      <c r="N37" s="4">
        <v>-47.4</v>
      </c>
      <c r="O37" s="4"/>
      <c r="P37" s="4"/>
      <c r="Q37" s="4">
        <v>11</v>
      </c>
      <c r="R37" s="13">
        <f t="shared" si="16"/>
        <v>0.126</v>
      </c>
      <c r="S37" s="4">
        <v>-51.3</v>
      </c>
      <c r="T37" s="13">
        <v>0.14616000000000001</v>
      </c>
      <c r="U37" s="4">
        <v>-36.4</v>
      </c>
      <c r="V37" s="4"/>
      <c r="W37" s="4"/>
      <c r="X37" s="4">
        <v>300</v>
      </c>
      <c r="Y37" s="4">
        <v>55</v>
      </c>
      <c r="Z37" s="13">
        <f t="shared" si="17"/>
        <v>9.5951056192449808</v>
      </c>
      <c r="AA37" s="13">
        <f t="shared" si="18"/>
        <v>0.17445646580445417</v>
      </c>
      <c r="AB37" s="13">
        <f t="shared" si="19"/>
        <v>-1.7085439799471691E-2</v>
      </c>
      <c r="AC37" s="13">
        <f t="shared" si="20"/>
        <v>0.17529110278083729</v>
      </c>
      <c r="AD37" s="4"/>
      <c r="AE37" s="4">
        <v>11.3</v>
      </c>
      <c r="AF37" s="4">
        <v>114.5</v>
      </c>
      <c r="AG37" s="4">
        <v>110.5</v>
      </c>
      <c r="AH37" s="4">
        <f t="shared" si="14"/>
        <v>110.53864368719836</v>
      </c>
    </row>
    <row r="38" spans="3:34" x14ac:dyDescent="0.25">
      <c r="C38" s="6">
        <v>12</v>
      </c>
      <c r="D38" s="10">
        <v>0.13700000000000001</v>
      </c>
      <c r="E38" s="7">
        <v>-169.9</v>
      </c>
      <c r="F38" s="10">
        <v>0.15811</v>
      </c>
      <c r="G38" s="7">
        <v>-78.2</v>
      </c>
      <c r="H38" s="4"/>
      <c r="I38" s="4"/>
      <c r="J38" s="12">
        <v>12</v>
      </c>
      <c r="K38" s="13">
        <f t="shared" si="15"/>
        <v>0.13700000000000001</v>
      </c>
      <c r="L38" s="4">
        <v>-64.3</v>
      </c>
      <c r="M38" s="13">
        <v>0.15811</v>
      </c>
      <c r="N38" s="4">
        <v>-29.7</v>
      </c>
      <c r="O38" s="4"/>
      <c r="P38" s="4"/>
      <c r="Q38" s="4">
        <v>12</v>
      </c>
      <c r="R38" s="13">
        <f t="shared" si="16"/>
        <v>0.13700000000000001</v>
      </c>
      <c r="S38" s="4">
        <v>-41.7</v>
      </c>
      <c r="T38" s="13">
        <v>0.15811</v>
      </c>
      <c r="U38" s="4">
        <v>-24.4</v>
      </c>
      <c r="V38" s="4"/>
      <c r="W38" s="4"/>
      <c r="X38" s="4">
        <v>330</v>
      </c>
      <c r="Y38" s="4">
        <v>55.3</v>
      </c>
      <c r="Z38" s="13">
        <f t="shared" si="17"/>
        <v>9.6212385018287936</v>
      </c>
      <c r="AA38" s="13">
        <f t="shared" si="18"/>
        <v>0.17398261305296192</v>
      </c>
      <c r="AB38" s="13">
        <f t="shared" si="19"/>
        <v>-1.7131973085283247E-2</v>
      </c>
      <c r="AC38" s="13">
        <f t="shared" si="20"/>
        <v>0.17482406626815297</v>
      </c>
      <c r="AD38" s="4"/>
      <c r="AE38" s="4"/>
      <c r="AF38" s="4"/>
      <c r="AG38" s="4"/>
      <c r="AH38" s="4"/>
    </row>
    <row r="39" spans="3:34" x14ac:dyDescent="0.25">
      <c r="C39" s="6">
        <v>13</v>
      </c>
      <c r="D39" s="10">
        <v>0.14799999999999999</v>
      </c>
      <c r="E39" s="7">
        <v>-128.5</v>
      </c>
      <c r="F39" s="10">
        <v>0.16961000000000001</v>
      </c>
      <c r="G39" s="7">
        <v>-46.2</v>
      </c>
      <c r="H39" s="4"/>
      <c r="I39" s="4"/>
      <c r="J39" s="12">
        <v>13</v>
      </c>
      <c r="K39" s="13">
        <f t="shared" si="15"/>
        <v>0.14799999999999999</v>
      </c>
      <c r="L39" s="4">
        <v>-46.3</v>
      </c>
      <c r="M39" s="13">
        <v>0.16961000000000001</v>
      </c>
      <c r="N39" s="4">
        <v>-14.1</v>
      </c>
      <c r="O39" s="4"/>
      <c r="P39" s="4"/>
      <c r="Q39" s="4">
        <v>13</v>
      </c>
      <c r="R39" s="13">
        <f t="shared" si="16"/>
        <v>0.14799999999999999</v>
      </c>
      <c r="S39" s="4">
        <v>-32.5</v>
      </c>
      <c r="T39" s="13">
        <v>0.16961000000000001</v>
      </c>
      <c r="U39" s="4">
        <v>-10.9</v>
      </c>
      <c r="V39" s="4"/>
      <c r="W39" s="4"/>
      <c r="X39" s="4">
        <v>360</v>
      </c>
      <c r="Y39" s="4">
        <v>56.1</v>
      </c>
      <c r="Z39" s="13">
        <f t="shared" si="17"/>
        <v>9.6905816585670408</v>
      </c>
      <c r="AA39" s="13">
        <f t="shared" si="18"/>
        <v>0.17273764097267452</v>
      </c>
      <c r="AB39" s="13">
        <f t="shared" si="19"/>
        <v>-1.7255448362885235E-2</v>
      </c>
      <c r="AC39" s="13">
        <f t="shared" si="20"/>
        <v>0.17359735915908631</v>
      </c>
      <c r="AD39" s="4"/>
      <c r="AE39" s="4"/>
      <c r="AF39" s="4"/>
      <c r="AG39" s="4"/>
      <c r="AH39" s="4"/>
    </row>
    <row r="40" spans="3:34" x14ac:dyDescent="0.25">
      <c r="C40" s="6">
        <v>14</v>
      </c>
      <c r="D40" s="10">
        <v>0.159</v>
      </c>
      <c r="E40" s="7">
        <v>-85.6</v>
      </c>
      <c r="F40" s="7"/>
      <c r="G40" s="7"/>
      <c r="H40" s="4"/>
      <c r="I40" s="4"/>
      <c r="J40" s="12">
        <v>14</v>
      </c>
      <c r="K40" s="13">
        <f t="shared" si="15"/>
        <v>0.159</v>
      </c>
      <c r="L40" s="4">
        <v>-31.2</v>
      </c>
      <c r="M40" s="4"/>
      <c r="N40" s="4"/>
      <c r="O40" s="4"/>
      <c r="P40" s="4"/>
      <c r="Q40" s="4">
        <v>14</v>
      </c>
      <c r="R40" s="13">
        <f t="shared" si="16"/>
        <v>0.159</v>
      </c>
      <c r="S40" s="4">
        <v>-21.4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3:34" x14ac:dyDescent="0.25">
      <c r="C41" s="6">
        <v>15</v>
      </c>
      <c r="D41" s="10">
        <v>0.17</v>
      </c>
      <c r="E41" s="7">
        <v>-74.400000000000006</v>
      </c>
      <c r="F41" s="7"/>
      <c r="G41" s="7"/>
      <c r="H41" s="4"/>
      <c r="I41" s="4"/>
      <c r="J41" s="12">
        <v>15</v>
      </c>
      <c r="K41" s="13">
        <f t="shared" si="15"/>
        <v>0.17</v>
      </c>
      <c r="L41" s="4">
        <v>-28.5</v>
      </c>
      <c r="M41" s="4"/>
      <c r="N41" s="4"/>
      <c r="O41" s="4"/>
      <c r="P41" s="4"/>
      <c r="Q41" s="4">
        <v>15</v>
      </c>
      <c r="R41" s="13">
        <f t="shared" si="16"/>
        <v>0.17</v>
      </c>
      <c r="S41">
        <v>-19.7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96" spans="8:16" x14ac:dyDescent="0.25">
      <c r="H96" s="6"/>
      <c r="I96" s="8" t="s">
        <v>0</v>
      </c>
      <c r="J96" s="8" t="s">
        <v>31</v>
      </c>
      <c r="K96" s="8" t="s">
        <v>32</v>
      </c>
      <c r="L96" s="9" t="s">
        <v>2</v>
      </c>
      <c r="M96" s="9" t="s">
        <v>6</v>
      </c>
      <c r="N96" s="9" t="s">
        <v>7</v>
      </c>
      <c r="O96" s="9" t="s">
        <v>33</v>
      </c>
      <c r="P96" s="9" t="s">
        <v>34</v>
      </c>
    </row>
    <row r="97" spans="8:16" x14ac:dyDescent="0.25">
      <c r="H97" s="6">
        <v>1</v>
      </c>
      <c r="I97" s="7">
        <v>8.0000000000000002E-3</v>
      </c>
      <c r="J97" s="7">
        <v>529.20000000000005</v>
      </c>
      <c r="K97" s="7">
        <v>-157.69999999999999</v>
      </c>
      <c r="L97" s="7">
        <v>0.14025535908235798</v>
      </c>
      <c r="M97" s="7">
        <v>16.197611750085102</v>
      </c>
      <c r="N97" s="7">
        <v>15.501620620198629</v>
      </c>
      <c r="O97" s="7">
        <v>13.180006377551088</v>
      </c>
      <c r="P97" s="7">
        <v>-11.965092844613741</v>
      </c>
    </row>
    <row r="98" spans="8:16" x14ac:dyDescent="0.25">
      <c r="H98" s="6">
        <v>2</v>
      </c>
      <c r="I98" s="7">
        <v>8.9999999999999993E-3</v>
      </c>
      <c r="J98" s="7">
        <v>539.4</v>
      </c>
      <c r="K98" s="7">
        <v>-130.5</v>
      </c>
      <c r="L98" s="7">
        <v>0.14160057526129086</v>
      </c>
      <c r="M98" s="7">
        <v>16.352966165979421</v>
      </c>
      <c r="N98" s="7">
        <v>13.911377467586661</v>
      </c>
      <c r="O98" s="7">
        <v>44.143517447291352</v>
      </c>
      <c r="P98" s="7">
        <v>-2.956266458734758</v>
      </c>
    </row>
    <row r="99" spans="8:16" x14ac:dyDescent="0.25">
      <c r="H99" s="6">
        <v>3</v>
      </c>
      <c r="I99" s="7">
        <v>0.01</v>
      </c>
      <c r="J99" s="7">
        <v>581.5</v>
      </c>
      <c r="K99" s="7">
        <v>-31.2</v>
      </c>
      <c r="L99" s="7">
        <v>0.14702270409193877</v>
      </c>
      <c r="M99" s="7">
        <v>16.979149281066</v>
      </c>
      <c r="N99" s="7">
        <v>12.999661168316155</v>
      </c>
      <c r="O99" s="7">
        <v>71.269674961821508</v>
      </c>
      <c r="P99" s="7">
        <v>-0.4377738500521231</v>
      </c>
    </row>
    <row r="100" spans="8:16" x14ac:dyDescent="0.25">
      <c r="H100" s="6">
        <v>4</v>
      </c>
      <c r="I100" s="7">
        <v>1.2E-2</v>
      </c>
      <c r="J100" s="7">
        <v>614.29999999999995</v>
      </c>
      <c r="K100" s="7">
        <v>41.36</v>
      </c>
      <c r="L100" s="7">
        <v>0.15111229600356985</v>
      </c>
      <c r="M100" s="7">
        <v>17.451442264623168</v>
      </c>
      <c r="N100" s="7">
        <v>11.134383736543427</v>
      </c>
      <c r="O100" s="7">
        <v>107.87698914836159</v>
      </c>
      <c r="P100" s="7">
        <v>0.38339965108887325</v>
      </c>
    </row>
    <row r="101" spans="8:16" x14ac:dyDescent="0.25">
      <c r="H101" s="6">
        <v>5</v>
      </c>
      <c r="I101" s="7">
        <v>1.4E-2</v>
      </c>
      <c r="J101" s="7">
        <v>627.6</v>
      </c>
      <c r="K101" s="7">
        <v>81.599999999999994</v>
      </c>
      <c r="L101" s="7">
        <v>0.15273937673768137</v>
      </c>
      <c r="M101" s="7">
        <v>17.639348254024302</v>
      </c>
      <c r="N101" s="7">
        <v>9.64651857641954</v>
      </c>
      <c r="O101" s="7">
        <v>130.28711995002089</v>
      </c>
      <c r="P101" s="7">
        <v>0.62630903216912281</v>
      </c>
    </row>
    <row r="102" spans="8:16" x14ac:dyDescent="0.25">
      <c r="H102" s="6">
        <v>6</v>
      </c>
      <c r="I102" s="7">
        <v>1.6E-2</v>
      </c>
      <c r="J102" s="7">
        <v>644.1</v>
      </c>
      <c r="K102" s="7">
        <v>111.6</v>
      </c>
      <c r="L102" s="7">
        <v>0.15473415807696125</v>
      </c>
      <c r="M102" s="7">
        <v>17.869718728788104</v>
      </c>
      <c r="N102" s="7">
        <v>8.5509396260802433</v>
      </c>
      <c r="O102" s="7">
        <v>147.08413222192584</v>
      </c>
      <c r="P102" s="7">
        <v>0.75874941990080813</v>
      </c>
    </row>
    <row r="103" spans="8:16" x14ac:dyDescent="0.25">
      <c r="H103" s="6">
        <v>7</v>
      </c>
      <c r="I103" s="7">
        <v>1.7999999999999999E-2</v>
      </c>
      <c r="J103" s="7">
        <v>649.5</v>
      </c>
      <c r="K103" s="7">
        <v>125.2</v>
      </c>
      <c r="L103" s="7">
        <v>0.15538143369963678</v>
      </c>
      <c r="M103" s="7">
        <v>17.944470376782078</v>
      </c>
      <c r="N103" s="7">
        <v>7.6326306290132102</v>
      </c>
      <c r="O103" s="7">
        <v>157.56169491921247</v>
      </c>
      <c r="P103" s="7">
        <v>0.79460937548427957</v>
      </c>
    </row>
    <row r="104" spans="8:16" x14ac:dyDescent="0.25">
      <c r="H104" s="6">
        <v>8</v>
      </c>
      <c r="I104" s="7">
        <v>0.02</v>
      </c>
      <c r="J104" s="7">
        <v>653.1</v>
      </c>
      <c r="K104" s="7">
        <v>130.5</v>
      </c>
      <c r="L104" s="7">
        <v>0.15581145693989795</v>
      </c>
      <c r="M104" s="7">
        <v>17.994132290129532</v>
      </c>
      <c r="N104" s="7">
        <v>6.8883787673152108</v>
      </c>
      <c r="O104" s="7">
        <v>165.08416089650157</v>
      </c>
      <c r="P104" s="7">
        <v>0.7905058807053944</v>
      </c>
    </row>
    <row r="105" spans="8:16" x14ac:dyDescent="0.25">
      <c r="H105" s="6">
        <v>9</v>
      </c>
      <c r="I105" s="7">
        <v>2.1999999999999999E-2</v>
      </c>
      <c r="J105" s="7">
        <v>655.5</v>
      </c>
      <c r="K105" s="7">
        <v>131.1</v>
      </c>
      <c r="L105" s="7">
        <v>0.15609748096575116</v>
      </c>
      <c r="M105" s="7">
        <v>18.02716422667925</v>
      </c>
      <c r="N105" s="7">
        <v>6.2736580050233188</v>
      </c>
      <c r="O105" s="7">
        <v>170.62850286640219</v>
      </c>
      <c r="P105" s="7">
        <v>0.76833587470815468</v>
      </c>
    </row>
    <row r="106" spans="8:16" x14ac:dyDescent="0.25">
      <c r="H106" s="6">
        <v>10</v>
      </c>
      <c r="I106" s="7">
        <v>2.5000000000000001E-2</v>
      </c>
      <c r="J106" s="7">
        <v>650.1</v>
      </c>
      <c r="K106" s="7">
        <v>125.2</v>
      </c>
      <c r="L106" s="7">
        <v>0.15545318684763096</v>
      </c>
      <c r="M106" s="7">
        <v>17.952756902449689</v>
      </c>
      <c r="N106" s="7">
        <v>5.498031801375217</v>
      </c>
      <c r="O106" s="7">
        <v>174.48366305705966</v>
      </c>
      <c r="P106" s="7">
        <v>0.71754568769602856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361506ED1F845B1C53CB6DC0CF874" ma:contentTypeVersion="7" ma:contentTypeDescription="Új dokumentum létrehozása." ma:contentTypeScope="" ma:versionID="5b3ee05e232ccb0bbec12d53bbed0599">
  <xsd:schema xmlns:xsd="http://www.w3.org/2001/XMLSchema" xmlns:xs="http://www.w3.org/2001/XMLSchema" xmlns:p="http://schemas.microsoft.com/office/2006/metadata/properties" xmlns:ns3="5a9a2ad5-922e-48ad-8473-2d4d42c5cd13" xmlns:ns4="8dd5f515-07a9-4c20-a3ca-65cf80031ce1" targetNamespace="http://schemas.microsoft.com/office/2006/metadata/properties" ma:root="true" ma:fieldsID="d85e8bb042fc96cc1ebebb10ef5e6b74" ns3:_="" ns4:_="">
    <xsd:import namespace="5a9a2ad5-922e-48ad-8473-2d4d42c5cd13"/>
    <xsd:import namespace="8dd5f515-07a9-4c20-a3ca-65cf80031c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a2ad5-922e-48ad-8473-2d4d42c5cd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5f515-07a9-4c20-a3ca-65cf80031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d5f515-07a9-4c20-a3ca-65cf80031ce1" xsi:nil="true"/>
  </documentManagement>
</p:properties>
</file>

<file path=customXml/itemProps1.xml><?xml version="1.0" encoding="utf-8"?>
<ds:datastoreItem xmlns:ds="http://schemas.openxmlformats.org/officeDocument/2006/customXml" ds:itemID="{5FD0C190-9BCD-4D6D-A6D3-BFA0D1E51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40676C-1BFF-4BC9-B95A-1C3B4E824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a2ad5-922e-48ad-8473-2d4d42c5cd13"/>
    <ds:schemaRef ds:uri="8dd5f515-07a9-4c20-a3ca-65cf80031c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3CEFD7-FC6D-4396-8628-FFBF9CDE57B0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5a9a2ad5-922e-48ad-8473-2d4d42c5cd13"/>
    <ds:schemaRef ds:uri="http://schemas.microsoft.com/office/infopath/2007/PartnerControls"/>
    <ds:schemaRef ds:uri="http://schemas.openxmlformats.org/package/2006/metadata/core-properties"/>
    <ds:schemaRef ds:uri="8dd5f515-07a9-4c20-a3ca-65cf80031c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SAIF AQEL</cp:lastModifiedBy>
  <dcterms:created xsi:type="dcterms:W3CDTF">2023-04-17T22:22:49Z</dcterms:created>
  <dcterms:modified xsi:type="dcterms:W3CDTF">2023-05-07T13:34:50Z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0x010100A8E361506ED1F845B1C53CB6DC0CF874</vt:lpwstr>
  </property>
</Properties>
</file>