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ange" sheetId="1" r:id="rId3"/>
    <sheet state="visible" name="Heroes" sheetId="2" r:id="rId4"/>
    <sheet state="visible" name="Hero Template Builder" sheetId="3" r:id="rId5"/>
    <sheet state="visible" name="Gear Leveling &amp; Effects" sheetId="4" r:id="rId6"/>
    <sheet state="visible" name="Artifacts" sheetId="5" r:id="rId7"/>
    <sheet state="visible" name="Talents" sheetId="6" r:id="rId8"/>
    <sheet state="visible" name="Campaign Normal" sheetId="7" r:id="rId9"/>
    <sheet state="visible" name="Campaign Heroic" sheetId="8" r:id="rId10"/>
    <sheet state="visible" name="Level XP" sheetId="9" r:id="rId11"/>
    <sheet state="visible" name="Abilities" sheetId="10" r:id="rId12"/>
    <sheet state="visible" name="Gear Locations" sheetId="11" r:id="rId13"/>
    <sheet state="visible" name="Operations" sheetId="12" r:id="rId14"/>
    <sheet state="visible" name="Arena XP &amp; Battle Rating Calcul" sheetId="13" r:id="rId15"/>
    <sheet state="visible" name="Resource Missions" sheetId="14" r:id="rId16"/>
    <sheet state="visible" name="Event Times &amp; League Mission Sc" sheetId="15" r:id="rId17"/>
    <sheet state="visible" name="League Missions" sheetId="16" r:id="rId18"/>
    <sheet state="hidden" name="Card Data" sheetId="17" r:id="rId19"/>
  </sheets>
  <definedNames>
    <definedName hidden="1" localSheetId="1" name="_xlnm._FilterDatabase">Heroes!$A$2:$P$94</definedName>
    <definedName hidden="1" localSheetId="6" name="_xlnm._FilterDatabase">'Campaign Normal'!$A$3:$Q$35</definedName>
    <definedName hidden="1" localSheetId="7" name="_xlnm._FilterDatabase">'Campaign Heroic'!$A$3:$V$35</definedName>
    <definedName hidden="1" localSheetId="10" name="_xlnm._FilterDatabase">'Gear Locations'!$A$1:$F$93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Can't see the battle rating calculator-- it's cut off
	-Silver Ace
_Marked as resolved_
	-Silver Ace
_Re-opened_
	-Silver Ace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5">
      <text>
        <t xml:space="preserve">Maximum 100%</t>
      </text>
    </comment>
    <comment authorId="0" ref="F19">
      <text>
        <t xml:space="preserve">Maximum 75%</t>
      </text>
    </comment>
    <comment authorId="0" ref="F20">
      <text>
        <t xml:space="preserve">Maximum 75%</t>
      </text>
    </comment>
    <comment authorId="0" ref="F21">
      <text>
        <t xml:space="preserve">Maximum 300%</t>
      </text>
    </comment>
    <comment authorId="0" ref="F22">
      <text>
        <t xml:space="preserve">Maximum 70%</t>
      </text>
    </comment>
    <comment authorId="0" ref="F23">
      <text>
        <t xml:space="preserve">Maximum 70%</t>
      </text>
    </comment>
    <comment authorId="0" ref="F24">
      <text>
        <t xml:space="preserve">Maximum 75%</t>
      </text>
    </comment>
    <comment authorId="0" ref="F25">
      <text>
        <t xml:space="preserve">Maximum 75%</t>
      </text>
    </comment>
    <comment authorId="0" ref="F26">
      <text>
        <t xml:space="preserve">Maximum 75%</t>
      </text>
    </comment>
    <comment authorId="0" ref="F31">
      <text>
        <t xml:space="preserve">Maximum 60%</t>
      </text>
    </comment>
    <comment authorId="0" ref="F33">
      <text>
        <t xml:space="preserve">Maximum 75%</t>
      </text>
    </comment>
    <comment authorId="0" ref="F34">
      <text>
        <t xml:space="preserve">Maximum 75%</t>
      </text>
    </comment>
  </commentList>
</comments>
</file>

<file path=xl/comments3.xml><?xml version="1.0" encoding="utf-8"?>
<comments xmlns:r="http://schemas.openxmlformats.org/officeDocument/2006/relationships" xmlns="http://schemas.openxmlformats.org/spreadsheetml/2006/main">
  <authors>
    <author/>
  </authors>
  <commentList>
    <comment authorId="0" ref="D4">
      <text>
        <t xml:space="preserve">Time shown is in minutes and percent of seconds of 60.
Exp. 28:34 = 28.57
(34 secs is 566667% of 60)
For Calculations this needed to be done.</t>
      </text>
    </comment>
    <comment authorId="0" ref="D5">
      <text>
        <t xml:space="preserve">Time shown is in minutes and percent of seconds of 60.
Exp. 57:08 = 57.13
(08 secs is 133333% of 60)
For Calculations this needed to be done.</t>
      </text>
    </comment>
  </commentList>
</comments>
</file>

<file path=xl/sharedStrings.xml><?xml version="1.0" encoding="utf-8"?>
<sst xmlns="http://schemas.openxmlformats.org/spreadsheetml/2006/main" count="3674" uniqueCount="1056">
  <si>
    <t>XP Bonus</t>
  </si>
  <si>
    <t>% Bonus</t>
  </si>
  <si>
    <t>Hero Level</t>
  </si>
  <si>
    <t>XP Needed</t>
  </si>
  <si>
    <t>XP total</t>
  </si>
  <si>
    <t>XP Remaining</t>
  </si>
  <si>
    <t>% to 70</t>
  </si>
  <si>
    <t>% Remaining</t>
  </si>
  <si>
    <t>Level</t>
  </si>
  <si>
    <t>Target XP Level (Operations)</t>
  </si>
  <si>
    <t>Target XP Level (Arena)</t>
  </si>
  <si>
    <t>Target Level (Ability 1)</t>
  </si>
  <si>
    <t>Target Level (Ability 2)</t>
  </si>
  <si>
    <t>Target Level (Ability 3)</t>
  </si>
  <si>
    <t>Ability Level</t>
  </si>
  <si>
    <t>Ability 1</t>
  </si>
  <si>
    <t>Ability 2</t>
  </si>
  <si>
    <t>Ability 3</t>
  </si>
  <si>
    <t>Shards</t>
  </si>
  <si>
    <t>Total</t>
  </si>
  <si>
    <t>Remaining</t>
  </si>
  <si>
    <t>Full Gear</t>
  </si>
  <si>
    <t>Target Gear Lvl</t>
  </si>
  <si>
    <t>Talents</t>
  </si>
  <si>
    <t>Value</t>
  </si>
  <si>
    <t>Gear Effects</t>
  </si>
  <si>
    <t>Values</t>
  </si>
  <si>
    <t>Heroes</t>
  </si>
  <si>
    <t>Base Gear Effect</t>
  </si>
  <si>
    <t>Target artifact level</t>
  </si>
  <si>
    <t>Artifact level</t>
  </si>
  <si>
    <t>Silver Tier Apokolips Attack</t>
  </si>
  <si>
    <t>Silver Tier Apokolips Health</t>
  </si>
  <si>
    <t>Gold Tier Apokolips Attack</t>
  </si>
  <si>
    <t>Gold Tier Apokolips Health</t>
  </si>
  <si>
    <t>Legendary Tier Apokolips Attack</t>
  </si>
  <si>
    <t>Legendary Tier Apokolips Health</t>
  </si>
  <si>
    <t>N/A</t>
  </si>
  <si>
    <t>Aquaman</t>
  </si>
  <si>
    <t>Defense</t>
  </si>
  <si>
    <t>Attack</t>
  </si>
  <si>
    <t>Health</t>
  </si>
  <si>
    <t>Defense %</t>
  </si>
  <si>
    <t>Critical Attack Chance %</t>
  </si>
  <si>
    <t>Armor Pierce Chance for Basic Attacks Common</t>
  </si>
  <si>
    <t>Attack Low</t>
  </si>
  <si>
    <t>Aquaman (Atlantean Armor)</t>
  </si>
  <si>
    <t>Armor Pierce Chance for Basic Attacks Rare</t>
  </si>
  <si>
    <t>Attack High</t>
  </si>
  <si>
    <t>Aquaman (Justice League)</t>
  </si>
  <si>
    <t>Armor Pierce Chance for Basic Attacks Epic</t>
  </si>
  <si>
    <t>Crit Att Chance Low</t>
  </si>
  <si>
    <t>Aquaman (King Of Atlantis)</t>
  </si>
  <si>
    <t>Attack Common</t>
  </si>
  <si>
    <t>Crit Att Chance High</t>
  </si>
  <si>
    <t>Armored Supergirl (Multiverse)</t>
  </si>
  <si>
    <t>Critical Attack Damage</t>
  </si>
  <si>
    <t>Attack Rare</t>
  </si>
  <si>
    <t>Crit Att Damage Low</t>
  </si>
  <si>
    <t>Atrocitus</t>
  </si>
  <si>
    <t>Attack Epic</t>
  </si>
  <si>
    <t>Crit Att Damage High</t>
  </si>
  <si>
    <t>Bane</t>
  </si>
  <si>
    <t>Stun Resistance</t>
  </si>
  <si>
    <t>Block Effectiveness Common</t>
  </si>
  <si>
    <t>Crit Att Resist Low</t>
  </si>
  <si>
    <t>Bane (Enraged)</t>
  </si>
  <si>
    <t>Block Effectiveness Rare</t>
  </si>
  <si>
    <t>Crit Att Resist High</t>
  </si>
  <si>
    <t>Batman</t>
  </si>
  <si>
    <t>Critical Attack Chance</t>
  </si>
  <si>
    <t>Block Effectiveness Epic</t>
  </si>
  <si>
    <t>Defense Low</t>
  </si>
  <si>
    <t>Batman (Arkham Knight)</t>
  </si>
  <si>
    <t>Critical Attack Chance Common</t>
  </si>
  <si>
    <t>Defense High</t>
  </si>
  <si>
    <t>Batman (Batman Ninja)</t>
  </si>
  <si>
    <t>Any target lvl</t>
  </si>
  <si>
    <t>Critical Attack Chance Rare</t>
  </si>
  <si>
    <t>Fast Att Chance Low</t>
  </si>
  <si>
    <t>Batman (Classic)</t>
  </si>
  <si>
    <t>Silver Tier shards</t>
  </si>
  <si>
    <t>Critical Attack Chance Epic</t>
  </si>
  <si>
    <t>Fast Att Chance High</t>
  </si>
  <si>
    <t>Batman (Justice League)</t>
  </si>
  <si>
    <t>Gold Tier shards</t>
  </si>
  <si>
    <t>Critical Attack Damage Common</t>
  </si>
  <si>
    <t>Health Low</t>
  </si>
  <si>
    <t>Batman (Knightmare)</t>
  </si>
  <si>
    <t>Legendary Tier shards</t>
  </si>
  <si>
    <t>Critical Attack Damage Rare</t>
  </si>
  <si>
    <t>Health High</t>
  </si>
  <si>
    <t>Batman (Predator)</t>
  </si>
  <si>
    <t>Critical Attack Damage Epic</t>
  </si>
  <si>
    <t>Lethal Att Chance Low</t>
  </si>
  <si>
    <t>Batwoman (Multiverse)</t>
  </si>
  <si>
    <t>Resistance to Crit Attack, DOT and Stun Common</t>
  </si>
  <si>
    <t>Lethal Att Chance High</t>
  </si>
  <si>
    <t>Black Adam</t>
  </si>
  <si>
    <t>Power Generation</t>
  </si>
  <si>
    <t>Resistance to Crit Attack, DOT and Stun Rare</t>
  </si>
  <si>
    <t>Stun Resist Low</t>
  </si>
  <si>
    <t>Black Canary</t>
  </si>
  <si>
    <t>Critical Attack Resistance</t>
  </si>
  <si>
    <t>Resistance to Crit Attack, DOT and Stun Epic</t>
  </si>
  <si>
    <t>Stun Resist High</t>
  </si>
  <si>
    <t>Black Canary (Sonic)</t>
  </si>
  <si>
    <t>Defense Common</t>
  </si>
  <si>
    <t>Black Lighting (Multiverse)</t>
  </si>
  <si>
    <t>Defense Rare</t>
  </si>
  <si>
    <t>Black Manta</t>
  </si>
  <si>
    <t>Lethal Attack Chance</t>
  </si>
  <si>
    <t>Normal</t>
  </si>
  <si>
    <t>Defense Epic</t>
  </si>
  <si>
    <t>Blue Beetle</t>
  </si>
  <si>
    <t>Heroic</t>
  </si>
  <si>
    <t>Health Common</t>
  </si>
  <si>
    <t>Brainiac</t>
  </si>
  <si>
    <t>Fast Attack Chance</t>
  </si>
  <si>
    <t>Operations</t>
  </si>
  <si>
    <t>Health Rare</t>
  </si>
  <si>
    <t>Captain Cold</t>
  </si>
  <si>
    <t>Health Epic</t>
  </si>
  <si>
    <t>Captain Cold (Multiverse)</t>
  </si>
  <si>
    <t>Hero XP Common</t>
  </si>
  <si>
    <t>Catwoman</t>
  </si>
  <si>
    <t>Hero XP Rare</t>
  </si>
  <si>
    <t>Catwoman (Batman Ninja)</t>
  </si>
  <si>
    <t>Hero XP Epic</t>
  </si>
  <si>
    <t>Catwoman (Master Thief)</t>
  </si>
  <si>
    <t>Lethal Attack Chance Common</t>
  </si>
  <si>
    <t>Cheetah</t>
  </si>
  <si>
    <t>Lethal Attack Chance Rare</t>
  </si>
  <si>
    <t>Cyborg</t>
  </si>
  <si>
    <t>Lethal Attack Chance Epic</t>
  </si>
  <si>
    <t>Cyborg (Justice League)</t>
  </si>
  <si>
    <t>Cyborg (Unbreakable)</t>
  </si>
  <si>
    <t>Darkseid</t>
  </si>
  <si>
    <t>Deadshot</t>
  </si>
  <si>
    <t>Deadshot (Suicide Squad)</t>
  </si>
  <si>
    <t>Doctor Fate</t>
  </si>
  <si>
    <t>Doctor Fate (Soul Stealer)</t>
  </si>
  <si>
    <t>Enchantress (Suicide Squad)</t>
  </si>
  <si>
    <t>Firestorm</t>
  </si>
  <si>
    <t>Gorilla Grodd</t>
  </si>
  <si>
    <t>Gorilla Grodd (Batman Ninja)</t>
  </si>
  <si>
    <t>Gorilla Grodd (Telekinetic)</t>
  </si>
  <si>
    <t>Green Arrow</t>
  </si>
  <si>
    <t>Green Arrow (Ace)</t>
  </si>
  <si>
    <t>Green Arrow (Multiverse)</t>
  </si>
  <si>
    <t>Green Lantern</t>
  </si>
  <si>
    <t>Green Lantern (Emerald)</t>
  </si>
  <si>
    <t>Green Lantern (John Stewart)</t>
  </si>
  <si>
    <t>Grid</t>
  </si>
  <si>
    <t>Harley Quinn</t>
  </si>
  <si>
    <t>Harley Quinn (Batman Ninja)</t>
  </si>
  <si>
    <t>Harley Quinn (Heartbreaker)</t>
  </si>
  <si>
    <t>Harley Quinn (Suicide Squad)</t>
  </si>
  <si>
    <t>Harley Quinn (Unhinged)</t>
  </si>
  <si>
    <t>Hellboy</t>
  </si>
  <si>
    <t>Lord Joker (Batman Ninja)</t>
  </si>
  <si>
    <t>Nightwing</t>
  </si>
  <si>
    <t>Poison Ivy (Entangling)</t>
  </si>
  <si>
    <t>Poison Ivy (Flora)</t>
  </si>
  <si>
    <t>Power Girl</t>
  </si>
  <si>
    <t>Raiden</t>
  </si>
  <si>
    <t>Red Hood</t>
  </si>
  <si>
    <t>Robin</t>
  </si>
  <si>
    <t>0% Completion Speed</t>
  </si>
  <si>
    <t>0% XP</t>
  </si>
  <si>
    <t>0% Gear Chance</t>
  </si>
  <si>
    <t>0% Credits</t>
  </si>
  <si>
    <t>0% Chance of Gems</t>
  </si>
  <si>
    <t>Robin (Batman Ninja)</t>
  </si>
  <si>
    <t>5% XP</t>
  </si>
  <si>
    <t>Robin (Blademaster)</t>
  </si>
  <si>
    <t>5% Credits</t>
  </si>
  <si>
    <t>Scarecrow</t>
  </si>
  <si>
    <t>5% Completion Speed</t>
  </si>
  <si>
    <t>Scarecrow (Horrific)</t>
  </si>
  <si>
    <t>10% Credits</t>
  </si>
  <si>
    <t>Shazam</t>
  </si>
  <si>
    <t>10% XP</t>
  </si>
  <si>
    <t>Silver Banshee</t>
  </si>
  <si>
    <t>Max</t>
  </si>
  <si>
    <t>10% Completion Speed</t>
  </si>
  <si>
    <t>Starfire (Energized)</t>
  </si>
  <si>
    <t>15% Credits</t>
  </si>
  <si>
    <t>Totals</t>
  </si>
  <si>
    <t>Sub-Zero</t>
  </si>
  <si>
    <t>15% XP</t>
  </si>
  <si>
    <t>Supergirl (Dark)</t>
  </si>
  <si>
    <t>15% Completion Speed</t>
  </si>
  <si>
    <t>Supergirl (Multiverse)</t>
  </si>
  <si>
    <t>5% Gear Chance</t>
  </si>
  <si>
    <t>Supergirl (Powered)</t>
  </si>
  <si>
    <t>5% Chance of Gems</t>
  </si>
  <si>
    <t>Superman</t>
  </si>
  <si>
    <t>20% Credits</t>
  </si>
  <si>
    <t>Superman (Armored)</t>
  </si>
  <si>
    <t>20% XP</t>
  </si>
  <si>
    <t>Superman (Classic)</t>
  </si>
  <si>
    <t>20% Completion Speed</t>
  </si>
  <si>
    <t>Superman (Justice League)</t>
  </si>
  <si>
    <t>10% Gear Chance</t>
  </si>
  <si>
    <t>Swamp Thing</t>
  </si>
  <si>
    <t>10% Chance of Gems</t>
  </si>
  <si>
    <t>Swamp Thing (Primal)</t>
  </si>
  <si>
    <t>25% Credits</t>
  </si>
  <si>
    <t>The Flash</t>
  </si>
  <si>
    <t>25% XP</t>
  </si>
  <si>
    <t>The Flash (Justice League)</t>
  </si>
  <si>
    <t>15% Gear Chance</t>
  </si>
  <si>
    <t>The Flash (Multiverse)</t>
  </si>
  <si>
    <t>15% Chance of Gems</t>
  </si>
  <si>
    <t>The Flash (Speedforce)</t>
  </si>
  <si>
    <t>30 M</t>
  </si>
  <si>
    <t>1 H</t>
  </si>
  <si>
    <t>1 H 30 M</t>
  </si>
  <si>
    <t>2 H</t>
  </si>
  <si>
    <t>3 H</t>
  </si>
  <si>
    <t>4 H</t>
  </si>
  <si>
    <t>6 H</t>
  </si>
  <si>
    <t>12 H</t>
  </si>
  <si>
    <t>The Joker</t>
  </si>
  <si>
    <t>The Joker (Last Laugh)</t>
  </si>
  <si>
    <t>The Reverse Flash</t>
  </si>
  <si>
    <t>28 M 34 S</t>
  </si>
  <si>
    <t>57 M 08 S</t>
  </si>
  <si>
    <t>1 H 25 M</t>
  </si>
  <si>
    <t>1 H 54 M</t>
  </si>
  <si>
    <t>2 H 51 M</t>
  </si>
  <si>
    <t>3 H 48 M</t>
  </si>
  <si>
    <t>5 H 42 M</t>
  </si>
  <si>
    <t>11 H 25 M</t>
  </si>
  <si>
    <t>White Canary (Multiverse)</t>
  </si>
  <si>
    <t>Wonder Woman</t>
  </si>
  <si>
    <t>Wonder Woman (Amazon)</t>
  </si>
  <si>
    <t>Wonder Woman (Mythic)</t>
  </si>
  <si>
    <t>27 M 16 S</t>
  </si>
  <si>
    <t>54 M 32 S</t>
  </si>
  <si>
    <t>1 H 21 M</t>
  </si>
  <si>
    <t>1 H 49 M</t>
  </si>
  <si>
    <t>2 H 43 M</t>
  </si>
  <si>
    <t>3 H 38 M</t>
  </si>
  <si>
    <t>5 H 27 M</t>
  </si>
  <si>
    <t>10 H 54 M</t>
  </si>
  <si>
    <t>Wonder Woman (Warrior Queen)</t>
  </si>
  <si>
    <t>26 M 05 S</t>
  </si>
  <si>
    <t>52 M 10 S</t>
  </si>
  <si>
    <t>1 H 18 M</t>
  </si>
  <si>
    <t>1 H 44 M</t>
  </si>
  <si>
    <t>2 H 36 M</t>
  </si>
  <si>
    <t>3 H 28 M</t>
  </si>
  <si>
    <t>5 H 13 M</t>
  </si>
  <si>
    <t>10 H 26 M</t>
  </si>
  <si>
    <t>Gear set bonus effect</t>
  </si>
  <si>
    <t>Talent totals</t>
  </si>
  <si>
    <t>Slot1</t>
  </si>
  <si>
    <t>Slot2</t>
  </si>
  <si>
    <t>Slot3</t>
  </si>
  <si>
    <t>Slot4</t>
  </si>
  <si>
    <t>Slot5</t>
  </si>
  <si>
    <t>Slot6</t>
  </si>
  <si>
    <t>APC</t>
  </si>
  <si>
    <t>BE</t>
  </si>
  <si>
    <t>CAC</t>
  </si>
  <si>
    <t>24 M 59 S</t>
  </si>
  <si>
    <t>49 M 59 S</t>
  </si>
  <si>
    <t>1 H 14 M</t>
  </si>
  <si>
    <t>1 H 39 M</t>
  </si>
  <si>
    <t>2 H 29 M</t>
  </si>
  <si>
    <t>3 H 19 M</t>
  </si>
  <si>
    <t>4 H 59 M</t>
  </si>
  <si>
    <t>9 H 59 M</t>
  </si>
  <si>
    <t>CAD</t>
  </si>
  <si>
    <t>CAR</t>
  </si>
  <si>
    <t>DOTR</t>
  </si>
  <si>
    <t>XP</t>
  </si>
  <si>
    <t>SR</t>
  </si>
  <si>
    <t>LC</t>
  </si>
  <si>
    <t>Gear slot 1</t>
  </si>
  <si>
    <t>Chance slot 1</t>
  </si>
  <si>
    <t>Chance slot 2</t>
  </si>
  <si>
    <t>Chance slot 3</t>
  </si>
  <si>
    <t>Base Effect</t>
  </si>
  <si>
    <t>FAC</t>
  </si>
  <si>
    <t>LAC</t>
  </si>
  <si>
    <t>Gear slot 2</t>
  </si>
  <si>
    <t>Gear slot 3</t>
  </si>
  <si>
    <t>Gear slot 4</t>
  </si>
  <si>
    <t>Gear slot 5</t>
  </si>
  <si>
    <t>Note: Hero promotion offers have been removed since update 3.1 but the offer columns will remain as they are just for history purpose</t>
  </si>
  <si>
    <t>Hero</t>
  </si>
  <si>
    <t>Abbreviated Name</t>
  </si>
  <si>
    <t>Tier</t>
  </si>
  <si>
    <t>Class</t>
  </si>
  <si>
    <t>Base Star Level</t>
  </si>
  <si>
    <t>Star Rank 1</t>
  </si>
  <si>
    <t>Star Rank 2</t>
  </si>
  <si>
    <t>Star Rank 3</t>
  </si>
  <si>
    <t>Star Rank 4</t>
  </si>
  <si>
    <t>Star Rank 5</t>
  </si>
  <si>
    <t>Star Rank 6</t>
  </si>
  <si>
    <t>6 Star Orb
(S = Stellar
C = Cosmic
G = Galactic)</t>
  </si>
  <si>
    <t>Unlock Offer</t>
  </si>
  <si>
    <t>Level Up Offer</t>
  </si>
  <si>
    <t>Promote</t>
  </si>
  <si>
    <t>Credit Cost</t>
  </si>
  <si>
    <t>AM</t>
  </si>
  <si>
    <t>Silver</t>
  </si>
  <si>
    <t>Might</t>
  </si>
  <si>
    <t>Chest</t>
  </si>
  <si>
    <t>S</t>
  </si>
  <si>
    <t>Y</t>
  </si>
  <si>
    <t>Silver 1 Star Heroes</t>
  </si>
  <si>
    <t>BN</t>
  </si>
  <si>
    <t>Chest/Chapter 6</t>
  </si>
  <si>
    <t>BM</t>
  </si>
  <si>
    <t>Tech</t>
  </si>
  <si>
    <t>Chest/Chapters 1 &amp; 4</t>
  </si>
  <si>
    <t>CW</t>
  </si>
  <si>
    <t>Agility</t>
  </si>
  <si>
    <t>Chest/Chapter 2</t>
  </si>
  <si>
    <t>CB</t>
  </si>
  <si>
    <t>Chest/Chapter 4</t>
  </si>
  <si>
    <t>DS</t>
  </si>
  <si>
    <t>GG</t>
  </si>
  <si>
    <t>GL</t>
  </si>
  <si>
    <t>Arcane</t>
  </si>
  <si>
    <t>Arena Store/Store</t>
  </si>
  <si>
    <t>Silver 2 Star Heroes</t>
  </si>
  <si>
    <t>HQ</t>
  </si>
  <si>
    <t>Chest/Chapters 1 &amp; 5</t>
  </si>
  <si>
    <t>RBN</t>
  </si>
  <si>
    <t>Chest/Chapters 4 &amp; 7</t>
  </si>
  <si>
    <t>SM</t>
  </si>
  <si>
    <t>Chest/Chapters 3 &amp; 6</t>
  </si>
  <si>
    <t>ST</t>
  </si>
  <si>
    <t>Meta</t>
  </si>
  <si>
    <t>Chest/Store/Chapter 6</t>
  </si>
  <si>
    <t>TF</t>
  </si>
  <si>
    <t>Chest/Chapters 3 &amp; 5</t>
  </si>
  <si>
    <t>WW</t>
  </si>
  <si>
    <t>Chest/Chapters 1 &amp; 3</t>
  </si>
  <si>
    <t>Gold 2 Star Heroes</t>
  </si>
  <si>
    <t>BC</t>
  </si>
  <si>
    <t>Chest/Chapter 7</t>
  </si>
  <si>
    <t>DF</t>
  </si>
  <si>
    <t>Chest/Chapter 8</t>
  </si>
  <si>
    <t>GA</t>
  </si>
  <si>
    <t>Chest/Chapters 5 &amp; 8</t>
  </si>
  <si>
    <t>SC</t>
  </si>
  <si>
    <t>Chest/Chapter 1</t>
  </si>
  <si>
    <t>TJ</t>
  </si>
  <si>
    <t>AWW</t>
  </si>
  <si>
    <t>Starter Pack</t>
  </si>
  <si>
    <t>Gold 3 Star Heroes</t>
  </si>
  <si>
    <t>AAAM</t>
  </si>
  <si>
    <t>Gold</t>
  </si>
  <si>
    <t>CBM</t>
  </si>
  <si>
    <t>Chest/Arena</t>
  </si>
  <si>
    <t>N</t>
  </si>
  <si>
    <t>MBW</t>
  </si>
  <si>
    <t>Chest/Chapters 4,5 &amp; 8</t>
  </si>
  <si>
    <t>BB</t>
  </si>
  <si>
    <t>Challenge/Chest</t>
  </si>
  <si>
    <t>C</t>
  </si>
  <si>
    <t>Gold 4 Star Heroes</t>
  </si>
  <si>
    <t>JLCB</t>
  </si>
  <si>
    <t>Arena Store</t>
  </si>
  <si>
    <t>UCB</t>
  </si>
  <si>
    <t>FS</t>
  </si>
  <si>
    <t>EGL</t>
  </si>
  <si>
    <t>Chest/Chapter 3</t>
  </si>
  <si>
    <t>Legendary 4 Star Heroes</t>
  </si>
  <si>
    <t>JSGL</t>
  </si>
  <si>
    <t>League Store/Raid</t>
  </si>
  <si>
    <t>Challenge/Chest/Chapters 3, 5 &amp; 7</t>
  </si>
  <si>
    <t>BNHQ</t>
  </si>
  <si>
    <t>Arena Special Event</t>
  </si>
  <si>
    <t>HHQ</t>
  </si>
  <si>
    <t>LOA Chest</t>
  </si>
  <si>
    <t>Promo Offers</t>
  </si>
  <si>
    <t>HB</t>
  </si>
  <si>
    <t>Gems</t>
  </si>
  <si>
    <t>RDN</t>
  </si>
  <si>
    <t>1 Star to 2 Star</t>
  </si>
  <si>
    <t>SB</t>
  </si>
  <si>
    <t>Challenge</t>
  </si>
  <si>
    <t>2 Star to 3 Star</t>
  </si>
  <si>
    <t>CSM</t>
  </si>
  <si>
    <t>Arena Special Event/Chest</t>
  </si>
  <si>
    <t>G</t>
  </si>
  <si>
    <t>3 Star to 4 Star</t>
  </si>
  <si>
    <t>BMT</t>
  </si>
  <si>
    <t>Legendary</t>
  </si>
  <si>
    <t>4 Star to 5 Star</t>
  </si>
  <si>
    <t>SSE</t>
  </si>
  <si>
    <t>SSHQ</t>
  </si>
  <si>
    <t>Store</t>
  </si>
  <si>
    <t>JLSM</t>
  </si>
  <si>
    <t>Store/Chest</t>
  </si>
  <si>
    <t>JLAM</t>
  </si>
  <si>
    <t>Arena/Store</t>
  </si>
  <si>
    <t>KOAAM</t>
  </si>
  <si>
    <t>League Store/Atlantis Chest</t>
  </si>
  <si>
    <t>Supergirl (Multiverse Armored)</t>
  </si>
  <si>
    <t>MASG</t>
  </si>
  <si>
    <t>Arena</t>
  </si>
  <si>
    <t>ATC</t>
  </si>
  <si>
    <t>EBN</t>
  </si>
  <si>
    <t>Chapter 7</t>
  </si>
  <si>
    <t>BNBM</t>
  </si>
  <si>
    <t>Arena/Chest</t>
  </si>
  <si>
    <t>JLBM</t>
  </si>
  <si>
    <t>KBM</t>
  </si>
  <si>
    <t>PBM</t>
  </si>
  <si>
    <t>BA</t>
  </si>
  <si>
    <t>SBC</t>
  </si>
  <si>
    <t>MBL</t>
  </si>
  <si>
    <t>CC</t>
  </si>
  <si>
    <t>MCC</t>
  </si>
  <si>
    <t>BNCW</t>
  </si>
  <si>
    <t>Arena/Chest/Versus Challenge</t>
  </si>
  <si>
    <t>MTCW</t>
  </si>
  <si>
    <t>Basic Chest</t>
  </si>
  <si>
    <t>MDS</t>
  </si>
  <si>
    <t>Doctor Fate (Soulstealer)</t>
  </si>
  <si>
    <t>SSDF</t>
  </si>
  <si>
    <t>TGG</t>
  </si>
  <si>
    <t>Chapter 6</t>
  </si>
  <si>
    <t>AGA</t>
  </si>
  <si>
    <t>MGA</t>
  </si>
  <si>
    <t>UHQ</t>
  </si>
  <si>
    <t>BNLJ</t>
  </si>
  <si>
    <t>NW</t>
  </si>
  <si>
    <t>EPI</t>
  </si>
  <si>
    <t>FPI</t>
  </si>
  <si>
    <t>PG</t>
  </si>
  <si>
    <t>RH</t>
  </si>
  <si>
    <t>BNR</t>
  </si>
  <si>
    <t>BMR</t>
  </si>
  <si>
    <t>HSC</t>
  </si>
  <si>
    <t>ESF</t>
  </si>
  <si>
    <t>SZ</t>
  </si>
  <si>
    <t>Challenge/Store</t>
  </si>
  <si>
    <t>DSG</t>
  </si>
  <si>
    <t>Arena / Store / Chest</t>
  </si>
  <si>
    <t>MSG</t>
  </si>
  <si>
    <t>PSG</t>
  </si>
  <si>
    <t>PST</t>
  </si>
  <si>
    <t>JLTF</t>
  </si>
  <si>
    <t>MTF</t>
  </si>
  <si>
    <t>STF</t>
  </si>
  <si>
    <t>LLTJ</t>
  </si>
  <si>
    <t>TRF</t>
  </si>
  <si>
    <t>MWC</t>
  </si>
  <si>
    <t>MWW</t>
  </si>
  <si>
    <t>WQWW</t>
  </si>
  <si>
    <t>AKBM</t>
  </si>
  <si>
    <t>BNC</t>
  </si>
  <si>
    <t>Chest/Versus Challenge</t>
  </si>
  <si>
    <t>DSD</t>
  </si>
  <si>
    <t>Platinum Chest</t>
  </si>
  <si>
    <t>BNGG</t>
  </si>
  <si>
    <t xml:space="preserve">Superman (Armored) </t>
  </si>
  <si>
    <t>ASM</t>
  </si>
  <si>
    <t>Achievements/Chest</t>
  </si>
  <si>
    <t xml:space="preserve"> </t>
  </si>
  <si>
    <t>Hero Template Builder</t>
  </si>
  <si>
    <t>Head Gear Effects</t>
  </si>
  <si>
    <t>Gear Set Bonus (in order of 2/5, 3/5 and 5/5)</t>
  </si>
  <si>
    <t>Value (%age)</t>
  </si>
  <si>
    <t>The Template Builder is used to simulate loadouts based on the chosen effects at a particular gear level for each individual gear piece along with upto 6 hero talents.
After completing your template head over to Nerdanator's Character Stats, Threat and Special/Supermove Damage Calculator spreadsheet linked below for all your stats/threat/damage calculation needs!</t>
  </si>
  <si>
    <t>Hero Talents</t>
  </si>
  <si>
    <t>Chest Gear Effects</t>
  </si>
  <si>
    <t>https://goo.gl/RSdf3X</t>
  </si>
  <si>
    <t>Arms Gear Effects</t>
  </si>
  <si>
    <t>As a reference, you can view balanced setups for all characrers in Nerdanator's Balanced Hero Builds Spreadsheet.</t>
  </si>
  <si>
    <t>Totals per Effect</t>
  </si>
  <si>
    <t>Affects Threat</t>
  </si>
  <si>
    <t>Armor Pierce Chance for Basic Attacks %</t>
  </si>
  <si>
    <t>Yes</t>
  </si>
  <si>
    <t>Attack (gear base effects + gear chance effects)</t>
  </si>
  <si>
    <t>Attack % (talents)</t>
  </si>
  <si>
    <t>Legs Gear Effects</t>
  </si>
  <si>
    <t>Attack % (gear set bonus)</t>
  </si>
  <si>
    <t>Block Effectiveness %</t>
  </si>
  <si>
    <t>https://goo.gl/6Qhi28</t>
  </si>
  <si>
    <t>Critical Attack Damage %</t>
  </si>
  <si>
    <t>Critical Attack Resistance % (gear set + gear effects)</t>
  </si>
  <si>
    <t>Utility Gear Effects</t>
  </si>
  <si>
    <t>Critical Attack Resistance % (talents)</t>
  </si>
  <si>
    <t>DOT Resistance %</t>
  </si>
  <si>
    <t>No</t>
  </si>
  <si>
    <t>Fast Attack Chance %</t>
  </si>
  <si>
    <t>Health (gear base effects + gear chance effects)</t>
  </si>
  <si>
    <t>Base Stats</t>
  </si>
  <si>
    <t>Health % (talents)</t>
  </si>
  <si>
    <t>Health % (gear set bonus)</t>
  </si>
  <si>
    <t>Hero XP %</t>
  </si>
  <si>
    <t>Lethal Attack Chance %</t>
  </si>
  <si>
    <t>Power Generation %</t>
  </si>
  <si>
    <t>Stun Resistance % (gear set + gear effects)</t>
  </si>
  <si>
    <t>Blocking %</t>
  </si>
  <si>
    <t>Stun Resistance % (talents)</t>
  </si>
  <si>
    <t>Stun Resistance %</t>
  </si>
  <si>
    <t>Please do not copy a talent or gear effect from one row into another and please exercise caution when using the template on a mobile device especially when using the drop down to change values. There are validations designed to function as per how the actual game works.
Any copying or dragging dropdown values into another row will result in malfunction.</t>
  </si>
  <si>
    <t>Crit Attack Resistance %</t>
  </si>
  <si>
    <t>AP Chance On Basic Attacks %</t>
  </si>
  <si>
    <t>The gear levels for each slot can be controlled individually to any level from 1 through 70 and all 6 talent slots can be modified as per your needs. If a talent slot is locked and/or if the gear level is less than 5/20/40, please select the value "N/A" from the drop down for the locked slot and the effect will show a value of 0.
If you exceed the cap limit for a particular stat beyond the acceptable overhead (defense, stun resistance, crit chance, fast attack chance, lethal attack chance are allowed a 5% overhead, armor piercing chance a 4% overhead and crit damage/crit resistance a 10% overhead), the total for the particular attribute will appear in red to indicate the same. Please use this as a guide to distribute your talents and gear effects more efficiently</t>
  </si>
  <si>
    <t xml:space="preserve">  </t>
  </si>
  <si>
    <t>Gear Level</t>
  </si>
  <si>
    <t>Gear Material earned on shatter</t>
  </si>
  <si>
    <t>Cost to reach next level</t>
  </si>
  <si>
    <t>Cumulative cost to reach current level</t>
  </si>
  <si>
    <t>Progress %age to lvl 70</t>
  </si>
  <si>
    <t>Shatter to Cumulative Cost Ratio</t>
  </si>
  <si>
    <t>Target Gear Level</t>
  </si>
  <si>
    <t xml:space="preserve">Gear Material needed per piece (from lvl 1) </t>
  </si>
  <si>
    <t>Gear Material needed for 5 pieces (from lvl 1)</t>
  </si>
  <si>
    <t>Base Effects
Value = Starting Roll + (Increase per Level * (Gear Level - 1))</t>
  </si>
  <si>
    <t>Attribute</t>
  </si>
  <si>
    <t>Starting Value</t>
  </si>
  <si>
    <t>200</t>
  </si>
  <si>
    <t>10</t>
  </si>
  <si>
    <t>Increase per Level</t>
  </si>
  <si>
    <t>50</t>
  </si>
  <si>
    <t>5</t>
  </si>
  <si>
    <t>Value w/Gear Level</t>
  </si>
  <si>
    <t>Chance Effects (start at level 5)</t>
  </si>
  <si>
    <t>Formula</t>
  </si>
  <si>
    <t>Value = Starting Roll + (Increase per Level * (Gear Level - 5))</t>
  </si>
  <si>
    <t>Possible Effects</t>
  </si>
  <si>
    <t>Base Roll (at lvl 5)</t>
  </si>
  <si>
    <t>Increase Per Level</t>
  </si>
  <si>
    <t>Choose a Gear Level From 1 to 70. The Value w/Gear Level will adjust to show the effect vaules for that gear level.                                                    Chance Effects start at Level 5.</t>
  </si>
  <si>
    <t>20</t>
  </si>
  <si>
    <t>3</t>
  </si>
  <si>
    <t>30</t>
  </si>
  <si>
    <t>4</t>
  </si>
  <si>
    <t>Gear Leveling Calculator</t>
  </si>
  <si>
    <t>Starting Level</t>
  </si>
  <si>
    <t>Target Level</t>
  </si>
  <si>
    <t>1 Piece Gear Material</t>
  </si>
  <si>
    <t>Full Set Gear Material</t>
  </si>
  <si>
    <t>Level 70 (from above starting level)</t>
  </si>
  <si>
    <t>NOTE: Please exercise caution when using the gear calculator on a mobile device.
Copying or dragging of the level dropdown values into another row will result in malfunction.</t>
  </si>
  <si>
    <t>250</t>
  </si>
  <si>
    <t>300</t>
  </si>
  <si>
    <t>40</t>
  </si>
  <si>
    <t>Single Hero Maxed Gear Pieces</t>
  </si>
  <si>
    <t>Gear Material</t>
  </si>
  <si>
    <t>Roster Hero Count</t>
  </si>
  <si>
    <t>All Heroes Maxed Gear Pieces</t>
  </si>
  <si>
    <t>Silver Tier Azure - Amulet Of Tech, Amulet Of Might, Amulet Of Agility, Amulet Of Metahuman, Amulet Of Arcane</t>
  </si>
  <si>
    <t>Gold Tier Azure - Claw Of Horus, Cosmic Staff, The All Blades</t>
  </si>
  <si>
    <t>Legendary Tier Azure - Kryptonian Regeneration Matrix, Nth Metal Armor</t>
  </si>
  <si>
    <t>Silver Tier Apokolips - Mega Rod</t>
  </si>
  <si>
    <t>Gold Tier Apokolips - Electro Axe, Radion</t>
  </si>
  <si>
    <t>Legendary Tier Apokolips - Entropy Aegis, Heart Of Darkness, The Father Box</t>
  </si>
  <si>
    <t>Artifact Level</t>
  </si>
  <si>
    <t>Material earned on shatter</t>
  </si>
  <si>
    <t>Artifact Tier</t>
  </si>
  <si>
    <t>Artifact Name</t>
  </si>
  <si>
    <t>Effects</t>
  </si>
  <si>
    <t>Artifact Leveling Calculator</t>
  </si>
  <si>
    <t>Amulet Of Tech</t>
  </si>
  <si>
    <t>Amulet Of Might</t>
  </si>
  <si>
    <t>Azure/Apokolips Material Reqd</t>
  </si>
  <si>
    <t>Amulet Of Agility</t>
  </si>
  <si>
    <t>Amulet Of Metahuman</t>
  </si>
  <si>
    <t>All Artifacts Maxed</t>
  </si>
  <si>
    <t>Azure Material Required</t>
  </si>
  <si>
    <t>Amulet Of Arcane</t>
  </si>
  <si>
    <t>Apokolips Material Required</t>
  </si>
  <si>
    <t>Mega Rod</t>
  </si>
  <si>
    <t>Claw Of Horus</t>
  </si>
  <si>
    <t>Cosmic Staff</t>
  </si>
  <si>
    <t>The All Blades</t>
  </si>
  <si>
    <t>Electro Axe</t>
  </si>
  <si>
    <t>Radion</t>
  </si>
  <si>
    <t>Kryptonian Regeneration Matrix</t>
  </si>
  <si>
    <t>Nth Metal Armor</t>
  </si>
  <si>
    <t>Entropy Aegis</t>
  </si>
  <si>
    <t>[DAWN OF APOKOLIPS Solo Raid Event only] Damage cap is effective against Boss Darkseid's Supermove</t>
  </si>
  <si>
    <t>Heart Of Darkness</t>
  </si>
  <si>
    <t>The Father Box</t>
  </si>
  <si>
    <t>Common</t>
  </si>
  <si>
    <t>Rare</t>
  </si>
  <si>
    <t>Epic</t>
  </si>
  <si>
    <t>Armor Pierce Chance for Basic Attacks</t>
  </si>
  <si>
    <t>Block Effectiveness</t>
  </si>
  <si>
    <t>Resistance to Stun, DOT and Critical Attacks</t>
  </si>
  <si>
    <t>Hero XP</t>
  </si>
  <si>
    <t>Character Tier</t>
  </si>
  <si>
    <t>Reroll Cost (after daily free roll)</t>
  </si>
  <si>
    <t>Campaign Normal</t>
  </si>
  <si>
    <t>HHQ XP Bonus %</t>
  </si>
  <si>
    <t>Hero XP Bonus</t>
  </si>
  <si>
    <t>Daily Energy Refresh Cost: 1st 50, 2nd 50, 3rd 75, 4th 75, 5th 100, 6th 100, 7th 150, 8th 150, 9th 200, 10th 200.</t>
  </si>
  <si>
    <t>Battle</t>
  </si>
  <si>
    <t>Boss</t>
  </si>
  <si>
    <t>Threat</t>
  </si>
  <si>
    <t>Energy</t>
  </si>
  <si>
    <t>XP Base</t>
  </si>
  <si>
    <t>XP w/Bonus</t>
  </si>
  <si>
    <t>XP earned per energy</t>
  </si>
  <si>
    <t>Credits</t>
  </si>
  <si>
    <t>Credits earned per energy</t>
  </si>
  <si>
    <t>Loot (Gear Slot)</t>
  </si>
  <si>
    <t>Lvl</t>
  </si>
  <si>
    <t>Total gear material on shattering</t>
  </si>
  <si>
    <t>Max possible gear material per energy</t>
  </si>
  <si>
    <t>Scarecrow (3)</t>
  </si>
  <si>
    <t>Harley Quinn (5)</t>
  </si>
  <si>
    <t>Wonder Woman (1)</t>
  </si>
  <si>
    <t>The Flash (2)</t>
  </si>
  <si>
    <t>Scarecrow (5)</t>
  </si>
  <si>
    <t>Harley Quinn (2)</t>
  </si>
  <si>
    <t>Gorilla Grodd (2)</t>
  </si>
  <si>
    <t>Batman (4)</t>
  </si>
  <si>
    <t>Superman (2)</t>
  </si>
  <si>
    <t>Deadshot (4)</t>
  </si>
  <si>
    <t>Scarecrow (1)</t>
  </si>
  <si>
    <t>Catwoman (2)</t>
  </si>
  <si>
    <t>Harley Quinn (3)</t>
  </si>
  <si>
    <t>Gorilla Grodd (5)</t>
  </si>
  <si>
    <t>Wonder Woman (5)</t>
  </si>
  <si>
    <t>Catwoman (4)</t>
  </si>
  <si>
    <t>Deadshot (2)</t>
  </si>
  <si>
    <t>Batman (5)</t>
  </si>
  <si>
    <t>Wonder Woman (4)</t>
  </si>
  <si>
    <t>Catwoman (5)</t>
  </si>
  <si>
    <t>Superman (1)</t>
  </si>
  <si>
    <t>Deadshot (5)</t>
  </si>
  <si>
    <t>Harley Quinn (Unhinged) (3)</t>
  </si>
  <si>
    <t>Cyborg (4)</t>
  </si>
  <si>
    <t>Batman (1)</t>
  </si>
  <si>
    <t>The Flash (4)</t>
  </si>
  <si>
    <t>Cyborg (Unbreakable) (2)</t>
  </si>
  <si>
    <t>Harley Quinn (Unhinged) (5)</t>
  </si>
  <si>
    <t>Cyborg (2)</t>
  </si>
  <si>
    <t>Gorilla Grodd (1)</t>
  </si>
  <si>
    <t>Green Arrow (2)</t>
  </si>
  <si>
    <t>The Flash (5)</t>
  </si>
  <si>
    <t>Cyborg (Unbreakable) (5)</t>
  </si>
  <si>
    <t>Catwoman (Master Thief) (1)</t>
  </si>
  <si>
    <t>Batwoman (Multiverse) (3)</t>
  </si>
  <si>
    <t>Aquaman (Atlantean) (1)</t>
  </si>
  <si>
    <t>Cyborg (5)</t>
  </si>
  <si>
    <t>Scarecrow (Horrific) (1)</t>
  </si>
  <si>
    <t>Poison Ivy (Flora) (3)</t>
  </si>
  <si>
    <t>Catwoman (Master Thief) (2)</t>
  </si>
  <si>
    <t>Green Lantern (Emerald) (4)</t>
  </si>
  <si>
    <t>Aquaman (Atlantean) (4)</t>
  </si>
  <si>
    <t>Bane (4)</t>
  </si>
  <si>
    <t>Robin (3)</t>
  </si>
  <si>
    <t>Green Lantern (Emerald) (5)</t>
  </si>
  <si>
    <t>Green Arrow (3)</t>
  </si>
  <si>
    <t>Poison Ivy (Flora) (5)</t>
  </si>
  <si>
    <t>Black Canary (2)</t>
  </si>
  <si>
    <t>Scarecrow (Horrific) (3)</t>
  </si>
  <si>
    <t>The Joker (2)</t>
  </si>
  <si>
    <t>Bane (1)</t>
  </si>
  <si>
    <t>Robin (2)</t>
  </si>
  <si>
    <t>Doctor Fate (1)</t>
  </si>
  <si>
    <t>Batwoman (Multiverse) (5)</t>
  </si>
  <si>
    <t>Swamp Thing (1)</t>
  </si>
  <si>
    <t>Gorilla Grodd (Telekinetic) (3)</t>
  </si>
  <si>
    <t>Robin (4)</t>
  </si>
  <si>
    <t>Bane (Enraged) (5)</t>
  </si>
  <si>
    <t>Deadshot (Marksman) (2)</t>
  </si>
  <si>
    <t>Robin (Blademaster) (2)</t>
  </si>
  <si>
    <t>The Joker (5)</t>
  </si>
  <si>
    <t>Swamp Thing (5)</t>
  </si>
  <si>
    <t>Black Canary (3)</t>
  </si>
  <si>
    <t>Doctor Fate (2)</t>
  </si>
  <si>
    <t>Bane (Enraged) (4)</t>
  </si>
  <si>
    <t>Swamp Thing (Primal) (2)</t>
  </si>
  <si>
    <t>Bane (5)</t>
  </si>
  <si>
    <t>Deadshot (Marksman) (5)</t>
  </si>
  <si>
    <t>Black Canary (1)</t>
  </si>
  <si>
    <t>Doctor Fate (5)</t>
  </si>
  <si>
    <t>The Joker (3)</t>
  </si>
  <si>
    <t>Gorilla Grodd (Telekinetic) (1)</t>
  </si>
  <si>
    <t>Swamp Thing (Primal) (5)</t>
  </si>
  <si>
    <t>Robin (Blade Master) (4)</t>
  </si>
  <si>
    <t>Heroic Campaign</t>
  </si>
  <si>
    <t>XP Capsule</t>
  </si>
  <si>
    <t>Batman (3)</t>
  </si>
  <si>
    <t>Level 1 XP</t>
  </si>
  <si>
    <t>Deadshot (1)</t>
  </si>
  <si>
    <t>Catwoman (3)</t>
  </si>
  <si>
    <t>Deadshot (3)</t>
  </si>
  <si>
    <t>The Flash (1)</t>
  </si>
  <si>
    <t>Batman (2)</t>
  </si>
  <si>
    <t>Wonder Woman (2)</t>
  </si>
  <si>
    <t>Harley Quinn (4)</t>
  </si>
  <si>
    <t>Gorilla Grodd (3)</t>
  </si>
  <si>
    <t>Superman (5)</t>
  </si>
  <si>
    <t>Cyborg (Unbreakable) (4)</t>
  </si>
  <si>
    <t>Scarecrow (2)</t>
  </si>
  <si>
    <t>Cyborg (1)</t>
  </si>
  <si>
    <t>The Flash (3)</t>
  </si>
  <si>
    <t>Harley Quinn (1)</t>
  </si>
  <si>
    <t>Gorilla Grodd (4)</t>
  </si>
  <si>
    <t>Level 2 XP</t>
  </si>
  <si>
    <t>Harley Quinn (Unhinged) (2)</t>
  </si>
  <si>
    <t>Catwoman (Master Thief) (4)</t>
  </si>
  <si>
    <t>Scarecrow (4)</t>
  </si>
  <si>
    <t>Cybrog (Unbreakable) (3)</t>
  </si>
  <si>
    <t>Green Lantern (Emerald) (2)</t>
  </si>
  <si>
    <t>Catwoman (1)</t>
  </si>
  <si>
    <t>Superman (4)</t>
  </si>
  <si>
    <t>Harley Quinn (Unhinged) (1)</t>
  </si>
  <si>
    <t>Level 3 XP</t>
  </si>
  <si>
    <t>Wonder Woman (3)</t>
  </si>
  <si>
    <t>Auqaman (Atlantean) (2)</t>
  </si>
  <si>
    <t>Catwoman (Master Thief) (5)</t>
  </si>
  <si>
    <t>Scarecrow (Horrific) (5)</t>
  </si>
  <si>
    <t>Harley Quinn (Unhinged) (4)</t>
  </si>
  <si>
    <t>Robin (1)</t>
  </si>
  <si>
    <t>Superman (3)</t>
  </si>
  <si>
    <t>Aquaman (Atlantean) (3)</t>
  </si>
  <si>
    <t>Green Lantern (Emerald) (1)</t>
  </si>
  <si>
    <t>Gorilla Grodd (Telekinetic) (5)</t>
  </si>
  <si>
    <t>Bane (Enraged) (3)</t>
  </si>
  <si>
    <t>Swamp Thing (4)</t>
  </si>
  <si>
    <t>Green Arrow (1)</t>
  </si>
  <si>
    <t>Robin (5)</t>
  </si>
  <si>
    <t>Batwoman (Multiverse) (4)</t>
  </si>
  <si>
    <t>Horrific Scarecrow (2)</t>
  </si>
  <si>
    <t>Cyborg (3)</t>
  </si>
  <si>
    <t>The Joker (1)</t>
  </si>
  <si>
    <t>Poison Ivy (Flora) (4)</t>
  </si>
  <si>
    <t>Auqaman (Atlantean) (5)</t>
  </si>
  <si>
    <t>Swamp Thing (2)</t>
  </si>
  <si>
    <t>Cyborg (Unbreakable) (1)</t>
  </si>
  <si>
    <t>Robin (Blademaster) (4)</t>
  </si>
  <si>
    <t>Level 4 XP</t>
  </si>
  <si>
    <t>Poison Ivy (Flora) (1)</t>
  </si>
  <si>
    <t>Emerald Green Lantern (3)</t>
  </si>
  <si>
    <t>Gorilla Grodd (Telekinetic) (4)</t>
  </si>
  <si>
    <t>Scarecrow (Horrific) (4)</t>
  </si>
  <si>
    <t>Bane (Enraged) (2)</t>
  </si>
  <si>
    <t>Green Arrow (5)</t>
  </si>
  <si>
    <t>Batwoman (Multiverse) (2)</t>
  </si>
  <si>
    <t>Poison Ivy (Flora) (2)</t>
  </si>
  <si>
    <t>Swamp Thing (Primal) (4)</t>
  </si>
  <si>
    <t>Catwoman (Master Thief) (3)</t>
  </si>
  <si>
    <t>Bane (2)</t>
  </si>
  <si>
    <t>The Joker (4)</t>
  </si>
  <si>
    <t>Black Canary (5)</t>
  </si>
  <si>
    <t>Batwoman (Multiverse) (1)</t>
  </si>
  <si>
    <t>Doctor Fate (4)</t>
  </si>
  <si>
    <t>Bane (3)</t>
  </si>
  <si>
    <t>Deadshot (Marksman) (3)</t>
  </si>
  <si>
    <t>Swamp Thing (Primal) (1)</t>
  </si>
  <si>
    <t>Green Arrow (4)</t>
  </si>
  <si>
    <t>Gorilla Grodd (Telekinetic) (2)</t>
  </si>
  <si>
    <t>Robin (Blademaster) (5)</t>
  </si>
  <si>
    <t>Deadshot (Marksman) (4)</t>
  </si>
  <si>
    <t>Black Canary (4)</t>
  </si>
  <si>
    <t>Level 5 XP</t>
  </si>
  <si>
    <t>Swamp Thing (3)</t>
  </si>
  <si>
    <t>Deadshot (Marksman) (1)</t>
  </si>
  <si>
    <t>Swamp Thing (Primal) (3)</t>
  </si>
  <si>
    <t>Robin (Blademaster) (1)</t>
  </si>
  <si>
    <t>Bane (Enraged) (1)</t>
  </si>
  <si>
    <t>Doctor Fate (3)</t>
  </si>
  <si>
    <t>Daily Heroic Refresh Gem Cost: 1st 25, 2nd 25, 3rd 50.</t>
  </si>
  <si>
    <t xml:space="preserve"> Level</t>
  </si>
  <si>
    <t>XP to next level</t>
  </si>
  <si>
    <t>Cumulative XP</t>
  </si>
  <si>
    <t>%age to lvl 70</t>
  </si>
  <si>
    <t>To Level</t>
  </si>
  <si>
    <t>XP Left to 70</t>
  </si>
  <si>
    <t>XP Capsule Tier</t>
  </si>
  <si>
    <t>Matching class Bonus</t>
  </si>
  <si>
    <t>Generic / non matching class</t>
  </si>
  <si>
    <t>Half Way Point</t>
  </si>
  <si>
    <t>Level 62 ( 64525 / 138250 XP)</t>
  </si>
  <si>
    <t>Passive</t>
  </si>
  <si>
    <t>Current Level</t>
  </si>
  <si>
    <t>Upgrade Cost</t>
  </si>
  <si>
    <t>Cumulative Cost</t>
  </si>
  <si>
    <t>Progress %age to 70</t>
  </si>
  <si>
    <t>Total cost of lvl 5 Passive &amp; lvl 70 Abilities</t>
  </si>
  <si>
    <t>Roster Count</t>
  </si>
  <si>
    <t>All Heroes Maxed Passive &amp; Abilities</t>
  </si>
  <si>
    <t>Calculator</t>
  </si>
  <si>
    <t>Credits to Target</t>
  </si>
  <si>
    <t>Credits to lvl 70</t>
  </si>
  <si>
    <t>Credits to 35</t>
  </si>
  <si>
    <t>Credits to 70</t>
  </si>
  <si>
    <t>Gear Slot 1</t>
  </si>
  <si>
    <t>Gear Slot 2</t>
  </si>
  <si>
    <t>Gear Slot 3</t>
  </si>
  <si>
    <t>Gear Slot 4</t>
  </si>
  <si>
    <t>Gear Slot 5</t>
  </si>
  <si>
    <t>Basic Chest/Achievements</t>
  </si>
  <si>
    <t>Aquaman (Atlantean)</t>
  </si>
  <si>
    <t>Basic Chest/Normal 5-6</t>
  </si>
  <si>
    <t>Basic Chest/Heroic 4-12</t>
  </si>
  <si>
    <t>Basic Chest/Heroic 4-24</t>
  </si>
  <si>
    <t>Basic Chest/Normal 5-18</t>
  </si>
  <si>
    <t>Basic Chest/Heroic 5-24</t>
  </si>
  <si>
    <t>Arena/League</t>
  </si>
  <si>
    <t>League</t>
  </si>
  <si>
    <t>Basic Chests/Operations/Normal 6-12</t>
  </si>
  <si>
    <t>Basic Chests/Operations/Heroic 6-24</t>
  </si>
  <si>
    <t>Basic Chests/Operations/Heroic 7-12</t>
  </si>
  <si>
    <t>Basic Chests/Operations/Normal 5-18</t>
  </si>
  <si>
    <t>Basic Chests/Operations/Normal 8-6</t>
  </si>
  <si>
    <t>Basic Chests/Operations/Heroic 8-24</t>
  </si>
  <si>
    <t>Basic Chests/Operations/Heroic 6-18</t>
  </si>
  <si>
    <t>Basic Chests/Operations/Heroic 5-6</t>
  </si>
  <si>
    <t>Basic Chests/Operations/Normal 7-24</t>
  </si>
  <si>
    <t>Basic Chests/Operations/Normal 7-6</t>
  </si>
  <si>
    <t>Basic Chests/Operations/Normal 3-24/Heroic 4-12</t>
  </si>
  <si>
    <t>Basic Chests/Operations/Heroic 2-6</t>
  </si>
  <si>
    <t>Basic Chests/Operations/Heroic 1-6</t>
  </si>
  <si>
    <t>Basic Chests/Operations/Normal 1-24/Heroic 1-18</t>
  </si>
  <si>
    <t>Basic Chests/Operations/Normal 3-6/Heroic 3-12</t>
  </si>
  <si>
    <t>Achievements</t>
  </si>
  <si>
    <t>Heroic 7-6</t>
  </si>
  <si>
    <t>Heroic 6-18</t>
  </si>
  <si>
    <t>Normal 4-24</t>
  </si>
  <si>
    <t>Heroic 5-12</t>
  </si>
  <si>
    <t>Normal 6-18</t>
  </si>
  <si>
    <t>Basic Chests/Operations/Normal 8-12</t>
  </si>
  <si>
    <t>Basic Chests/Operations/Normal 6-6</t>
  </si>
  <si>
    <t>Basic Chests/Operations/Normal 7-18</t>
  </si>
  <si>
    <t>Basic Chests/Operations/Heroic 8-6</t>
  </si>
  <si>
    <t>Basic Chests/Operations/Heroic 7-6</t>
  </si>
  <si>
    <t>Challenge Mode</t>
  </si>
  <si>
    <t>League/Chest</t>
  </si>
  <si>
    <t>Basic Chests/Operations/Heroic 3-24</t>
  </si>
  <si>
    <t>Basic Chests/Operations/Normal 2-12/Heroic 2-18</t>
  </si>
  <si>
    <t>Basic Chests/Operations/Heroic 1-18</t>
  </si>
  <si>
    <t>Basic Chests/Operations/Normal 2-24/Heroic 4-24</t>
  </si>
  <si>
    <t>Basic Chests/Operations/Normal 3-12/Heroic 5-18</t>
  </si>
  <si>
    <t>Operations/Normal 4-24</t>
  </si>
  <si>
    <t>Operations/Normal 5-12</t>
  </si>
  <si>
    <t>Operations/Heroic 6-24</t>
  </si>
  <si>
    <t>Operations/Heroic 3-12</t>
  </si>
  <si>
    <t>Operations/Heroic 4-12</t>
  </si>
  <si>
    <t>Basic Chests/Operations/Heroic 2-24</t>
  </si>
  <si>
    <t>Basic Chests/Operations/Normal 4-12/Heroic 7-12</t>
  </si>
  <si>
    <t>Basic Chests/Operations/Heroic 5-18</t>
  </si>
  <si>
    <t>Basic Chests/Operations/Normal 3-24/Heroic 4-18</t>
  </si>
  <si>
    <t>Basic Chests/Operations/Normal 5-6/Heroic 8-6</t>
  </si>
  <si>
    <t>Basic Chests/Operations/Heroic 6-6</t>
  </si>
  <si>
    <t>Basic Chests/Operations/Normal 4-6</t>
  </si>
  <si>
    <t>Basic Chests/Operations/Heroic 3-18</t>
  </si>
  <si>
    <t>Basic Chests/Operations/Heroic 2-18</t>
  </si>
  <si>
    <t>Basic Chests/Operations/Normal 4-24</t>
  </si>
  <si>
    <t>Basic Chests/Operations/Heroic 1-12</t>
  </si>
  <si>
    <t>Basic Chests/Operations/Normal 3-6/Heroic 5-6</t>
  </si>
  <si>
    <t>Basic Chests/Operations/Heroic 1-24</t>
  </si>
  <si>
    <t>Basic Chests/Operations/Normal 2-6/Heroic 2-24</t>
  </si>
  <si>
    <t>Basic Chests/Operations/Normal 3-18/Heroic 6-12</t>
  </si>
  <si>
    <t>Basic Chests/Heroic 8-18</t>
  </si>
  <si>
    <t>Basic Chests/Normal 7-12</t>
  </si>
  <si>
    <t>Basic Chests/Heroic 7-18</t>
  </si>
  <si>
    <t>Basic Chests/Heroic 8-6</t>
  </si>
  <si>
    <t>Basic Chests/Normal 8-12</t>
  </si>
  <si>
    <t>Basic Chests/Operations/Normal 6-18</t>
  </si>
  <si>
    <t>Challenge Mode/League</t>
  </si>
  <si>
    <t>Achievements/League</t>
  </si>
  <si>
    <t>Basic Chests/Operations/Normal 4-12/Heroic 7-24</t>
  </si>
  <si>
    <t>Basic Chests/Operations/Normal 1-24/Heroic 1-12</t>
  </si>
  <si>
    <t>Basic Chests/Operations/Heroic 2-12</t>
  </si>
  <si>
    <t>Basic Chests/Operations/Heroic 3-6</t>
  </si>
  <si>
    <t>Basic Chests/Operations/Normal 2-18/Heroic 5-24</t>
  </si>
  <si>
    <t>Basic Chests/Operations/Normal 8-18</t>
  </si>
  <si>
    <t>Basic Chests/Operations/Heroic 7-18</t>
  </si>
  <si>
    <t>Basic Chests/Operations/Normal 6-24</t>
  </si>
  <si>
    <t>Basic Chests/Operations/Heroic 6-12</t>
  </si>
  <si>
    <t>Basic Chests/Operations/Heroic 5-12</t>
  </si>
  <si>
    <t>Basic Chests/Operations/Normal 4-18/Heroic 7-6</t>
  </si>
  <si>
    <t>Basic Chests/Operations/Normal 5-24/Heroic 8-6</t>
  </si>
  <si>
    <t>Basic Chests/Operations/Heroic 6-18/Heroic 8-18</t>
  </si>
  <si>
    <t>Basic Chests/Operations/Heroic 4-24</t>
  </si>
  <si>
    <t>Basic Chests/Operations/Normal 5-12</t>
  </si>
  <si>
    <t>Basic Chests/Operations/Normal 5-24</t>
  </si>
  <si>
    <t>Heroic 7-24</t>
  </si>
  <si>
    <t>Basic Chests/Operations/Normal 1-18/Heroic 3-18</t>
  </si>
  <si>
    <t>Basic Chests/Operations/Normal 2-18/Heroic 4-6</t>
  </si>
  <si>
    <t>Basic Chests/Operations/Normal 1-6/Heroic 1-24</t>
  </si>
  <si>
    <t>Store Hero Pack/Achievements</t>
  </si>
  <si>
    <t>Basic Chests/Heroic 4-6</t>
  </si>
  <si>
    <t>Basic Chests/Heroic 3-12</t>
  </si>
  <si>
    <t>Basic Chests/Normal 3-24</t>
  </si>
  <si>
    <t>Basic Chests/Heroic 4-18</t>
  </si>
  <si>
    <t>Basic Chests/Normal 4-12</t>
  </si>
  <si>
    <t>Basic Chests/Heroic 6-12</t>
  </si>
  <si>
    <t>Basic Chests/Heroic 6-24</t>
  </si>
  <si>
    <t>Basic Chests/Normal 5-12</t>
  </si>
  <si>
    <t>Basic Chests/Heroic 5-24</t>
  </si>
  <si>
    <t>Basic Chests/Normal 6-6</t>
  </si>
  <si>
    <t>Basic Chests/Operations/Heroic 4-18</t>
  </si>
  <si>
    <t>Basic Chests/Operations/Normal 6-18/Heroic 8-12</t>
  </si>
  <si>
    <t>Basic Chests/Operations/Normal 5-18/Heroic 7-24</t>
  </si>
  <si>
    <t>Basic Chests/Operations/Normal 7-6/Heroic 8-24</t>
  </si>
  <si>
    <t>Basic Chests/Operations/Heroic 8-18</t>
  </si>
  <si>
    <t>Basic Chests/Operations/Normal 7-12</t>
  </si>
  <si>
    <t>Basic Chests/Operations/Normal 8-24</t>
  </si>
  <si>
    <t>Basic Chests/Operations/Heroic 7-24</t>
  </si>
  <si>
    <t>Basic Chests/Operations/Normal 2-12/Heroic 4-6</t>
  </si>
  <si>
    <t>Basic Chests/Operations/Normal 1-6/Heroic 1-12</t>
  </si>
  <si>
    <t>Basic Chests/Operations/Normal 1-18/Heroic 2-6</t>
  </si>
  <si>
    <t>Arena/Normal 5-6/League</t>
  </si>
  <si>
    <t>Arena/Heroic 5-18/League</t>
  </si>
  <si>
    <t>Arena/Normal 6-6/League</t>
  </si>
  <si>
    <t>Arena/Heroic 6-18/League</t>
  </si>
  <si>
    <t>Arena/Heroic 4-18/League</t>
  </si>
  <si>
    <t>Store Hero Pack/Challenge Mode</t>
  </si>
  <si>
    <t>Basic Chests/Operations/Normal 3-18/Heroic 3-12</t>
  </si>
  <si>
    <t>Basic Chests/Operations/Normal 2-6/Heroic 1-18</t>
  </si>
  <si>
    <t>Basic Chests/Operations/Heroic 4-6</t>
  </si>
  <si>
    <t>Basic Chests/Operations/Heroic 8-12</t>
  </si>
  <si>
    <t>Basic Chests/Operations/Normal 1-12/Heroic 1-6</t>
  </si>
  <si>
    <t>Basic Chests/Operations/Normal 4-6/Heroic 5-24</t>
  </si>
  <si>
    <t>Basic Chests/Operations/Normal 4-18/Heroic 8-12</t>
  </si>
  <si>
    <t>Basic Chests/Operations/Heroic 5-24</t>
  </si>
  <si>
    <t>Basic Chests/Operations/Normal 1-12/Heroic 1-24</t>
  </si>
  <si>
    <t>Basic Chests/Operations/Heroic 4-12</t>
  </si>
  <si>
    <t>Basic Chests/Operations/Normal 3-12/Heroic 1-6</t>
  </si>
  <si>
    <t>Basic Chests/Operations/Normal 2-24/Heroic 3-24</t>
  </si>
  <si>
    <t>Store Hero Pack/Achievements/League</t>
  </si>
  <si>
    <t>Operations estimates to Target Level</t>
  </si>
  <si>
    <t>Operations Level</t>
  </si>
  <si>
    <t>HHQ XP Bonus</t>
  </si>
  <si>
    <t>XP into Level</t>
  </si>
  <si>
    <t>Mission</t>
  </si>
  <si>
    <t>Time</t>
  </si>
  <si>
    <t>Minutes</t>
  </si>
  <si>
    <t># Needed to Target Level</t>
  </si>
  <si>
    <t>Mins to Target Level</t>
  </si>
  <si>
    <t>Hours to Target Level</t>
  </si>
  <si>
    <t>Days to Target Level</t>
  </si>
  <si>
    <t>Patrol: Metropolis</t>
  </si>
  <si>
    <t>Direct Action: Arkham Asylum</t>
  </si>
  <si>
    <t>Strategic Recon: Gorilla City</t>
  </si>
  <si>
    <t>Internal Defense: Atlantis</t>
  </si>
  <si>
    <t>Search and Rescue: Kahndaq</t>
  </si>
  <si>
    <t>Investigation: Fortress of Solitude</t>
  </si>
  <si>
    <t>Retrieval: Red Sun Prison</t>
  </si>
  <si>
    <t>Search and Destroy: Argo Labs</t>
  </si>
  <si>
    <t>Operations estimates to Level 70</t>
  </si>
  <si>
    <t>Current Operations Bonuses</t>
  </si>
  <si>
    <t>Operations Leveling</t>
  </si>
  <si>
    <t>Upgrade</t>
  </si>
  <si>
    <t># Needed to 70</t>
  </si>
  <si>
    <t>Mins to 70</t>
  </si>
  <si>
    <t>Hours to 70</t>
  </si>
  <si>
    <t>Days to 70</t>
  </si>
  <si>
    <t>Level 20 Operations Bonuses</t>
  </si>
  <si>
    <t>By entering in a Hero Level from 1 to 70 You will be able to see how many Operations you will need to reach Level 70. By adding Hero XP Bonus and XP into Level you will be able to adjust the XP Remaining to get a closer estimate to Level 70. I have included two charts for calculating the amount of missions and days to Level 70.</t>
  </si>
  <si>
    <t>Arena XP Table</t>
  </si>
  <si>
    <t>Arena estimates</t>
  </si>
  <si>
    <t>Opponent Threat Range</t>
  </si>
  <si>
    <t>Arena Battle Rating Calculator</t>
  </si>
  <si>
    <t>XP Remaining to lvl 70</t>
  </si>
  <si>
    <t>Opponent Threat</t>
  </si>
  <si>
    <t>Opponent Threat Higher</t>
  </si>
  <si>
    <t>BR earned</t>
  </si>
  <si>
    <t>Minimum</t>
  </si>
  <si>
    <t>Maximum</t>
  </si>
  <si>
    <t># of battles needed to reach target level (Current level + 1 to 69)</t>
  </si>
  <si>
    <t># of battles needed to reach level 70</t>
  </si>
  <si>
    <t>Opponent threat projection based on Arena BR</t>
  </si>
  <si>
    <t>Avg BR/match</t>
  </si>
  <si>
    <t>Minimum opponent threat needed</t>
  </si>
  <si>
    <t>Daily Resource Refresh Gem Cost: 1st 20, 2nd 20, 3rd 20.</t>
  </si>
  <si>
    <t>Monday Might Class XP Mission</t>
  </si>
  <si>
    <t>Tuesday Agility Class XP Mission</t>
  </si>
  <si>
    <t>Wednesday Tech Class XP Mission</t>
  </si>
  <si>
    <t>Thursday Meta Class XP Mission</t>
  </si>
  <si>
    <t>Friday Arcane Class XP Mission</t>
  </si>
  <si>
    <t>Rewards</t>
  </si>
  <si>
    <t>Energy Cost</t>
  </si>
  <si>
    <t>Class Value</t>
  </si>
  <si>
    <t>XP Capsule Level 1</t>
  </si>
  <si>
    <t>XP Capsule Level 2</t>
  </si>
  <si>
    <t>XP Capsule Level 3</t>
  </si>
  <si>
    <t>XP Capsule Level 4</t>
  </si>
  <si>
    <t>XP Capsule Level 5</t>
  </si>
  <si>
    <t>XP Capsule Level 6</t>
  </si>
  <si>
    <t>Total XP</t>
  </si>
  <si>
    <t>Total XP/Cycle</t>
  </si>
  <si>
    <t>Total XP/Daily</t>
  </si>
  <si>
    <t>Saturday Random Class XP Mission</t>
  </si>
  <si>
    <t>Basic Value</t>
  </si>
  <si>
    <t>Sunday Credits Mission</t>
  </si>
  <si>
    <t>Recurring Event Times</t>
  </si>
  <si>
    <t>Your timezone (difference against GMT/UTC)</t>
  </si>
  <si>
    <t>Hours</t>
  </si>
  <si>
    <t>Daylight Savings (if applicable in US)</t>
  </si>
  <si>
    <t>Daylight Savings (if applicable in your timezone)</t>
  </si>
  <si>
    <t>Daily Login, Objectives &amp; Heroic Campaign Pips Reset</t>
  </si>
  <si>
    <t>12:00 AM (local time)</t>
  </si>
  <si>
    <t>GMT ref (w/o US DST)</t>
  </si>
  <si>
    <t>GMT ref (w/ US DST)</t>
  </si>
  <si>
    <t>Local time (w/o GMT DST ref)</t>
  </si>
  <si>
    <t>Local time (w/ GMT DST ref)</t>
  </si>
  <si>
    <t>Challenge Pips / Versus Challenge Pips / League Missions / Daily Arena Rewards / Daily Arena First Win Bonus Reset</t>
  </si>
  <si>
    <t>Arena Pips Daily Reset</t>
  </si>
  <si>
    <t>Champions Arena Daily Pips Reset</t>
  </si>
  <si>
    <t>Champions Arena Season</t>
  </si>
  <si>
    <t>Start / Season Pips Reset</t>
  </si>
  <si>
    <t>End</t>
  </si>
  <si>
    <t>Weekday Arena Season</t>
  </si>
  <si>
    <t>Weekend Arena Season</t>
  </si>
  <si>
    <t>Weekend Challenge</t>
  </si>
  <si>
    <t>Start</t>
  </si>
  <si>
    <t>Weekday Challenge</t>
  </si>
  <si>
    <t>Versus Challenge</t>
  </si>
  <si>
    <t>Start / End</t>
  </si>
  <si>
    <t>League Mission Schedule</t>
  </si>
  <si>
    <t>Day Of Week</t>
  </si>
  <si>
    <t>League Mission</t>
  </si>
  <si>
    <t>Day Of Week (w/o DST ref)</t>
  </si>
  <si>
    <t>Day Of Week (w/ DST ref)</t>
  </si>
  <si>
    <t>Gear upgrade</t>
  </si>
  <si>
    <t>Agility hero battles</t>
  </si>
  <si>
    <t>Arcane hero battles</t>
  </si>
  <si>
    <t>Metahuman hero battles</t>
  </si>
  <si>
    <t>Might hero battles</t>
  </si>
  <si>
    <t>Tech hero battles</t>
  </si>
  <si>
    <t>Daily League Missions</t>
  </si>
  <si>
    <t>Upgraded Arsenal - Use Gear Material to upgrade any piece of gear</t>
  </si>
  <si>
    <t>League Medals</t>
  </si>
  <si>
    <t>Lessons Learned - Earn XP for any hero</t>
  </si>
  <si>
    <t>XP Earned</t>
  </si>
  <si>
    <t>Evolution - Any Mode: Complete battles using any Metahuman Hero</t>
  </si>
  <si>
    <t>Test Your Might - Any Mode: Complete battles using any Might Hero</t>
  </si>
  <si>
    <t>Technical Hurdle - Any Mode: Complete battles using any Tech Hero</t>
  </si>
  <si>
    <t>Mystic Arts - Any Mode: Complete battles using any Arcane Hero</t>
  </si>
  <si>
    <t>Off To The Races - Any Mode: Complete battles using any Agility Hero</t>
  </si>
  <si>
    <t>Battles Completed</t>
  </si>
  <si>
    <t>Name</t>
  </si>
  <si>
    <t>Base values of offense and defense parameters affecting threat</t>
  </si>
  <si>
    <t>Defense (%)</t>
  </si>
  <si>
    <t>Blocking (%)</t>
  </si>
  <si>
    <t>Stun Resist (%)</t>
  </si>
  <si>
    <t>DOT Resist (%)</t>
  </si>
  <si>
    <t>Crit Attack Resist (%)</t>
  </si>
  <si>
    <t>Critical Chance (%)</t>
  </si>
  <si>
    <t>Critical Damage (%)</t>
  </si>
  <si>
    <t>Fast Attack Chance (%)</t>
  </si>
  <si>
    <t>Lethal Attack Chance (%)</t>
  </si>
  <si>
    <t>Armor Pierce Chance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</si>
</sst>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
    <numFmt numFmtId="165" formatCode="0.000%"/>
    <numFmt numFmtId="166" formatCode="0.0"/>
    <numFmt numFmtId="167" formatCode="#,##0.0"/>
    <numFmt numFmtId="168" formatCode="#,##0.00000"/>
    <numFmt numFmtId="169" formatCode="m-d"/>
    <numFmt numFmtId="170" formatCode="h:mm am/pm"/>
    <numFmt numFmtId="171" formatCode="h&quot;:&quot;mm&quot; &quot;am/pm"/>
    <numFmt numFmtId="172" formatCode="h&quot;:&quot;mm"/>
  </numFmts>
  <fonts count="24">
    <font>
      <sz val="10.0"/>
      <color rgb="FF000000"/>
      <name val="Arial"/>
    </font>
    <font/>
    <font>
      <color rgb="FF333333"/>
      <name val="Arial"/>
    </font>
    <font>
      <name val="Arial"/>
    </font>
    <font>
      <sz val="11.0"/>
      <color rgb="FF000000"/>
      <name val="Inconsolata"/>
    </font>
    <font>
      <sz val="10.0"/>
      <color rgb="FF000000"/>
      <name val="Inconsolata"/>
    </font>
    <font>
      <b/>
    </font>
    <font>
      <sz val="10.0"/>
    </font>
    <font>
      <b/>
      <sz val="12.0"/>
    </font>
    <font>
      <b/>
      <sz val="10.0"/>
      <color rgb="FF333333"/>
      <name val="Inherit"/>
    </font>
    <font>
      <b/>
      <sz val="10.0"/>
    </font>
    <font>
      <b/>
      <color rgb="FF333333"/>
      <name val="Arial"/>
    </font>
    <font>
      <b/>
      <name val="Arial"/>
    </font>
    <font>
      <b/>
      <sz val="10.0"/>
      <name val="Arial"/>
    </font>
    <font>
      <b/>
      <color rgb="FF000000"/>
      <name val="Arial"/>
    </font>
    <font>
      <u/>
      <color rgb="FF0000FF"/>
    </font>
    <font>
      <b/>
      <sz val="11.0"/>
    </font>
    <font>
      <b/>
      <sz val="10.0"/>
      <color rgb="FF000000"/>
      <name val="Arial"/>
    </font>
    <font>
      <b/>
      <color rgb="FFFFFFFF"/>
    </font>
    <font>
      <b/>
      <sz val="10.0"/>
      <color rgb="FFFFFFFF"/>
    </font>
    <font>
      <sz val="10.0"/>
      <color rgb="FF333333"/>
      <name val="Inherit"/>
    </font>
    <font>
      <b/>
      <color rgb="FF000000"/>
    </font>
    <font>
      <b/>
      <sz val="11.0"/>
      <name val="Arial"/>
    </font>
    <font>
      <b/>
      <color rgb="FFFFFFFF"/>
      <name val="Arial"/>
    </font>
  </fonts>
  <fills count="16">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rgb="FFFFFF00"/>
        <bgColor rgb="FFFFFF00"/>
      </patternFill>
    </fill>
    <fill>
      <patternFill patternType="solid">
        <fgColor rgb="FFD9EAD3"/>
        <bgColor rgb="FFD9EAD3"/>
      </patternFill>
    </fill>
    <fill>
      <patternFill patternType="solid">
        <fgColor rgb="FFB6D7A8"/>
        <bgColor rgb="FFB6D7A8"/>
      </patternFill>
    </fill>
    <fill>
      <patternFill patternType="solid">
        <fgColor rgb="FFBDBDBD"/>
        <bgColor rgb="FFBDBDBD"/>
      </patternFill>
    </fill>
    <fill>
      <patternFill patternType="solid">
        <fgColor rgb="FFFFD700"/>
        <bgColor rgb="FFFFD700"/>
      </patternFill>
    </fill>
    <fill>
      <patternFill patternType="solid">
        <fgColor rgb="FF9900FF"/>
        <bgColor rgb="FF9900FF"/>
      </patternFill>
    </fill>
    <fill>
      <patternFill patternType="solid">
        <fgColor rgb="FFBF9000"/>
        <bgColor rgb="FFBF9000"/>
      </patternFill>
    </fill>
    <fill>
      <patternFill patternType="solid">
        <fgColor rgb="FFFFD966"/>
        <bgColor rgb="FFFFD966"/>
      </patternFill>
    </fill>
    <fill>
      <patternFill patternType="solid">
        <fgColor rgb="FF00FF00"/>
        <bgColor rgb="FF00FF00"/>
      </patternFill>
    </fill>
    <fill>
      <patternFill patternType="solid">
        <fgColor rgb="FFCFE2F3"/>
        <bgColor rgb="FFCFE2F3"/>
      </patternFill>
    </fill>
    <fill>
      <patternFill patternType="solid">
        <fgColor rgb="FFC0C0C0"/>
        <bgColor rgb="FFC0C0C0"/>
      </patternFill>
    </fill>
  </fills>
  <borders count="1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top style="thin">
        <color rgb="FF000000"/>
      </top>
    </border>
    <border>
      <left style="thin">
        <color rgb="FF000000"/>
      </left>
    </border>
    <border>
      <left style="medium">
        <color rgb="FF000000"/>
      </left>
      <right style="thin">
        <color rgb="FF000000"/>
      </right>
      <top style="medium">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right style="thin">
        <color rgb="FF000000"/>
      </right>
    </border>
    <border>
      <left style="thin">
        <color rgb="FF000000"/>
      </left>
      <right style="medium">
        <color rgb="FF000000"/>
      </right>
    </border>
    <border>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medium">
        <color rgb="FF000000"/>
      </right>
      <bottom style="thin">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top style="thin">
        <color rgb="FF000000"/>
      </top>
      <bottom style="thin">
        <color rgb="FF000000"/>
      </bottom>
    </border>
    <border>
      <left style="medium">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bottom style="medium">
        <color rgb="FF000000"/>
      </bottom>
    </border>
    <border>
      <right style="medium">
        <color rgb="FF000000"/>
      </right>
      <bottom style="medium">
        <color rgb="FF000000"/>
      </bottom>
    </border>
    <border>
      <left style="medium">
        <color rgb="FF000000"/>
      </left>
      <bottom style="medium">
        <color rgb="FF000000"/>
      </bottom>
    </border>
    <border>
      <bottom style="medium">
        <color rgb="FF000000"/>
      </bottom>
    </border>
    <border>
      <left style="thin">
        <color rgb="FF000000"/>
      </left>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rder>
    <border>
      <left style="thin">
        <color rgb="FF000000"/>
      </left>
      <top style="thin">
        <color rgb="FF000000"/>
      </top>
    </border>
    <border>
      <right style="medium">
        <color rgb="FF000000"/>
      </right>
      <top style="thin">
        <color rgb="FF000000"/>
      </top>
    </border>
    <border>
      <left style="thin">
        <color rgb="FF000000"/>
      </left>
      <bottom style="medium">
        <color rgb="FF000000"/>
      </bottom>
    </border>
    <border>
      <left style="medium">
        <color rgb="FF000000"/>
      </left>
      <right style="medium">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border>
    <border>
      <left style="thin">
        <color rgb="FF000000"/>
      </left>
      <top style="medium">
        <color rgb="FF000000"/>
      </top>
      <bottom style="thin">
        <color rgb="FF000000"/>
      </bottom>
    </border>
    <border>
      <top style="medium">
        <color rgb="FF000000"/>
      </top>
      <bottom style="thin">
        <color rgb="FF000000"/>
      </bottom>
    </border>
    <border>
      <bottom style="thin">
        <color rgb="FF000000"/>
      </bottom>
    </border>
    <border>
      <left style="thin">
        <color rgb="FF000000"/>
      </left>
      <top style="medium">
        <color rgb="FF000000"/>
      </top>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medium">
        <color rgb="FF000000"/>
      </left>
      <bottom style="thin">
        <color rgb="FF000000"/>
      </bottom>
    </border>
    <border>
      <left style="thin">
        <color rgb="FF000000"/>
      </left>
      <top style="medium">
        <color rgb="FF000000"/>
      </top>
      <bottom style="medium">
        <color rgb="FF000000"/>
      </bottom>
    </border>
    <border>
      <top style="thin">
        <color rgb="FF000000"/>
      </top>
      <bottom style="medium">
        <color rgb="FF000000"/>
      </bottom>
    </border>
    <border>
      <left style="thick">
        <color rgb="FF000000"/>
      </left>
      <top style="thick">
        <color rgb="FF000000"/>
      </top>
    </border>
    <border>
      <top style="thick">
        <color rgb="FF000000"/>
      </top>
    </border>
    <border>
      <right style="thick">
        <color rgb="FF000000"/>
      </right>
      <top style="thick">
        <color rgb="FF000000"/>
      </top>
    </border>
    <border>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bottom style="thin">
        <color rgb="FF000000"/>
      </bottom>
    </border>
    <border>
      <left style="thin">
        <color rgb="FF000000"/>
      </left>
      <right style="thick">
        <color rgb="FF000000"/>
      </right>
      <top style="thin">
        <color rgb="FF000000"/>
      </top>
      <bottom style="thin">
        <color rgb="FF000000"/>
      </bottom>
    </border>
    <border>
      <left style="thick">
        <color rgb="FF000000"/>
      </left>
    </border>
    <border>
      <right style="thick">
        <color rgb="FF000000"/>
      </right>
      <top style="thin">
        <color rgb="FF000000"/>
      </top>
    </border>
    <border>
      <left style="thick">
        <color rgb="FF000000"/>
      </left>
      <top style="thin">
        <color rgb="FF000000"/>
      </top>
    </border>
    <border>
      <left style="thick">
        <color rgb="FF000000"/>
      </left>
      <top style="thick">
        <color rgb="FF000000"/>
      </top>
      <bottom style="thin">
        <color rgb="FF000000"/>
      </bottom>
    </border>
    <border>
      <top style="thick">
        <color rgb="FF000000"/>
      </top>
      <bottom style="thin">
        <color rgb="FF000000"/>
      </bottom>
    </border>
    <border>
      <left style="thin">
        <color rgb="FF000000"/>
      </left>
      <top style="thick">
        <color rgb="FF000000"/>
      </top>
      <bottom style="thin">
        <color rgb="FF000000"/>
      </bottom>
    </border>
    <border>
      <right style="thick">
        <color rgb="FF000000"/>
      </right>
      <top style="thick">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rder>
    <border>
      <left style="thick">
        <color rgb="FF000000"/>
      </left>
      <right style="thin">
        <color rgb="FF000000"/>
      </right>
    </border>
    <border>
      <left style="thick">
        <color rgb="FF000000"/>
      </left>
      <right style="thin">
        <color rgb="FF000000"/>
      </right>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top style="thin">
        <color rgb="FF000000"/>
      </top>
      <bottom style="thick">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s>
  <cellStyleXfs count="1">
    <xf borderId="0" fillId="0" fontId="0" numFmtId="0" applyAlignment="1" applyFont="1"/>
  </cellStyleXfs>
  <cellXfs count="895">
    <xf borderId="0" fillId="0" fontId="0" numFmtId="0" xfId="0" applyAlignment="1" applyFont="1">
      <alignment readingOrder="0" shrinkToFit="0" vertical="bottom" wrapText="0"/>
    </xf>
    <xf borderId="1" fillId="0" fontId="1" numFmtId="0" xfId="0" applyAlignment="1" applyBorder="1" applyFont="1">
      <alignment horizontal="center" readingOrder="0"/>
    </xf>
    <xf borderId="0" fillId="0" fontId="1" numFmtId="0" xfId="0" applyAlignment="1" applyFont="1">
      <alignment horizontal="center"/>
    </xf>
    <xf borderId="1" fillId="2" fontId="1" numFmtId="3" xfId="0" applyAlignment="1" applyBorder="1" applyFill="1" applyFont="1" applyNumberFormat="1">
      <alignment horizontal="center" readingOrder="0"/>
    </xf>
    <xf borderId="1" fillId="0" fontId="1" numFmtId="10" xfId="0" applyAlignment="1" applyBorder="1" applyFont="1" applyNumberFormat="1">
      <alignment horizontal="center" readingOrder="0"/>
    </xf>
    <xf borderId="1" fillId="0" fontId="1" numFmtId="3" xfId="0" applyAlignment="1" applyBorder="1" applyFont="1" applyNumberFormat="1">
      <alignment horizontal="center"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Border="1" applyFont="1"/>
    <xf borderId="4" fillId="0" fontId="1" numFmtId="0" xfId="0" applyBorder="1" applyFont="1"/>
    <xf borderId="0" fillId="0" fontId="1" numFmtId="0" xfId="0" applyAlignment="1" applyFont="1">
      <alignment readingOrder="0"/>
    </xf>
    <xf borderId="0" fillId="0" fontId="1" numFmtId="3" xfId="0" applyAlignment="1" applyFont="1" applyNumberFormat="1">
      <alignment horizontal="center" readingOrder="0"/>
    </xf>
    <xf borderId="1" fillId="0" fontId="1" numFmtId="164" xfId="0" applyAlignment="1" applyBorder="1" applyFont="1" applyNumberFormat="1">
      <alignment horizontal="center" readingOrder="0"/>
    </xf>
    <xf borderId="0" fillId="0" fontId="1" numFmtId="0" xfId="0" applyAlignment="1" applyFont="1">
      <alignment horizontal="center" readingOrder="0" shrinkToFit="0" wrapText="1"/>
    </xf>
    <xf borderId="1" fillId="0" fontId="1" numFmtId="3" xfId="0" applyAlignment="1" applyBorder="1" applyFont="1" applyNumberFormat="1">
      <alignment horizontal="center"/>
    </xf>
    <xf borderId="1" fillId="0" fontId="1" numFmtId="165" xfId="0" applyAlignment="1" applyBorder="1" applyFont="1" applyNumberFormat="1">
      <alignment horizontal="center" readingOrder="0"/>
    </xf>
    <xf borderId="1" fillId="0" fontId="1" numFmtId="165" xfId="0" applyAlignment="1" applyBorder="1" applyFont="1" applyNumberFormat="1">
      <alignment horizontal="center"/>
    </xf>
    <xf borderId="2" fillId="0" fontId="1" numFmtId="3" xfId="0" applyAlignment="1" applyBorder="1" applyFont="1" applyNumberFormat="1">
      <alignment horizontal="center" readingOrder="0"/>
    </xf>
    <xf borderId="1" fillId="2" fontId="2" numFmtId="0" xfId="0" applyAlignment="1" applyBorder="1" applyFont="1">
      <alignment horizontal="center" vertical="bottom"/>
    </xf>
    <xf borderId="4" fillId="0" fontId="3" numFmtId="3" xfId="0" applyAlignment="1" applyBorder="1" applyFont="1" applyNumberFormat="1">
      <alignment horizontal="center" vertical="bottom"/>
    </xf>
    <xf borderId="4" fillId="0" fontId="3" numFmtId="3" xfId="0" applyAlignment="1" applyBorder="1" applyFont="1" applyNumberFormat="1">
      <alignment horizontal="center" readingOrder="0" vertical="bottom"/>
    </xf>
    <xf borderId="0" fillId="2" fontId="4" numFmtId="3" xfId="0" applyAlignment="1" applyFont="1" applyNumberFormat="1">
      <alignment horizontal="center"/>
    </xf>
    <xf borderId="0" fillId="2" fontId="5" numFmtId="3" xfId="0" applyAlignment="1" applyFont="1" applyNumberFormat="1">
      <alignment horizontal="center"/>
    </xf>
    <xf borderId="0" fillId="2" fontId="0" numFmtId="3" xfId="0" applyAlignment="1" applyFont="1" applyNumberFormat="1">
      <alignment horizontal="center" readingOrder="0"/>
    </xf>
    <xf borderId="1" fillId="2" fontId="1" numFmtId="0" xfId="0" applyAlignment="1" applyBorder="1" applyFont="1">
      <alignment horizontal="center" readingOrder="0"/>
    </xf>
    <xf borderId="1" fillId="0" fontId="1" numFmtId="49" xfId="0" applyAlignment="1" applyBorder="1" applyFont="1" applyNumberFormat="1">
      <alignment horizontal="center" readingOrder="0"/>
    </xf>
    <xf borderId="5" fillId="2" fontId="2" numFmtId="0" xfId="0" applyAlignment="1" applyBorder="1" applyFont="1">
      <alignment horizontal="center" vertical="bottom"/>
    </xf>
    <xf borderId="6" fillId="0" fontId="3" numFmtId="3" xfId="0" applyAlignment="1" applyBorder="1" applyFont="1" applyNumberFormat="1">
      <alignment horizontal="center" vertical="bottom"/>
    </xf>
    <xf borderId="6" fillId="0" fontId="3" numFmtId="3" xfId="0" applyAlignment="1" applyBorder="1" applyFont="1" applyNumberFormat="1">
      <alignment horizontal="center" readingOrder="0" vertical="bottom"/>
    </xf>
    <xf borderId="0" fillId="0" fontId="6" numFmtId="0" xfId="0" applyAlignment="1" applyFont="1">
      <alignment horizontal="center"/>
    </xf>
    <xf borderId="0" fillId="0" fontId="7" numFmtId="3" xfId="0" applyAlignment="1" applyFont="1" applyNumberFormat="1">
      <alignment horizontal="center"/>
    </xf>
    <xf borderId="5" fillId="0" fontId="3" numFmtId="0" xfId="0" applyAlignment="1" applyBorder="1" applyFont="1">
      <alignment horizontal="center" vertical="bottom"/>
    </xf>
    <xf borderId="0" fillId="0" fontId="7" numFmtId="3" xfId="0" applyAlignment="1" applyFont="1" applyNumberFormat="1">
      <alignment horizontal="center"/>
    </xf>
    <xf borderId="5" fillId="0" fontId="3" numFmtId="0" xfId="0" applyAlignment="1" applyBorder="1" applyFont="1">
      <alignment horizontal="center" readingOrder="0" vertical="bottom"/>
    </xf>
    <xf borderId="0" fillId="0" fontId="7" numFmtId="3" xfId="0" applyAlignment="1" applyFont="1" applyNumberFormat="1">
      <alignment horizontal="center" readingOrder="0"/>
    </xf>
    <xf borderId="0" fillId="0" fontId="1" numFmtId="3" xfId="0" applyAlignment="1" applyFont="1" applyNumberFormat="1">
      <alignment horizontal="center"/>
    </xf>
    <xf borderId="5" fillId="0" fontId="2" numFmtId="0" xfId="0" applyAlignment="1" applyBorder="1" applyFont="1">
      <alignment horizontal="center" vertical="bottom"/>
    </xf>
    <xf borderId="6" fillId="2" fontId="3" numFmtId="0" xfId="0" applyAlignment="1" applyBorder="1" applyFont="1">
      <alignment horizontal="center" readingOrder="0" vertical="bottom"/>
    </xf>
    <xf borderId="6" fillId="2" fontId="3" numFmtId="3" xfId="0" applyAlignment="1" applyBorder="1" applyFont="1" applyNumberFormat="1">
      <alignment horizontal="center" readingOrder="0" vertical="bottom"/>
    </xf>
    <xf borderId="6" fillId="2" fontId="3" numFmtId="0" xfId="0" applyAlignment="1" applyBorder="1" applyFont="1">
      <alignment horizontal="center" vertical="bottom"/>
    </xf>
    <xf borderId="6" fillId="2" fontId="3" numFmtId="3" xfId="0" applyAlignment="1" applyBorder="1" applyFont="1" applyNumberFormat="1">
      <alignment horizontal="center" vertical="bottom"/>
    </xf>
    <xf borderId="1" fillId="0" fontId="3" numFmtId="49" xfId="0" applyAlignment="1" applyBorder="1" applyFont="1" applyNumberFormat="1">
      <alignment horizontal="center" readingOrder="0" vertical="bottom"/>
    </xf>
    <xf borderId="5" fillId="0" fontId="1" numFmtId="0" xfId="0" applyAlignment="1" applyBorder="1" applyFont="1">
      <alignment horizontal="center" readingOrder="0"/>
    </xf>
    <xf borderId="6" fillId="0" fontId="1" numFmtId="0" xfId="0" applyAlignment="1" applyBorder="1" applyFont="1">
      <alignment horizontal="center" readingOrder="0"/>
    </xf>
    <xf borderId="7" fillId="0" fontId="1" numFmtId="3" xfId="0" applyAlignment="1" applyBorder="1" applyFont="1" applyNumberFormat="1">
      <alignment horizontal="center" readingOrder="0"/>
    </xf>
    <xf borderId="5" fillId="2" fontId="2" numFmtId="0" xfId="0" applyAlignment="1" applyBorder="1" applyFont="1">
      <alignment horizontal="center" readingOrder="0" vertical="bottom"/>
    </xf>
    <xf borderId="0" fillId="0" fontId="1" numFmtId="10" xfId="0" applyAlignment="1" applyFont="1" applyNumberFormat="1">
      <alignment horizontal="center" readingOrder="0"/>
    </xf>
    <xf borderId="5" fillId="0" fontId="1" numFmtId="3" xfId="0" applyAlignment="1" applyBorder="1" applyFont="1" applyNumberFormat="1">
      <alignment horizontal="center" readingOrder="0"/>
    </xf>
    <xf borderId="5" fillId="0" fontId="1" numFmtId="4" xfId="0" applyAlignment="1" applyBorder="1" applyFont="1" applyNumberFormat="1">
      <alignment horizontal="center" readingOrder="0"/>
    </xf>
    <xf borderId="1" fillId="0" fontId="1" numFmtId="4" xfId="0" applyAlignment="1" applyBorder="1" applyFont="1" applyNumberFormat="1">
      <alignment horizontal="center" readingOrder="0"/>
    </xf>
    <xf borderId="5" fillId="0" fontId="2" numFmtId="0" xfId="0" applyAlignment="1" applyBorder="1" applyFont="1">
      <alignment horizontal="center" readingOrder="0" vertical="bottom"/>
    </xf>
    <xf borderId="7" fillId="0" fontId="1" numFmtId="4" xfId="0" applyAlignment="1" applyBorder="1" applyFont="1" applyNumberFormat="1">
      <alignment horizontal="center" readingOrder="0"/>
    </xf>
    <xf borderId="1" fillId="0" fontId="2" numFmtId="0" xfId="0" applyAlignment="1" applyBorder="1" applyFont="1">
      <alignment horizontal="center" vertical="bottom"/>
    </xf>
    <xf borderId="4" fillId="2" fontId="3" numFmtId="3" xfId="0" applyAlignment="1" applyBorder="1" applyFont="1" applyNumberFormat="1">
      <alignment horizontal="center" vertical="bottom"/>
    </xf>
    <xf borderId="8" fillId="0" fontId="1" numFmtId="3" xfId="0" applyAlignment="1" applyBorder="1" applyFont="1" applyNumberFormat="1">
      <alignment horizontal="center" readingOrder="0"/>
    </xf>
    <xf borderId="6" fillId="0" fontId="3" numFmtId="0" xfId="0" applyAlignment="1" applyBorder="1" applyFont="1">
      <alignment horizontal="center" vertical="bottom"/>
    </xf>
    <xf borderId="6" fillId="0" fontId="3" numFmtId="0" xfId="0" applyAlignment="1" applyBorder="1" applyFont="1">
      <alignment horizontal="center" readingOrder="0" vertical="bottom"/>
    </xf>
    <xf borderId="9" fillId="0" fontId="3" numFmtId="3" xfId="0" applyAlignment="1" applyBorder="1" applyFont="1" applyNumberFormat="1">
      <alignment horizontal="center" vertical="bottom"/>
    </xf>
    <xf borderId="10" fillId="0" fontId="3" numFmtId="0" xfId="0" applyAlignment="1" applyBorder="1" applyFont="1">
      <alignment horizontal="center" vertical="bottom"/>
    </xf>
    <xf borderId="10" fillId="0" fontId="3" numFmtId="0" xfId="0" applyAlignment="1" applyBorder="1" applyFont="1">
      <alignment horizontal="center" readingOrder="0" vertical="bottom"/>
    </xf>
    <xf borderId="5" fillId="0" fontId="3" numFmtId="3" xfId="0" applyAlignment="1" applyBorder="1" applyFont="1" applyNumberFormat="1">
      <alignment horizontal="center" vertical="bottom"/>
    </xf>
    <xf borderId="6" fillId="0" fontId="3" numFmtId="0" xfId="0" applyAlignment="1" applyBorder="1" applyFont="1">
      <alignment horizontal="center" vertical="bottom"/>
    </xf>
    <xf borderId="1" fillId="2" fontId="1" numFmtId="3" xfId="0" applyAlignment="1" applyBorder="1" applyFont="1" applyNumberFormat="1">
      <alignment horizontal="center"/>
    </xf>
    <xf borderId="0" fillId="0" fontId="1" numFmtId="10" xfId="0" applyAlignment="1" applyFont="1" applyNumberFormat="1">
      <alignment horizontal="center"/>
    </xf>
    <xf borderId="11" fillId="0" fontId="1" numFmtId="3" xfId="0" applyAlignment="1" applyBorder="1" applyFont="1" applyNumberFormat="1">
      <alignment horizontal="center" readingOrder="0"/>
    </xf>
    <xf borderId="0" fillId="2" fontId="1" numFmtId="3" xfId="0" applyAlignment="1" applyFont="1" applyNumberFormat="1">
      <alignment horizontal="center"/>
    </xf>
    <xf borderId="6" fillId="0" fontId="1" numFmtId="3" xfId="0" applyAlignment="1" applyBorder="1" applyFont="1" applyNumberFormat="1">
      <alignment horizontal="center" readingOrder="0"/>
    </xf>
    <xf borderId="1" fillId="0" fontId="3" numFmtId="3" xfId="0" applyAlignment="1" applyBorder="1" applyFont="1" applyNumberFormat="1">
      <alignment horizontal="center" vertical="bottom"/>
    </xf>
    <xf borderId="1" fillId="0" fontId="3" numFmtId="0" xfId="0" applyAlignment="1" applyBorder="1" applyFont="1">
      <alignment horizontal="center" vertical="bottom"/>
    </xf>
    <xf borderId="1" fillId="0" fontId="3" numFmtId="0" xfId="0" applyAlignment="1" applyBorder="1" applyFont="1">
      <alignment horizontal="center" readingOrder="0" vertical="bottom"/>
    </xf>
    <xf borderId="1" fillId="0" fontId="3" numFmtId="3" xfId="0" applyAlignment="1" applyBorder="1" applyFont="1" applyNumberFormat="1">
      <alignment horizontal="center" readingOrder="0" vertical="bottom"/>
    </xf>
    <xf borderId="1" fillId="0" fontId="3" numFmtId="0" xfId="0" applyAlignment="1" applyBorder="1" applyFont="1">
      <alignment horizontal="center" vertical="bottom"/>
    </xf>
    <xf borderId="1" fillId="0" fontId="2" numFmtId="0" xfId="0" applyAlignment="1" applyBorder="1" applyFont="1">
      <alignment horizontal="center" vertical="bottom"/>
    </xf>
    <xf borderId="0" fillId="0" fontId="1" numFmtId="0" xfId="0" applyAlignment="1" applyFont="1">
      <alignment horizontal="center" readingOrder="0" vertical="center"/>
    </xf>
    <xf borderId="0" fillId="2" fontId="1" numFmtId="0" xfId="0" applyFont="1"/>
    <xf borderId="0" fillId="0" fontId="1" numFmtId="0" xfId="0" applyAlignment="1" applyFont="1">
      <alignment horizontal="center" vertical="center"/>
    </xf>
    <xf borderId="0" fillId="0" fontId="1" numFmtId="49" xfId="0" applyAlignment="1" applyFont="1" applyNumberFormat="1">
      <alignment horizontal="center"/>
    </xf>
    <xf borderId="1" fillId="0" fontId="6" numFmtId="0" xfId="0" applyAlignment="1" applyBorder="1" applyFont="1">
      <alignment horizontal="center"/>
    </xf>
    <xf borderId="2" fillId="0" fontId="6" numFmtId="0" xfId="0" applyAlignment="1" applyBorder="1" applyFont="1">
      <alignment horizontal="center"/>
    </xf>
    <xf borderId="12" fillId="0" fontId="1" numFmtId="3" xfId="0" applyAlignment="1" applyBorder="1" applyFont="1" applyNumberFormat="1">
      <alignment horizontal="center" readingOrder="0"/>
    </xf>
    <xf borderId="2" fillId="0" fontId="6" numFmtId="49" xfId="0" applyAlignment="1" applyBorder="1" applyFont="1" applyNumberFormat="1">
      <alignment horizontal="center"/>
    </xf>
    <xf borderId="1" fillId="0" fontId="6" numFmtId="49" xfId="0" applyAlignment="1" applyBorder="1" applyFont="1" applyNumberFormat="1">
      <alignment horizontal="center"/>
    </xf>
    <xf borderId="0" fillId="3" fontId="6" numFmtId="0" xfId="0" applyAlignment="1" applyFill="1" applyFont="1">
      <alignment horizontal="center" readingOrder="0" vertical="center"/>
    </xf>
    <xf borderId="0" fillId="3" fontId="8" numFmtId="0" xfId="0" applyAlignment="1" applyFont="1">
      <alignment horizontal="center" readingOrder="0" shrinkToFit="0" vertical="center" wrapText="1"/>
    </xf>
    <xf borderId="0" fillId="0" fontId="6" numFmtId="0" xfId="0" applyAlignment="1" applyFont="1">
      <alignment horizontal="center" readingOrder="0" vertical="center"/>
    </xf>
    <xf borderId="0" fillId="0" fontId="6" numFmtId="3" xfId="0" applyAlignment="1" applyFont="1" applyNumberFormat="1">
      <alignment horizontal="center" readingOrder="0" vertical="center"/>
    </xf>
    <xf borderId="0" fillId="0" fontId="6" numFmtId="0" xfId="0" applyAlignment="1" applyFont="1">
      <alignment horizontal="center"/>
    </xf>
    <xf borderId="13" fillId="2" fontId="6" numFmtId="0" xfId="0" applyAlignment="1" applyBorder="1" applyFont="1">
      <alignment horizontal="center" readingOrder="0" vertical="center"/>
    </xf>
    <xf borderId="14" fillId="2" fontId="6" numFmtId="0" xfId="0" applyAlignment="1" applyBorder="1" applyFont="1">
      <alignment horizontal="center" readingOrder="0" shrinkToFit="0" vertical="center" wrapText="1"/>
    </xf>
    <xf borderId="15" fillId="2" fontId="6" numFmtId="0" xfId="0" applyAlignment="1" applyBorder="1" applyFont="1">
      <alignment horizontal="center" readingOrder="0" vertical="center"/>
    </xf>
    <xf borderId="15" fillId="2" fontId="6" numFmtId="0" xfId="0" applyAlignment="1" applyBorder="1" applyFont="1">
      <alignment horizontal="center" readingOrder="0" shrinkToFit="0" vertical="center" wrapText="1"/>
    </xf>
    <xf borderId="16" fillId="2" fontId="6" numFmtId="49" xfId="0" applyAlignment="1" applyBorder="1" applyFont="1" applyNumberFormat="1">
      <alignment horizontal="center" readingOrder="0" shrinkToFit="0" vertical="center" wrapText="1"/>
    </xf>
    <xf borderId="17" fillId="0" fontId="6" numFmtId="0" xfId="0" applyAlignment="1" applyBorder="1" applyFont="1">
      <alignment horizontal="center" readingOrder="0" vertical="center"/>
    </xf>
    <xf borderId="18" fillId="0" fontId="6" numFmtId="3" xfId="0" applyAlignment="1" applyBorder="1" applyFont="1" applyNumberFormat="1">
      <alignment horizontal="center" readingOrder="0" vertical="center"/>
    </xf>
    <xf borderId="19" fillId="4" fontId="9" numFmtId="0" xfId="0" applyAlignment="1" applyBorder="1" applyFill="1" applyFont="1">
      <alignment horizontal="center" readingOrder="0" vertical="center"/>
    </xf>
    <xf borderId="10" fillId="4" fontId="10" numFmtId="0" xfId="0" applyAlignment="1" applyBorder="1" applyFont="1">
      <alignment horizontal="center" readingOrder="0" vertical="center"/>
    </xf>
    <xf borderId="9" fillId="4" fontId="7" numFmtId="0" xfId="0" applyAlignment="1" applyBorder="1" applyFont="1">
      <alignment horizontal="center" readingOrder="0" vertical="center"/>
    </xf>
    <xf borderId="9" fillId="4" fontId="1" numFmtId="0" xfId="0" applyAlignment="1" applyBorder="1" applyFont="1">
      <alignment horizontal="center" readingOrder="0" shrinkToFit="0" vertical="center" wrapText="1"/>
    </xf>
    <xf borderId="9" fillId="4" fontId="7" numFmtId="0" xfId="0" applyAlignment="1" applyBorder="1" applyFont="1">
      <alignment horizontal="center" readingOrder="0" shrinkToFit="0" vertical="center" wrapText="1"/>
    </xf>
    <xf borderId="9" fillId="4" fontId="1" numFmtId="0" xfId="0" applyAlignment="1" applyBorder="1" applyFont="1">
      <alignment horizontal="center" readingOrder="0" vertical="center"/>
    </xf>
    <xf borderId="9" fillId="4" fontId="1" numFmtId="0" xfId="0" applyAlignment="1" applyBorder="1" applyFont="1">
      <alignment horizontal="center" readingOrder="0" vertical="center"/>
    </xf>
    <xf borderId="20" fillId="4" fontId="1" numFmtId="49" xfId="0" applyAlignment="1" applyBorder="1" applyFont="1" applyNumberFormat="1">
      <alignment horizontal="center" readingOrder="0" vertical="center"/>
    </xf>
    <xf borderId="21" fillId="0" fontId="6" numFmtId="0" xfId="0" applyAlignment="1" applyBorder="1" applyFont="1">
      <alignment horizontal="center" readingOrder="0" vertical="center"/>
    </xf>
    <xf borderId="21" fillId="0" fontId="1" numFmtId="0" xfId="0" applyBorder="1" applyFont="1"/>
    <xf borderId="22" fillId="2" fontId="6" numFmtId="0" xfId="0" applyAlignment="1" applyBorder="1" applyFont="1">
      <alignment horizontal="center" readingOrder="0" vertical="center"/>
    </xf>
    <xf borderId="4" fillId="2" fontId="6" numFmtId="0" xfId="0" applyAlignment="1" applyBorder="1" applyFont="1">
      <alignment horizontal="center" readingOrder="0" vertical="center"/>
    </xf>
    <xf borderId="1" fillId="2" fontId="1" numFmtId="0" xfId="0" applyAlignment="1" applyBorder="1" applyFont="1">
      <alignment horizontal="center" readingOrder="0" vertical="center"/>
    </xf>
    <xf borderId="1" fillId="2" fontId="1" numFmtId="0" xfId="0" applyAlignment="1" applyBorder="1" applyFont="1">
      <alignment horizontal="center" readingOrder="0" shrinkToFit="0" vertical="center" wrapText="1"/>
    </xf>
    <xf borderId="5" fillId="2" fontId="1" numFmtId="0" xfId="0" applyAlignment="1" applyBorder="1" applyFont="1">
      <alignment horizontal="center" readingOrder="0" vertical="center"/>
    </xf>
    <xf borderId="5" fillId="2" fontId="1" numFmtId="0" xfId="0" applyAlignment="1" applyBorder="1" applyFont="1">
      <alignment horizontal="center" readingOrder="0" vertical="center"/>
    </xf>
    <xf borderId="23" fillId="2" fontId="1" numFmtId="49" xfId="0" applyAlignment="1" applyBorder="1" applyFont="1" applyNumberFormat="1">
      <alignment horizontal="center" readingOrder="0" vertical="center"/>
    </xf>
    <xf borderId="10" fillId="0" fontId="6" numFmtId="0" xfId="0" applyAlignment="1" applyBorder="1" applyFont="1">
      <alignment horizontal="center" readingOrder="0" vertical="center"/>
    </xf>
    <xf borderId="20" fillId="0" fontId="6" numFmtId="3" xfId="0" applyAlignment="1" applyBorder="1" applyFont="1" applyNumberFormat="1">
      <alignment horizontal="center" readingOrder="0" vertical="center"/>
    </xf>
    <xf borderId="22" fillId="4" fontId="6" numFmtId="0" xfId="0" applyAlignment="1" applyBorder="1" applyFont="1">
      <alignment horizontal="center" readingOrder="0" vertical="center"/>
    </xf>
    <xf borderId="4" fillId="4" fontId="6" numFmtId="0" xfId="0" applyAlignment="1" applyBorder="1" applyFont="1">
      <alignment horizontal="center" readingOrder="0" vertical="center"/>
    </xf>
    <xf borderId="1" fillId="4" fontId="1" numFmtId="0" xfId="0" applyAlignment="1" applyBorder="1" applyFont="1">
      <alignment horizontal="center" readingOrder="0" vertical="center"/>
    </xf>
    <xf borderId="1" fillId="4" fontId="1" numFmtId="0" xfId="0" applyAlignment="1" applyBorder="1" applyFont="1">
      <alignment horizontal="center" readingOrder="0" shrinkToFit="0" vertical="center" wrapText="1"/>
    </xf>
    <xf borderId="5" fillId="4" fontId="1" numFmtId="0" xfId="0" applyAlignment="1" applyBorder="1" applyFont="1">
      <alignment horizontal="center" readingOrder="0" vertical="center"/>
    </xf>
    <xf borderId="5" fillId="4" fontId="1" numFmtId="0" xfId="0" applyAlignment="1" applyBorder="1" applyFont="1">
      <alignment horizontal="center" readingOrder="0" vertical="center"/>
    </xf>
    <xf borderId="23" fillId="4" fontId="1" numFmtId="49" xfId="0" applyAlignment="1" applyBorder="1" applyFont="1" applyNumberFormat="1">
      <alignment horizontal="center" readingOrder="0" vertical="center"/>
    </xf>
    <xf borderId="4" fillId="0" fontId="6" numFmtId="0" xfId="0" applyAlignment="1" applyBorder="1" applyFont="1">
      <alignment horizontal="center" readingOrder="0" vertical="center"/>
    </xf>
    <xf borderId="23" fillId="0" fontId="6" numFmtId="3" xfId="0" applyAlignment="1" applyBorder="1" applyFont="1" applyNumberFormat="1">
      <alignment horizontal="center" readingOrder="0" vertical="center"/>
    </xf>
    <xf borderId="24" fillId="0" fontId="6" numFmtId="0" xfId="0" applyAlignment="1" applyBorder="1" applyFont="1">
      <alignment horizontal="center" readingOrder="0" vertical="center"/>
    </xf>
    <xf borderId="25" fillId="0" fontId="6" numFmtId="3" xfId="0" applyAlignment="1" applyBorder="1" applyFont="1" applyNumberFormat="1">
      <alignment horizontal="center" vertical="center"/>
    </xf>
    <xf borderId="26" fillId="0" fontId="6" numFmtId="0" xfId="0" applyAlignment="1" applyBorder="1" applyFont="1">
      <alignment horizontal="center" readingOrder="0" vertical="center"/>
    </xf>
    <xf borderId="22" fillId="4" fontId="9" numFmtId="0" xfId="0" applyAlignment="1" applyBorder="1" applyFont="1">
      <alignment horizontal="center" readingOrder="0" vertical="center"/>
    </xf>
    <xf borderId="4" fillId="4" fontId="10" numFmtId="0" xfId="0" applyAlignment="1" applyBorder="1" applyFont="1">
      <alignment horizontal="center" readingOrder="0" vertical="center"/>
    </xf>
    <xf borderId="1" fillId="4" fontId="7" numFmtId="0" xfId="0" applyAlignment="1" applyBorder="1" applyFont="1">
      <alignment horizontal="center" readingOrder="0" vertical="center"/>
    </xf>
    <xf borderId="1" fillId="4" fontId="7" numFmtId="0" xfId="0" applyAlignment="1" applyBorder="1" applyFont="1">
      <alignment horizontal="center" readingOrder="0" shrinkToFit="0" vertical="center" wrapText="1"/>
    </xf>
    <xf borderId="1" fillId="4" fontId="1" numFmtId="0" xfId="0" applyAlignment="1" applyBorder="1" applyFont="1">
      <alignment horizontal="center" vertical="center"/>
    </xf>
    <xf borderId="22" fillId="2" fontId="9" numFmtId="0" xfId="0" applyAlignment="1" applyBorder="1" applyFont="1">
      <alignment horizontal="center" readingOrder="0" vertical="center"/>
    </xf>
    <xf borderId="4" fillId="2" fontId="10" numFmtId="0" xfId="0" applyAlignment="1" applyBorder="1" applyFont="1">
      <alignment horizontal="center" readingOrder="0" vertical="center"/>
    </xf>
    <xf borderId="1" fillId="2" fontId="7" numFmtId="0" xfId="0" applyAlignment="1" applyBorder="1" applyFont="1">
      <alignment horizontal="center" readingOrder="0" vertical="center"/>
    </xf>
    <xf borderId="1" fillId="2" fontId="7" numFmtId="0" xfId="0" applyAlignment="1" applyBorder="1" applyFont="1">
      <alignment horizontal="center" readingOrder="0" shrinkToFit="0" vertical="center" wrapText="1"/>
    </xf>
    <xf borderId="1" fillId="2" fontId="1" numFmtId="0" xfId="0" applyAlignment="1" applyBorder="1" applyFont="1">
      <alignment horizontal="center" vertical="center"/>
    </xf>
    <xf borderId="27" fillId="0" fontId="6" numFmtId="0" xfId="0" applyAlignment="1" applyBorder="1" applyFont="1">
      <alignment horizontal="center" readingOrder="0" vertical="center"/>
    </xf>
    <xf borderId="28" fillId="0" fontId="6" numFmtId="3" xfId="0" applyAlignment="1" applyBorder="1" applyFont="1" applyNumberFormat="1">
      <alignment horizontal="center" readingOrder="0" vertical="center"/>
    </xf>
    <xf borderId="14" fillId="0" fontId="6" numFmtId="0" xfId="0" applyAlignment="1" applyBorder="1" applyFont="1">
      <alignment horizontal="center" readingOrder="0" vertical="center"/>
    </xf>
    <xf borderId="16" fillId="0" fontId="6" numFmtId="0" xfId="0" applyAlignment="1" applyBorder="1" applyFont="1">
      <alignment horizontal="center" readingOrder="0" vertical="center"/>
    </xf>
    <xf borderId="22" fillId="4" fontId="11" numFmtId="0" xfId="0" applyAlignment="1" applyBorder="1" applyFont="1">
      <alignment horizontal="center" vertical="center"/>
    </xf>
    <xf borderId="4" fillId="4" fontId="12" numFmtId="0" xfId="0" applyAlignment="1" applyBorder="1" applyFont="1">
      <alignment horizontal="center" readingOrder="0" vertical="center"/>
    </xf>
    <xf borderId="1" fillId="4" fontId="3" numFmtId="0" xfId="0" applyAlignment="1" applyBorder="1" applyFont="1">
      <alignment horizontal="center" readingOrder="0" vertical="center"/>
    </xf>
    <xf borderId="1" fillId="4" fontId="3" numFmtId="0" xfId="0" applyAlignment="1" applyBorder="1" applyFont="1">
      <alignment horizontal="center" vertical="center"/>
    </xf>
    <xf borderId="1" fillId="4" fontId="3" numFmtId="0" xfId="0" applyAlignment="1" applyBorder="1" applyFont="1">
      <alignment horizontal="center" readingOrder="0" shrinkToFit="0" vertical="center" wrapText="1"/>
    </xf>
    <xf borderId="1" fillId="4" fontId="3" numFmtId="0" xfId="0" applyAlignment="1" applyBorder="1" applyFont="1">
      <alignment horizontal="center" shrinkToFit="0" vertical="center" wrapText="1"/>
    </xf>
    <xf borderId="5" fillId="4" fontId="3" numFmtId="0" xfId="0" applyAlignment="1" applyBorder="1" applyFont="1">
      <alignment horizontal="center" readingOrder="0" vertical="center"/>
    </xf>
    <xf borderId="23" fillId="4" fontId="3" numFmtId="49" xfId="0" applyAlignment="1" applyBorder="1" applyFont="1" applyNumberFormat="1">
      <alignment horizontal="center" readingOrder="0" vertical="center"/>
    </xf>
    <xf borderId="1" fillId="2" fontId="3" numFmtId="0" xfId="0" applyAlignment="1" applyBorder="1" applyFont="1">
      <alignment horizontal="center" vertical="center"/>
    </xf>
    <xf borderId="1" fillId="2" fontId="3" numFmtId="0" xfId="0" applyAlignment="1" applyBorder="1" applyFont="1">
      <alignment horizontal="center" readingOrder="0" vertical="center"/>
    </xf>
    <xf borderId="5" fillId="2" fontId="3" numFmtId="0" xfId="0" applyAlignment="1" applyBorder="1" applyFont="1">
      <alignment horizontal="center" readingOrder="0" vertical="center"/>
    </xf>
    <xf borderId="23" fillId="2" fontId="3" numFmtId="49" xfId="0" applyAlignment="1" applyBorder="1" applyFont="1" applyNumberFormat="1">
      <alignment horizontal="center" readingOrder="0" vertical="center"/>
    </xf>
    <xf borderId="25" fillId="0" fontId="6" numFmtId="3" xfId="0" applyAlignment="1" applyBorder="1" applyFont="1" applyNumberFormat="1">
      <alignment horizontal="center" readingOrder="0" vertical="center"/>
    </xf>
    <xf borderId="29" fillId="0" fontId="6" numFmtId="0" xfId="0" applyAlignment="1" applyBorder="1" applyFont="1">
      <alignment horizontal="center" readingOrder="0" vertical="center"/>
    </xf>
    <xf borderId="30" fillId="0" fontId="6" numFmtId="3" xfId="0" applyAlignment="1" applyBorder="1" applyFont="1" applyNumberFormat="1">
      <alignment horizontal="center" readingOrder="0" vertical="center"/>
    </xf>
    <xf borderId="6" fillId="0" fontId="6" numFmtId="0" xfId="0" applyAlignment="1" applyBorder="1" applyFont="1">
      <alignment horizontal="center" readingOrder="0" vertical="center"/>
    </xf>
    <xf borderId="31" fillId="0" fontId="6" numFmtId="3" xfId="0" applyAlignment="1" applyBorder="1" applyFont="1" applyNumberFormat="1">
      <alignment horizontal="center" readingOrder="0" vertical="center"/>
    </xf>
    <xf borderId="32" fillId="0" fontId="6" numFmtId="3" xfId="0" applyAlignment="1" applyBorder="1" applyFont="1" applyNumberFormat="1">
      <alignment horizontal="center" readingOrder="0" vertical="center"/>
    </xf>
    <xf borderId="0" fillId="0" fontId="1" numFmtId="3" xfId="0" applyAlignment="1" applyFont="1" applyNumberFormat="1">
      <alignment horizontal="center" vertical="center"/>
    </xf>
    <xf borderId="33" fillId="2" fontId="9" numFmtId="0" xfId="0" applyAlignment="1" applyBorder="1" applyFont="1">
      <alignment horizontal="center" readingOrder="0" vertical="center"/>
    </xf>
    <xf borderId="17" fillId="2" fontId="10" numFmtId="0" xfId="0" applyAlignment="1" applyBorder="1" applyFont="1">
      <alignment horizontal="center" readingOrder="0" vertical="center"/>
    </xf>
    <xf borderId="8" fillId="2" fontId="7" numFmtId="0" xfId="0" applyAlignment="1" applyBorder="1" applyFont="1">
      <alignment horizontal="center" readingOrder="0" vertical="center"/>
    </xf>
    <xf borderId="8" fillId="2" fontId="1" numFmtId="0" xfId="0" applyAlignment="1" applyBorder="1" applyFont="1">
      <alignment horizontal="center" readingOrder="0" shrinkToFit="0" vertical="center" wrapText="1"/>
    </xf>
    <xf borderId="8" fillId="2" fontId="7" numFmtId="0" xfId="0" applyAlignment="1" applyBorder="1" applyFont="1">
      <alignment horizontal="center" readingOrder="0" shrinkToFit="0" vertical="center" wrapText="1"/>
    </xf>
    <xf borderId="8" fillId="2" fontId="1" numFmtId="0" xfId="0" applyAlignment="1" applyBorder="1" applyFont="1">
      <alignment horizontal="center" vertical="center"/>
    </xf>
    <xf borderId="33" fillId="4" fontId="9" numFmtId="0" xfId="0" applyAlignment="1" applyBorder="1" applyFont="1">
      <alignment horizontal="center" readingOrder="0" vertical="center"/>
    </xf>
    <xf borderId="17" fillId="4" fontId="10" numFmtId="0" xfId="0" applyAlignment="1" applyBorder="1" applyFont="1">
      <alignment horizontal="center" readingOrder="0" vertical="center"/>
    </xf>
    <xf borderId="8" fillId="4" fontId="7" numFmtId="0" xfId="0" applyAlignment="1" applyBorder="1" applyFont="1">
      <alignment horizontal="center" readingOrder="0" vertical="center"/>
    </xf>
    <xf borderId="8" fillId="4" fontId="7" numFmtId="0" xfId="0" applyAlignment="1" applyBorder="1" applyFont="1">
      <alignment horizontal="center" readingOrder="0" shrinkToFit="0" vertical="center" wrapText="1"/>
    </xf>
    <xf borderId="8" fillId="4" fontId="1" numFmtId="0" xfId="0" applyAlignment="1" applyBorder="1" applyFont="1">
      <alignment horizontal="center" vertical="center"/>
    </xf>
    <xf borderId="8" fillId="4" fontId="1" numFmtId="0" xfId="0" applyAlignment="1" applyBorder="1" applyFont="1">
      <alignment horizontal="center" readingOrder="0" vertical="center"/>
    </xf>
    <xf borderId="34" fillId="2" fontId="9" numFmtId="0" xfId="0" applyAlignment="1" applyBorder="1" applyFont="1">
      <alignment horizontal="center" readingOrder="0" vertical="center"/>
    </xf>
    <xf borderId="24" fillId="2" fontId="10" numFmtId="0" xfId="0" applyAlignment="1" applyBorder="1" applyFont="1">
      <alignment horizontal="center" readingOrder="0" vertical="center"/>
    </xf>
    <xf borderId="7" fillId="2" fontId="7" numFmtId="0" xfId="0" applyAlignment="1" applyBorder="1" applyFont="1">
      <alignment horizontal="center" readingOrder="0" vertical="center"/>
    </xf>
    <xf borderId="7" fillId="2" fontId="1" numFmtId="0" xfId="0" applyAlignment="1" applyBorder="1" applyFont="1">
      <alignment horizontal="center" readingOrder="0" shrinkToFit="0" vertical="center" wrapText="1"/>
    </xf>
    <xf borderId="7" fillId="2" fontId="7" numFmtId="0" xfId="0" applyAlignment="1" applyBorder="1" applyFont="1">
      <alignment horizontal="center" readingOrder="0" shrinkToFit="0" vertical="center" wrapText="1"/>
    </xf>
    <xf borderId="7" fillId="2" fontId="1" numFmtId="0" xfId="0" applyAlignment="1" applyBorder="1" applyFont="1">
      <alignment horizontal="center" vertical="center"/>
    </xf>
    <xf borderId="7" fillId="2" fontId="1" numFmtId="0" xfId="0" applyAlignment="1" applyBorder="1" applyFont="1">
      <alignment horizontal="center" readingOrder="0" vertical="center"/>
    </xf>
    <xf borderId="35" fillId="2" fontId="1" numFmtId="0" xfId="0" applyAlignment="1" applyBorder="1" applyFont="1">
      <alignment horizontal="center" readingOrder="0" vertical="center"/>
    </xf>
    <xf borderId="35" fillId="2" fontId="1" numFmtId="0" xfId="0" applyAlignment="1" applyBorder="1" applyFont="1">
      <alignment horizontal="center" readingOrder="0" vertical="center"/>
    </xf>
    <xf borderId="25" fillId="2" fontId="1" numFmtId="49" xfId="0" applyAlignment="1" applyBorder="1" applyFont="1" applyNumberFormat="1">
      <alignment horizontal="center" readingOrder="0" vertical="center"/>
    </xf>
    <xf borderId="0" fillId="0" fontId="6" numFmtId="0" xfId="0" applyAlignment="1" applyFont="1">
      <alignment horizontal="center" readingOrder="0"/>
    </xf>
    <xf borderId="36" fillId="2" fontId="6" numFmtId="0" xfId="0" applyAlignment="1" applyBorder="1" applyFont="1">
      <alignment horizontal="center" readingOrder="0" vertical="center"/>
    </xf>
    <xf borderId="37" fillId="0" fontId="1" numFmtId="0" xfId="0" applyBorder="1" applyFont="1"/>
    <xf borderId="38" fillId="0" fontId="1" numFmtId="0" xfId="0" applyBorder="1" applyFont="1"/>
    <xf borderId="0" fillId="2" fontId="6" numFmtId="0" xfId="0" applyAlignment="1" applyFont="1">
      <alignment horizontal="center"/>
    </xf>
    <xf borderId="0" fillId="2" fontId="6" numFmtId="0" xfId="0" applyAlignment="1" applyFont="1">
      <alignment horizontal="center" readingOrder="0"/>
    </xf>
    <xf borderId="26" fillId="5" fontId="13" numFmtId="0" xfId="0" applyAlignment="1" applyBorder="1" applyFill="1" applyFont="1">
      <alignment horizontal="center" readingOrder="0" vertical="center"/>
    </xf>
    <xf borderId="39" fillId="0" fontId="1" numFmtId="0" xfId="0" applyBorder="1" applyFont="1"/>
    <xf borderId="40" fillId="3" fontId="6" numFmtId="0" xfId="0" applyAlignment="1" applyBorder="1" applyFont="1">
      <alignment horizontal="center" readingOrder="0"/>
    </xf>
    <xf borderId="40" fillId="5" fontId="12" numFmtId="0" xfId="0" applyAlignment="1" applyBorder="1" applyFont="1">
      <alignment horizontal="center" readingOrder="0"/>
    </xf>
    <xf borderId="39" fillId="3" fontId="6" numFmtId="0" xfId="0" applyAlignment="1" applyBorder="1" applyFont="1">
      <alignment horizontal="center" readingOrder="0"/>
    </xf>
    <xf borderId="41" fillId="0" fontId="6" numFmtId="0" xfId="0" applyAlignment="1" applyBorder="1" applyFont="1">
      <alignment horizontal="center" readingOrder="0"/>
    </xf>
    <xf borderId="30" fillId="0" fontId="6" numFmtId="0" xfId="0" applyAlignment="1" applyBorder="1" applyFont="1">
      <alignment horizontal="center" readingOrder="0"/>
    </xf>
    <xf borderId="36" fillId="0" fontId="1" numFmtId="0" xfId="0" applyAlignment="1" applyBorder="1" applyFont="1">
      <alignment horizontal="center" readingOrder="0" shrinkToFit="0" vertical="center" wrapText="1"/>
    </xf>
    <xf borderId="42" fillId="6" fontId="6" numFmtId="3" xfId="0" applyAlignment="1" applyBorder="1" applyFill="1" applyFont="1" applyNumberFormat="1">
      <alignment horizontal="center" readingOrder="0"/>
    </xf>
    <xf borderId="10" fillId="6" fontId="1" numFmtId="0" xfId="0" applyBorder="1" applyFont="1"/>
    <xf borderId="20" fillId="6" fontId="6" numFmtId="0" xfId="0" applyAlignment="1" applyBorder="1" applyFont="1">
      <alignment horizontal="center"/>
    </xf>
    <xf borderId="19" fillId="0" fontId="6" numFmtId="0" xfId="0" applyAlignment="1" applyBorder="1" applyFont="1">
      <alignment horizontal="center"/>
    </xf>
    <xf borderId="43" fillId="0" fontId="6" numFmtId="3" xfId="0" applyAlignment="1" applyBorder="1" applyFont="1" applyNumberFormat="1">
      <alignment horizontal="center"/>
    </xf>
    <xf borderId="44" fillId="0" fontId="1" numFmtId="0" xfId="0" applyBorder="1" applyFont="1"/>
    <xf borderId="45" fillId="0" fontId="1" numFmtId="0" xfId="0" applyBorder="1" applyFont="1"/>
    <xf borderId="46" fillId="5" fontId="14" numFmtId="0" xfId="0" applyAlignment="1" applyBorder="1" applyFill="1" applyFont="1">
      <alignment horizontal="center" readingOrder="0"/>
    </xf>
    <xf borderId="4" fillId="7" fontId="1" numFmtId="0" xfId="0" applyBorder="1" applyFill="1" applyFont="1"/>
    <xf borderId="31" fillId="7" fontId="6" numFmtId="0" xfId="0" applyAlignment="1" applyBorder="1" applyFont="1">
      <alignment horizontal="center"/>
    </xf>
    <xf borderId="47" fillId="0" fontId="6" numFmtId="0" xfId="0" applyAlignment="1" applyBorder="1" applyFont="1">
      <alignment horizontal="center" readingOrder="0"/>
    </xf>
    <xf borderId="48" fillId="0" fontId="6" numFmtId="3" xfId="0" applyAlignment="1" applyBorder="1" applyFont="1" applyNumberFormat="1">
      <alignment horizontal="center"/>
    </xf>
    <xf borderId="4" fillId="6" fontId="1" numFmtId="0" xfId="0" applyBorder="1" applyFont="1"/>
    <xf borderId="31" fillId="6" fontId="6" numFmtId="49" xfId="0" applyAlignment="1" applyBorder="1" applyFont="1" applyNumberFormat="1">
      <alignment horizontal="center"/>
    </xf>
    <xf borderId="49" fillId="0" fontId="6" numFmtId="0" xfId="0" applyAlignment="1" applyBorder="1" applyFont="1">
      <alignment horizontal="center" readingOrder="0"/>
    </xf>
    <xf borderId="50" fillId="0" fontId="6" numFmtId="3" xfId="0" applyAlignment="1" applyBorder="1" applyFont="1" applyNumberFormat="1">
      <alignment horizontal="center"/>
    </xf>
    <xf borderId="28" fillId="7" fontId="6" numFmtId="0" xfId="0" applyAlignment="1" applyBorder="1" applyFont="1">
      <alignment horizontal="center"/>
    </xf>
    <xf borderId="40" fillId="0" fontId="6" numFmtId="0" xfId="0" applyAlignment="1" applyBorder="1" applyFont="1">
      <alignment horizontal="center" readingOrder="0"/>
    </xf>
    <xf borderId="50" fillId="0" fontId="6" numFmtId="0" xfId="0" applyAlignment="1" applyBorder="1" applyFont="1">
      <alignment horizontal="center" readingOrder="0"/>
    </xf>
    <xf borderId="26" fillId="3" fontId="6" numFmtId="0" xfId="0" applyAlignment="1" applyBorder="1" applyFont="1">
      <alignment horizontal="center" readingOrder="0"/>
    </xf>
    <xf borderId="6" fillId="5" fontId="12" numFmtId="0" xfId="0" applyAlignment="1" applyBorder="1" applyFont="1">
      <alignment horizontal="center" readingOrder="0"/>
    </xf>
    <xf borderId="20" fillId="0" fontId="6" numFmtId="3" xfId="0" applyAlignment="1" applyBorder="1" applyFont="1" applyNumberFormat="1">
      <alignment horizontal="center"/>
    </xf>
    <xf borderId="20" fillId="6" fontId="6" numFmtId="3" xfId="0" applyAlignment="1" applyBorder="1" applyFont="1" applyNumberFormat="1">
      <alignment horizontal="center" readingOrder="0"/>
    </xf>
    <xf borderId="31" fillId="0" fontId="6" numFmtId="3" xfId="0" applyAlignment="1" applyBorder="1" applyFont="1" applyNumberFormat="1">
      <alignment horizontal="center"/>
    </xf>
    <xf borderId="51" fillId="0" fontId="1" numFmtId="0" xfId="0" applyBorder="1" applyFont="1"/>
    <xf borderId="52" fillId="0" fontId="1" numFmtId="0" xfId="0" applyBorder="1" applyFont="1"/>
    <xf borderId="50" fillId="0" fontId="1" numFmtId="0" xfId="0" applyBorder="1" applyFont="1"/>
    <xf borderId="31" fillId="7" fontId="6" numFmtId="49" xfId="0" applyAlignment="1" applyBorder="1" applyFont="1" applyNumberFormat="1">
      <alignment horizontal="center"/>
    </xf>
    <xf borderId="26" fillId="0" fontId="15" numFmtId="0" xfId="0" applyAlignment="1" applyBorder="1" applyFont="1">
      <alignment horizontal="center" readingOrder="0"/>
    </xf>
    <xf borderId="31" fillId="6" fontId="6" numFmtId="0" xfId="0" applyAlignment="1" applyBorder="1" applyFont="1">
      <alignment horizontal="center"/>
    </xf>
    <xf borderId="28" fillId="0" fontId="6" numFmtId="3" xfId="0" applyAlignment="1" applyBorder="1" applyFont="1" applyNumberFormat="1">
      <alignment horizontal="center"/>
    </xf>
    <xf borderId="46" fillId="5" fontId="14" numFmtId="0" xfId="0" applyAlignment="1" applyBorder="1" applyFont="1">
      <alignment horizontal="center" readingOrder="0"/>
    </xf>
    <xf borderId="30" fillId="7" fontId="6" numFmtId="0" xfId="0" applyAlignment="1" applyBorder="1" applyFont="1">
      <alignment horizontal="center"/>
    </xf>
    <xf borderId="23" fillId="0" fontId="6" numFmtId="3" xfId="0" applyAlignment="1" applyBorder="1" applyFont="1" applyNumberFormat="1">
      <alignment horizontal="center"/>
    </xf>
    <xf borderId="25" fillId="0" fontId="6" numFmtId="3" xfId="0" applyAlignment="1" applyBorder="1" applyFont="1" applyNumberFormat="1">
      <alignment horizontal="center"/>
    </xf>
    <xf borderId="0" fillId="0" fontId="6" numFmtId="0" xfId="0" applyAlignment="1" applyFont="1">
      <alignment horizontal="center" readingOrder="0"/>
    </xf>
    <xf borderId="31" fillId="6" fontId="6" numFmtId="3" xfId="0" applyAlignment="1" applyBorder="1" applyFont="1" applyNumberFormat="1">
      <alignment horizontal="center" readingOrder="0"/>
    </xf>
    <xf borderId="21" fillId="0" fontId="6" numFmtId="0" xfId="0" applyAlignment="1" applyBorder="1" applyFont="1">
      <alignment horizontal="center" readingOrder="0"/>
    </xf>
    <xf borderId="53" fillId="0" fontId="6" numFmtId="3" xfId="0" applyAlignment="1" applyBorder="1" applyFont="1" applyNumberFormat="1">
      <alignment horizontal="center" readingOrder="0"/>
    </xf>
    <xf borderId="54" fillId="0" fontId="6" numFmtId="0" xfId="0" applyAlignment="1" applyBorder="1" applyFont="1">
      <alignment horizontal="center" readingOrder="0"/>
    </xf>
    <xf borderId="22" fillId="0" fontId="6" numFmtId="0" xfId="0" applyAlignment="1" applyBorder="1" applyFont="1">
      <alignment horizontal="center" readingOrder="0"/>
    </xf>
    <xf borderId="2" fillId="0" fontId="6" numFmtId="3" xfId="0" applyAlignment="1" applyBorder="1" applyFont="1" applyNumberFormat="1">
      <alignment horizontal="center" readingOrder="0"/>
    </xf>
    <xf borderId="55" fillId="0" fontId="6" numFmtId="0" xfId="0" applyAlignment="1" applyBorder="1" applyFont="1">
      <alignment horizontal="center" readingOrder="0"/>
    </xf>
    <xf borderId="28" fillId="7" fontId="6" numFmtId="49" xfId="0" applyAlignment="1" applyBorder="1" applyFont="1" applyNumberFormat="1">
      <alignment horizontal="center"/>
    </xf>
    <xf borderId="2" fillId="0" fontId="6" numFmtId="3" xfId="0" applyAlignment="1" applyBorder="1" applyFont="1" applyNumberFormat="1">
      <alignment horizontal="center"/>
    </xf>
    <xf borderId="36" fillId="3" fontId="6" numFmtId="0" xfId="0" applyAlignment="1" applyBorder="1" applyFont="1">
      <alignment horizontal="center" readingOrder="0"/>
    </xf>
    <xf borderId="38" fillId="3" fontId="6" numFmtId="0" xfId="0" applyAlignment="1" applyBorder="1" applyFont="1">
      <alignment horizontal="center" readingOrder="0"/>
    </xf>
    <xf borderId="4" fillId="0" fontId="6" numFmtId="0" xfId="0" applyAlignment="1" applyBorder="1" applyFont="1">
      <alignment horizontal="center" readingOrder="0"/>
    </xf>
    <xf borderId="53" fillId="0" fontId="6" numFmtId="166" xfId="0" applyAlignment="1" applyBorder="1" applyFont="1" applyNumberFormat="1">
      <alignment horizontal="center"/>
    </xf>
    <xf borderId="53" fillId="0" fontId="6" numFmtId="167" xfId="0" applyAlignment="1" applyBorder="1" applyFont="1" applyNumberFormat="1">
      <alignment horizontal="center"/>
    </xf>
    <xf borderId="30" fillId="7" fontId="6" numFmtId="49" xfId="0" applyAlignment="1" applyBorder="1" applyFont="1" applyNumberFormat="1">
      <alignment horizontal="center"/>
    </xf>
    <xf borderId="0" fillId="2" fontId="6" numFmtId="0" xfId="0" applyAlignment="1" applyFont="1">
      <alignment horizontal="center" readingOrder="0" shrinkToFit="0" vertical="center" wrapText="1"/>
    </xf>
    <xf borderId="40" fillId="5" fontId="12" numFmtId="0" xfId="0" applyAlignment="1" applyBorder="1" applyFont="1">
      <alignment horizontal="center" readingOrder="0" shrinkToFit="0" wrapText="0"/>
    </xf>
    <xf borderId="50" fillId="3" fontId="6" numFmtId="0" xfId="0" applyAlignment="1" applyBorder="1" applyFont="1">
      <alignment horizontal="center" readingOrder="0"/>
    </xf>
    <xf borderId="53" fillId="0" fontId="6" numFmtId="3" xfId="0" applyAlignment="1" applyBorder="1" applyFont="1" applyNumberFormat="1">
      <alignment horizontal="center"/>
    </xf>
    <xf borderId="56" fillId="5" fontId="14" numFmtId="0" xfId="0" applyAlignment="1" applyBorder="1" applyFont="1">
      <alignment horizontal="center" readingOrder="0"/>
    </xf>
    <xf borderId="24" fillId="7" fontId="1" numFmtId="0" xfId="0" applyBorder="1" applyFont="1"/>
    <xf borderId="0" fillId="0" fontId="6" numFmtId="3" xfId="0" applyAlignment="1" applyFont="1" applyNumberFormat="1">
      <alignment horizontal="center"/>
    </xf>
    <xf borderId="47" fillId="3" fontId="6" numFmtId="0" xfId="0" applyAlignment="1" applyBorder="1" applyFont="1">
      <alignment horizontal="center" readingOrder="0"/>
    </xf>
    <xf borderId="53" fillId="3" fontId="6" numFmtId="0" xfId="0" applyAlignment="1" applyBorder="1" applyFont="1">
      <alignment horizontal="center" readingOrder="0"/>
    </xf>
    <xf borderId="48" fillId="3" fontId="1" numFmtId="0" xfId="0" applyBorder="1" applyFont="1"/>
    <xf borderId="22" fillId="2" fontId="6" numFmtId="0" xfId="0" applyAlignment="1" applyBorder="1" applyFont="1">
      <alignment horizontal="center" readingOrder="0" shrinkToFit="0" vertical="center" wrapText="1"/>
    </xf>
    <xf borderId="2" fillId="2" fontId="6" numFmtId="3" xfId="0" applyAlignment="1" applyBorder="1" applyFont="1" applyNumberFormat="1">
      <alignment horizontal="center" readingOrder="0" shrinkToFit="0" vertical="center" wrapText="1"/>
    </xf>
    <xf borderId="57" fillId="2" fontId="1" numFmtId="0" xfId="0" applyBorder="1" applyFont="1"/>
    <xf borderId="0" fillId="2" fontId="4" numFmtId="0" xfId="0" applyAlignment="1" applyFont="1">
      <alignment horizontal="left"/>
    </xf>
    <xf borderId="22" fillId="4" fontId="6" numFmtId="0" xfId="0" applyAlignment="1" applyBorder="1" applyFont="1">
      <alignment horizontal="center" readingOrder="0" shrinkToFit="0" vertical="center" wrapText="1"/>
    </xf>
    <xf borderId="2" fillId="4" fontId="6" numFmtId="3" xfId="0" applyAlignment="1" applyBorder="1" applyFont="1" applyNumberFormat="1">
      <alignment horizontal="center" readingOrder="0" shrinkToFit="0" vertical="center" wrapText="1"/>
    </xf>
    <xf borderId="57" fillId="4" fontId="1" numFmtId="0" xfId="0" applyBorder="1" applyFont="1"/>
    <xf borderId="2" fillId="2" fontId="6" numFmtId="3" xfId="0" applyAlignment="1" applyBorder="1" applyFont="1" applyNumberFormat="1">
      <alignment horizontal="center" readingOrder="0" shrinkToFit="0" vertical="center" wrapText="1"/>
    </xf>
    <xf borderId="33" fillId="4" fontId="6" numFmtId="0" xfId="0" applyAlignment="1" applyBorder="1" applyFont="1">
      <alignment horizontal="center" readingOrder="0" shrinkToFit="0" vertical="center" wrapText="1"/>
    </xf>
    <xf borderId="2" fillId="2" fontId="6" numFmtId="0" xfId="0" applyAlignment="1" applyBorder="1" applyFont="1">
      <alignment horizontal="center" readingOrder="0" shrinkToFit="0" vertical="center" wrapText="1"/>
    </xf>
    <xf borderId="33" fillId="0" fontId="6" numFmtId="0" xfId="0" applyAlignment="1" applyBorder="1" applyFont="1">
      <alignment horizontal="center" readingOrder="0"/>
    </xf>
    <xf borderId="2" fillId="0" fontId="6" numFmtId="166" xfId="0" applyAlignment="1" applyBorder="1" applyFont="1" applyNumberFormat="1">
      <alignment horizontal="center" readingOrder="0"/>
    </xf>
    <xf borderId="58" fillId="0" fontId="6" numFmtId="0" xfId="0" applyAlignment="1" applyBorder="1" applyFont="1">
      <alignment horizontal="center" readingOrder="0"/>
    </xf>
    <xf borderId="59" fillId="4" fontId="6" numFmtId="0" xfId="0" applyAlignment="1" applyBorder="1" applyFont="1">
      <alignment horizontal="center" readingOrder="0" shrinkToFit="0" vertical="center" wrapText="1"/>
    </xf>
    <xf borderId="60" fillId="4" fontId="1" numFmtId="0" xfId="0" applyBorder="1" applyFont="1"/>
    <xf borderId="34" fillId="0" fontId="6" numFmtId="0" xfId="0" applyAlignment="1" applyBorder="1" applyFont="1">
      <alignment horizontal="center" readingOrder="0"/>
    </xf>
    <xf borderId="61" fillId="0" fontId="6" numFmtId="3" xfId="0" applyAlignment="1" applyBorder="1" applyFont="1" applyNumberFormat="1">
      <alignment horizontal="center"/>
    </xf>
    <xf borderId="62" fillId="0" fontId="6" numFmtId="0" xfId="0" applyAlignment="1" applyBorder="1" applyFont="1">
      <alignment horizontal="center" readingOrder="0"/>
    </xf>
    <xf borderId="33" fillId="2" fontId="6" numFmtId="0" xfId="0" applyAlignment="1" applyBorder="1" applyFont="1">
      <alignment horizontal="center" readingOrder="0" shrinkToFit="0" vertical="center" wrapText="1"/>
    </xf>
    <xf borderId="59" fillId="2" fontId="6" numFmtId="0" xfId="0" applyAlignment="1" applyBorder="1" applyFont="1">
      <alignment horizontal="center" readingOrder="0" shrinkToFit="0" vertical="center" wrapText="1"/>
    </xf>
    <xf borderId="60" fillId="2" fontId="1" numFmtId="0" xfId="0" applyBorder="1" applyFont="1"/>
    <xf borderId="36" fillId="0" fontId="16" numFmtId="0" xfId="0" applyAlignment="1" applyBorder="1" applyFont="1">
      <alignment horizontal="center" readingOrder="0" shrinkToFit="0" vertical="center" wrapText="1"/>
    </xf>
    <xf borderId="34" fillId="4" fontId="6" numFmtId="0" xfId="0" applyAlignment="1" applyBorder="1" applyFont="1">
      <alignment horizontal="center" readingOrder="0" shrinkToFit="0" vertical="center" wrapText="1"/>
    </xf>
    <xf borderId="63" fillId="4" fontId="6" numFmtId="0" xfId="0" applyAlignment="1" applyBorder="1" applyFont="1">
      <alignment horizontal="center" readingOrder="0" shrinkToFit="0" vertical="center" wrapText="1"/>
    </xf>
    <xf borderId="64" fillId="4" fontId="1" numFmtId="0" xfId="0" applyBorder="1" applyFont="1"/>
    <xf borderId="0" fillId="0" fontId="8" numFmtId="0" xfId="0" applyAlignment="1" applyFont="1">
      <alignment horizontal="center" readingOrder="0" shrinkToFit="0" vertical="center" wrapText="1"/>
    </xf>
    <xf borderId="65" fillId="0" fontId="6" numFmtId="0" xfId="0" applyAlignment="1" applyBorder="1" applyFont="1">
      <alignment horizontal="center" readingOrder="0" shrinkToFit="0" vertical="center" wrapText="1"/>
    </xf>
    <xf borderId="66" fillId="0" fontId="6" numFmtId="0" xfId="0" applyAlignment="1" applyBorder="1" applyFont="1">
      <alignment horizontal="center" readingOrder="0" shrinkToFit="0" vertical="center" wrapText="1"/>
    </xf>
    <xf borderId="32" fillId="0" fontId="6" numFmtId="0" xfId="0" applyAlignment="1" applyBorder="1" applyFont="1">
      <alignment horizontal="center" readingOrder="0" shrinkToFit="0" vertical="center" wrapText="1"/>
    </xf>
    <xf borderId="0" fillId="0" fontId="1" numFmtId="0" xfId="0" applyFont="1"/>
    <xf borderId="19" fillId="0" fontId="6" numFmtId="0" xfId="0" applyAlignment="1" applyBorder="1" applyFont="1">
      <alignment horizontal="center" readingOrder="0" shrinkToFit="0" vertical="center" wrapText="1"/>
    </xf>
    <xf borderId="9" fillId="0" fontId="6" numFmtId="0" xfId="0" applyAlignment="1" applyBorder="1" applyFont="1">
      <alignment horizontal="center" readingOrder="0" shrinkToFit="0" wrapText="1"/>
    </xf>
    <xf borderId="20" fillId="0" fontId="6" numFmtId="0" xfId="0" applyAlignment="1" applyBorder="1" applyFont="1">
      <alignment horizontal="center" readingOrder="0" shrinkToFit="0" wrapText="1"/>
    </xf>
    <xf borderId="0" fillId="0" fontId="1" numFmtId="3" xfId="0" applyFont="1" applyNumberFormat="1"/>
    <xf borderId="19" fillId="0" fontId="16" numFmtId="3" xfId="0" applyAlignment="1" applyBorder="1" applyFont="1" applyNumberFormat="1">
      <alignment horizontal="center" readingOrder="0"/>
    </xf>
    <xf borderId="9" fillId="0" fontId="1" numFmtId="3" xfId="0" applyAlignment="1" applyBorder="1" applyFont="1" applyNumberFormat="1">
      <alignment horizontal="center" readingOrder="0"/>
    </xf>
    <xf borderId="9" fillId="0" fontId="1" numFmtId="10" xfId="0" applyAlignment="1" applyBorder="1" applyFont="1" applyNumberFormat="1">
      <alignment horizontal="center" readingOrder="0"/>
    </xf>
    <xf borderId="9" fillId="0" fontId="1" numFmtId="168" xfId="0" applyAlignment="1" applyBorder="1" applyFont="1" applyNumberFormat="1">
      <alignment horizontal="center" readingOrder="0"/>
    </xf>
    <xf borderId="9" fillId="0" fontId="16" numFmtId="3" xfId="0" applyAlignment="1" applyBorder="1" applyFont="1" applyNumberFormat="1">
      <alignment horizontal="center" readingOrder="0"/>
    </xf>
    <xf borderId="20" fillId="0" fontId="1" numFmtId="10" xfId="0" applyAlignment="1" applyBorder="1" applyFont="1" applyNumberFormat="1">
      <alignment horizontal="center" readingOrder="0"/>
    </xf>
    <xf borderId="22" fillId="0" fontId="6" numFmtId="0" xfId="0" applyAlignment="1" applyBorder="1" applyFont="1">
      <alignment horizontal="center" readingOrder="0"/>
    </xf>
    <xf borderId="1" fillId="0" fontId="6" numFmtId="3" xfId="0" applyAlignment="1" applyBorder="1" applyFont="1" applyNumberFormat="1">
      <alignment horizontal="center"/>
    </xf>
    <xf borderId="23" fillId="0" fontId="6" numFmtId="3" xfId="0" applyAlignment="1" applyBorder="1" applyFont="1" applyNumberFormat="1">
      <alignment horizontal="center"/>
    </xf>
    <xf borderId="41" fillId="3" fontId="6" numFmtId="0" xfId="0" applyAlignment="1" applyBorder="1" applyFont="1">
      <alignment horizontal="center" readingOrder="0" vertical="center"/>
    </xf>
    <xf borderId="67" fillId="3" fontId="6" numFmtId="49" xfId="0" applyAlignment="1" applyBorder="1" applyFont="1" applyNumberFormat="1">
      <alignment horizontal="center" readingOrder="0" vertical="center"/>
    </xf>
    <xf borderId="28" fillId="3" fontId="6" numFmtId="49" xfId="0" applyAlignment="1" applyBorder="1" applyFont="1" applyNumberFormat="1">
      <alignment horizontal="center" readingOrder="0" vertical="center"/>
    </xf>
    <xf borderId="22" fillId="0" fontId="16" numFmtId="3" xfId="0" applyAlignment="1" applyBorder="1" applyFont="1" applyNumberFormat="1">
      <alignment horizontal="center" readingOrder="0"/>
    </xf>
    <xf borderId="1" fillId="0" fontId="16" numFmtId="3" xfId="0" applyAlignment="1" applyBorder="1" applyFont="1" applyNumberFormat="1">
      <alignment horizontal="center" readingOrder="0"/>
    </xf>
    <xf borderId="23" fillId="0" fontId="1" numFmtId="10" xfId="0" applyAlignment="1" applyBorder="1" applyFont="1" applyNumberFormat="1">
      <alignment horizontal="center" readingOrder="0"/>
    </xf>
    <xf borderId="47" fillId="2" fontId="1" numFmtId="0" xfId="0" applyBorder="1" applyFont="1"/>
    <xf borderId="5" fillId="2" fontId="1" numFmtId="0" xfId="0" applyBorder="1" applyFont="1"/>
    <xf borderId="31" fillId="2" fontId="1" numFmtId="0" xfId="0" applyBorder="1" applyFont="1"/>
    <xf borderId="1" fillId="4" fontId="6" numFmtId="0" xfId="0" applyAlignment="1" applyBorder="1" applyFont="1">
      <alignment horizontal="center" readingOrder="0" vertical="center"/>
    </xf>
    <xf borderId="1" fillId="4" fontId="6" numFmtId="49" xfId="0" applyAlignment="1" applyBorder="1" applyFont="1" applyNumberFormat="1">
      <alignment horizontal="center" readingOrder="0" vertical="center"/>
    </xf>
    <xf borderId="23" fillId="4" fontId="6" numFmtId="0" xfId="0" applyAlignment="1" applyBorder="1" applyFont="1">
      <alignment horizontal="center" readingOrder="0" vertical="center"/>
    </xf>
    <xf borderId="1" fillId="0" fontId="6" numFmtId="3" xfId="0" applyAlignment="1" applyBorder="1" applyFont="1" applyNumberFormat="1">
      <alignment horizontal="center" readingOrder="0"/>
    </xf>
    <xf borderId="8" fillId="2" fontId="1" numFmtId="0" xfId="0" applyAlignment="1" applyBorder="1" applyFont="1">
      <alignment horizontal="center" readingOrder="0" vertical="center"/>
    </xf>
    <xf borderId="8" fillId="2" fontId="1" numFmtId="49" xfId="0" applyAlignment="1" applyBorder="1" applyFont="1" applyNumberFormat="1">
      <alignment horizontal="center" readingOrder="0" vertical="center"/>
    </xf>
    <xf borderId="18" fillId="2" fontId="1" numFmtId="0" xfId="0" applyAlignment="1" applyBorder="1" applyFont="1">
      <alignment horizontal="center" readingOrder="0" vertical="center"/>
    </xf>
    <xf borderId="34" fillId="4" fontId="6" numFmtId="0" xfId="0" applyAlignment="1" applyBorder="1" applyFont="1">
      <alignment horizontal="center" readingOrder="0" vertical="center"/>
    </xf>
    <xf borderId="7" fillId="7" fontId="17" numFmtId="0" xfId="0" applyAlignment="1" applyBorder="1" applyFont="1">
      <alignment horizontal="center" readingOrder="0" vertical="center"/>
    </xf>
    <xf borderId="7" fillId="7" fontId="17" numFmtId="49" xfId="0" applyAlignment="1" applyBorder="1" applyFont="1" applyNumberFormat="1">
      <alignment horizontal="center" readingOrder="0" vertical="center"/>
    </xf>
    <xf borderId="25" fillId="7" fontId="17" numFmtId="0" xfId="0" applyAlignment="1" applyBorder="1" applyFont="1">
      <alignment horizontal="center" readingOrder="0" vertical="center"/>
    </xf>
    <xf borderId="26" fillId="0" fontId="6" numFmtId="0" xfId="0" applyAlignment="1" applyBorder="1" applyFont="1">
      <alignment horizontal="center" readingOrder="0"/>
    </xf>
    <xf borderId="34" fillId="0" fontId="6" numFmtId="0" xfId="0" applyAlignment="1" applyBorder="1" applyFont="1">
      <alignment horizontal="center" readingOrder="0"/>
    </xf>
    <xf borderId="7" fillId="0" fontId="6" numFmtId="3" xfId="0" applyAlignment="1" applyBorder="1" applyFont="1" applyNumberFormat="1">
      <alignment horizontal="center"/>
    </xf>
    <xf borderId="25" fillId="0" fontId="6" numFmtId="3" xfId="0" applyAlignment="1" applyBorder="1" applyFont="1" applyNumberFormat="1">
      <alignment horizontal="center"/>
    </xf>
    <xf borderId="19" fillId="0" fontId="6" numFmtId="0" xfId="0" applyAlignment="1" applyBorder="1" applyFont="1">
      <alignment horizontal="center" readingOrder="0"/>
    </xf>
    <xf borderId="68" fillId="0" fontId="6" numFmtId="49" xfId="0" applyAlignment="1" applyBorder="1" applyFont="1" applyNumberFormat="1">
      <alignment horizontal="center" readingOrder="0"/>
    </xf>
    <xf borderId="69" fillId="0" fontId="1" numFmtId="0" xfId="0" applyBorder="1" applyFont="1"/>
    <xf borderId="43" fillId="0" fontId="1" numFmtId="0" xfId="0" applyBorder="1" applyFont="1"/>
    <xf borderId="46" fillId="0" fontId="6" numFmtId="0" xfId="0" applyAlignment="1" applyBorder="1" applyFont="1">
      <alignment horizontal="center" readingOrder="0"/>
    </xf>
    <xf borderId="40" fillId="5" fontId="13" numFmtId="3" xfId="0" applyAlignment="1" applyBorder="1" applyFont="1" applyNumberFormat="1">
      <alignment horizontal="center" readingOrder="0" shrinkToFit="0" vertical="center" wrapText="1"/>
    </xf>
    <xf borderId="57" fillId="0" fontId="1" numFmtId="0" xfId="0" applyBorder="1" applyFont="1"/>
    <xf borderId="5" fillId="0" fontId="6" numFmtId="49" xfId="0" applyAlignment="1" applyBorder="1" applyFont="1" applyNumberFormat="1">
      <alignment horizontal="center" readingOrder="0"/>
    </xf>
    <xf borderId="1" fillId="0" fontId="6" numFmtId="49" xfId="0" applyAlignment="1" applyBorder="1" applyFont="1" applyNumberFormat="1">
      <alignment horizontal="center" readingOrder="0"/>
    </xf>
    <xf borderId="23" fillId="0" fontId="6" numFmtId="49" xfId="0" applyAlignment="1" applyBorder="1" applyFont="1" applyNumberFormat="1">
      <alignment horizontal="center" readingOrder="0"/>
    </xf>
    <xf borderId="36" fillId="5" fontId="6" numFmtId="49" xfId="0" applyAlignment="1" applyBorder="1" applyFont="1" applyNumberFormat="1">
      <alignment horizontal="center" readingOrder="0" shrinkToFit="0" vertical="center" wrapText="1"/>
    </xf>
    <xf borderId="22" fillId="0" fontId="6" numFmtId="49" xfId="0" applyAlignment="1" applyBorder="1" applyFont="1" applyNumberFormat="1">
      <alignment horizontal="center" readingOrder="0"/>
    </xf>
    <xf borderId="1" fillId="0" fontId="1" numFmtId="49" xfId="0" applyAlignment="1" applyBorder="1" applyFont="1" applyNumberFormat="1">
      <alignment horizontal="center" readingOrder="0"/>
    </xf>
    <xf borderId="23" fillId="2" fontId="17" numFmtId="3" xfId="0" applyAlignment="1" applyBorder="1" applyFont="1" applyNumberFormat="1">
      <alignment horizontal="center" readingOrder="0"/>
    </xf>
    <xf borderId="23" fillId="7" fontId="17" numFmtId="3" xfId="0" applyAlignment="1" applyBorder="1" applyFont="1" applyNumberFormat="1">
      <alignment horizontal="center" readingOrder="0"/>
    </xf>
    <xf borderId="42" fillId="3" fontId="6" numFmtId="0" xfId="0" applyAlignment="1" applyBorder="1" applyFont="1">
      <alignment horizontal="center" readingOrder="0"/>
    </xf>
    <xf borderId="69" fillId="3" fontId="1" numFmtId="0" xfId="0" applyBorder="1" applyFont="1"/>
    <xf borderId="43" fillId="3" fontId="1" numFmtId="0" xfId="0" applyBorder="1" applyFont="1"/>
    <xf borderId="1" fillId="0" fontId="6" numFmtId="0" xfId="0" applyAlignment="1" applyBorder="1" applyFont="1">
      <alignment horizontal="center" readingOrder="0"/>
    </xf>
    <xf borderId="1" fillId="0" fontId="1" numFmtId="0" xfId="0" applyAlignment="1" applyBorder="1" applyFont="1">
      <alignment horizontal="center" readingOrder="0"/>
    </xf>
    <xf borderId="23" fillId="2" fontId="17" numFmtId="0" xfId="0" applyAlignment="1" applyBorder="1" applyFont="1">
      <alignment horizontal="center" readingOrder="0"/>
    </xf>
    <xf borderId="0" fillId="0" fontId="6" numFmtId="49" xfId="0" applyAlignment="1" applyFont="1" applyNumberFormat="1">
      <alignment horizontal="center"/>
    </xf>
    <xf borderId="46" fillId="2" fontId="6" numFmtId="0" xfId="0" applyAlignment="1" applyBorder="1" applyFont="1">
      <alignment horizontal="center" readingOrder="0"/>
    </xf>
    <xf borderId="4" fillId="2" fontId="1" numFmtId="0" xfId="0" applyBorder="1" applyFont="1"/>
    <xf borderId="23" fillId="5" fontId="12" numFmtId="0" xfId="0" applyAlignment="1" applyBorder="1" applyFont="1">
      <alignment horizontal="center" readingOrder="0" vertical="center"/>
    </xf>
    <xf borderId="23" fillId="7" fontId="17" numFmtId="0" xfId="0" applyAlignment="1" applyBorder="1" applyFont="1">
      <alignment horizontal="center" readingOrder="0"/>
    </xf>
    <xf borderId="0" fillId="0" fontId="6" numFmtId="49" xfId="0" applyAlignment="1" applyFont="1" applyNumberFormat="1">
      <alignment horizontal="center" readingOrder="0" shrinkToFit="0" vertical="center" wrapText="1"/>
    </xf>
    <xf borderId="46" fillId="4" fontId="6" numFmtId="0" xfId="0" applyAlignment="1" applyBorder="1" applyFont="1">
      <alignment horizontal="center" readingOrder="0"/>
    </xf>
    <xf borderId="4" fillId="4" fontId="1" numFmtId="0" xfId="0" applyBorder="1" applyFont="1"/>
    <xf borderId="23" fillId="6" fontId="6" numFmtId="3" xfId="0" applyAlignment="1" applyBorder="1" applyFont="1" applyNumberFormat="1">
      <alignment horizontal="center"/>
    </xf>
    <xf borderId="23" fillId="7" fontId="6" numFmtId="3" xfId="0" applyAlignment="1" applyBorder="1" applyFont="1" applyNumberFormat="1">
      <alignment horizontal="center" readingOrder="0"/>
    </xf>
    <xf borderId="3" fillId="2" fontId="1" numFmtId="0" xfId="0" applyBorder="1" applyFont="1"/>
    <xf borderId="23" fillId="6" fontId="6" numFmtId="3" xfId="0" applyAlignment="1" applyBorder="1" applyFont="1" applyNumberFormat="1">
      <alignment horizontal="center" readingOrder="0"/>
    </xf>
    <xf borderId="56" fillId="2" fontId="6" numFmtId="0" xfId="0" applyAlignment="1" applyBorder="1" applyFont="1">
      <alignment horizontal="center" readingOrder="0"/>
    </xf>
    <xf borderId="24" fillId="2" fontId="1" numFmtId="0" xfId="0" applyBorder="1" applyFont="1"/>
    <xf borderId="25" fillId="7" fontId="6" numFmtId="3" xfId="0" applyAlignment="1" applyBorder="1" applyFont="1" applyNumberFormat="1">
      <alignment horizontal="center" readingOrder="0"/>
    </xf>
    <xf borderId="23" fillId="0" fontId="17" numFmtId="0" xfId="0" applyAlignment="1" applyBorder="1" applyFont="1">
      <alignment horizontal="center" readingOrder="0"/>
    </xf>
    <xf borderId="23" fillId="0" fontId="17" numFmtId="3" xfId="0" applyAlignment="1" applyBorder="1" applyFont="1" applyNumberFormat="1">
      <alignment horizontal="center" readingOrder="0"/>
    </xf>
    <xf borderId="22" fillId="0" fontId="12" numFmtId="49" xfId="0" applyAlignment="1" applyBorder="1" applyFont="1" applyNumberFormat="1">
      <alignment horizontal="center" readingOrder="0" vertical="bottom"/>
    </xf>
    <xf borderId="34" fillId="0" fontId="12" numFmtId="49" xfId="0" applyAlignment="1" applyBorder="1" applyFont="1" applyNumberFormat="1">
      <alignment horizontal="center" readingOrder="0" vertical="bottom"/>
    </xf>
    <xf borderId="7" fillId="0" fontId="6" numFmtId="0" xfId="0" applyAlignment="1" applyBorder="1" applyFont="1">
      <alignment horizontal="center" readingOrder="0"/>
    </xf>
    <xf borderId="7" fillId="0" fontId="1" numFmtId="0" xfId="0" applyAlignment="1" applyBorder="1" applyFont="1">
      <alignment horizontal="center" readingOrder="0"/>
    </xf>
    <xf borderId="25" fillId="7" fontId="17" numFmtId="0" xfId="0" applyAlignment="1" applyBorder="1" applyFont="1">
      <alignment horizontal="center" readingOrder="0"/>
    </xf>
    <xf borderId="42" fillId="0" fontId="6" numFmtId="0" xfId="0" applyAlignment="1" applyBorder="1" applyFont="1">
      <alignment horizontal="center" readingOrder="0"/>
    </xf>
    <xf borderId="34" fillId="3" fontId="17" numFmtId="3" xfId="0" applyAlignment="1" applyBorder="1" applyFont="1" applyNumberFormat="1">
      <alignment horizontal="center" readingOrder="0"/>
    </xf>
    <xf borderId="25" fillId="3" fontId="17" numFmtId="3" xfId="0" applyAlignment="1" applyBorder="1" applyFont="1" applyNumberFormat="1">
      <alignment horizontal="center" readingOrder="0"/>
    </xf>
    <xf borderId="40" fillId="0" fontId="6" numFmtId="3" xfId="0" applyAlignment="1" applyBorder="1" applyFont="1" applyNumberFormat="1">
      <alignment horizontal="center" readingOrder="0"/>
    </xf>
    <xf borderId="40" fillId="5" fontId="6" numFmtId="3" xfId="0" applyAlignment="1" applyBorder="1" applyFont="1" applyNumberFormat="1">
      <alignment horizontal="center" readingOrder="0"/>
    </xf>
    <xf borderId="42" fillId="0" fontId="6" numFmtId="3" xfId="0" applyAlignment="1" applyBorder="1" applyFont="1" applyNumberFormat="1">
      <alignment horizontal="center" readingOrder="0"/>
    </xf>
    <xf borderId="25" fillId="3" fontId="6" numFmtId="3" xfId="0" applyAlignment="1" applyBorder="1" applyFont="1" applyNumberFormat="1">
      <alignment horizontal="center"/>
    </xf>
    <xf borderId="34" fillId="0" fontId="16" numFmtId="3" xfId="0" applyAlignment="1" applyBorder="1" applyFont="1" applyNumberFormat="1">
      <alignment horizontal="center" readingOrder="0"/>
    </xf>
    <xf borderId="7" fillId="0" fontId="1" numFmtId="10" xfId="0" applyAlignment="1" applyBorder="1" applyFont="1" applyNumberFormat="1">
      <alignment horizontal="center" readingOrder="0"/>
    </xf>
    <xf borderId="7" fillId="0" fontId="16" numFmtId="3" xfId="0" applyAlignment="1" applyBorder="1" applyFont="1" applyNumberFormat="1">
      <alignment horizontal="center" readingOrder="0"/>
    </xf>
    <xf borderId="25" fillId="0" fontId="1" numFmtId="10" xfId="0" applyAlignment="1" applyBorder="1" applyFont="1" applyNumberFormat="1">
      <alignment horizontal="center" readingOrder="0"/>
    </xf>
    <xf borderId="0" fillId="0" fontId="6" numFmtId="0" xfId="0" applyAlignment="1" applyFont="1">
      <alignment horizontal="center" readingOrder="0"/>
    </xf>
    <xf borderId="26" fillId="8" fontId="6" numFmtId="0" xfId="0" applyAlignment="1" applyBorder="1" applyFill="1" applyFont="1">
      <alignment horizontal="center" readingOrder="0" shrinkToFit="0" vertical="center" wrapText="1"/>
    </xf>
    <xf borderId="26" fillId="9" fontId="6" numFmtId="0" xfId="0" applyAlignment="1" applyBorder="1" applyFill="1" applyFont="1">
      <alignment horizontal="center" readingOrder="0" shrinkToFit="0" vertical="center" wrapText="1"/>
    </xf>
    <xf borderId="26" fillId="10" fontId="18" numFmtId="0" xfId="0" applyAlignment="1" applyBorder="1" applyFill="1" applyFont="1">
      <alignment horizontal="center" readingOrder="0" shrinkToFit="0" vertical="center" wrapText="1"/>
    </xf>
    <xf borderId="19" fillId="0" fontId="16" numFmtId="3" xfId="0" applyAlignment="1" applyBorder="1" applyFont="1" applyNumberFormat="1">
      <alignment horizontal="center" readingOrder="0" vertical="center"/>
    </xf>
    <xf borderId="9" fillId="0" fontId="1" numFmtId="3" xfId="0" applyAlignment="1" applyBorder="1" applyFont="1" applyNumberFormat="1">
      <alignment horizontal="center" readingOrder="0" vertical="center"/>
    </xf>
    <xf borderId="20" fillId="0" fontId="1" numFmtId="3" xfId="0" applyAlignment="1" applyBorder="1" applyFont="1" applyNumberFormat="1">
      <alignment horizontal="center" readingOrder="0" vertical="center"/>
    </xf>
    <xf borderId="22" fillId="0" fontId="16" numFmtId="3" xfId="0" applyAlignment="1" applyBorder="1" applyFont="1" applyNumberFormat="1">
      <alignment horizontal="center" readingOrder="0" vertical="center"/>
    </xf>
    <xf borderId="1" fillId="0" fontId="1" numFmtId="3" xfId="0" applyAlignment="1" applyBorder="1" applyFont="1" applyNumberFormat="1">
      <alignment horizontal="center" readingOrder="0" vertical="center"/>
    </xf>
    <xf borderId="23" fillId="0" fontId="1" numFmtId="10" xfId="0" applyAlignment="1" applyBorder="1" applyFont="1" applyNumberFormat="1">
      <alignment horizontal="center" readingOrder="0" vertical="center"/>
    </xf>
    <xf borderId="34" fillId="0" fontId="16" numFmtId="3" xfId="0" applyAlignment="1" applyBorder="1" applyFont="1" applyNumberFormat="1">
      <alignment horizontal="center" readingOrder="0" vertical="center"/>
    </xf>
    <xf borderId="7" fillId="0" fontId="1" numFmtId="3" xfId="0" applyAlignment="1" applyBorder="1" applyFont="1" applyNumberFormat="1">
      <alignment horizontal="center" readingOrder="0" vertical="center"/>
    </xf>
    <xf borderId="7" fillId="0" fontId="16" numFmtId="3" xfId="0" applyAlignment="1" applyBorder="1" applyFont="1" applyNumberFormat="1">
      <alignment horizontal="center" readingOrder="0" vertical="center"/>
    </xf>
    <xf borderId="25" fillId="0" fontId="1" numFmtId="10" xfId="0" applyAlignment="1" applyBorder="1" applyFont="1" applyNumberFormat="1">
      <alignment horizontal="center" readingOrder="0" vertical="center"/>
    </xf>
    <xf borderId="19" fillId="0" fontId="10" numFmtId="0" xfId="0" applyAlignment="1" applyBorder="1" applyFont="1">
      <alignment horizontal="center" readingOrder="0" vertical="center"/>
    </xf>
    <xf borderId="9" fillId="0" fontId="10" numFmtId="0" xfId="0" applyAlignment="1" applyBorder="1" applyFont="1">
      <alignment horizontal="center" readingOrder="0" vertical="center"/>
    </xf>
    <xf borderId="68" fillId="0" fontId="10" numFmtId="0" xfId="0" applyAlignment="1" applyBorder="1" applyFont="1">
      <alignment horizontal="center" readingOrder="0" vertical="center"/>
    </xf>
    <xf borderId="10" fillId="0" fontId="1" numFmtId="0" xfId="0" applyBorder="1" applyFont="1"/>
    <xf borderId="33" fillId="0" fontId="6" numFmtId="0" xfId="0" applyAlignment="1" applyBorder="1" applyFont="1">
      <alignment horizontal="center" readingOrder="0" vertical="center"/>
    </xf>
    <xf borderId="8" fillId="5" fontId="13" numFmtId="0" xfId="0" applyAlignment="1" applyBorder="1" applyFont="1">
      <alignment horizontal="center" readingOrder="0" shrinkToFit="0" vertical="center" wrapText="0"/>
    </xf>
    <xf borderId="59" fillId="8" fontId="10" numFmtId="0" xfId="0" applyAlignment="1" applyBorder="1" applyFont="1">
      <alignment horizontal="center" readingOrder="0" vertical="center"/>
    </xf>
    <xf borderId="11" fillId="0" fontId="1" numFmtId="0" xfId="0" applyBorder="1" applyFont="1"/>
    <xf borderId="17" fillId="0" fontId="1" numFmtId="0" xfId="0" applyBorder="1" applyFont="1"/>
    <xf borderId="59" fillId="2" fontId="10" numFmtId="0" xfId="0" applyAlignment="1" applyBorder="1" applyFont="1">
      <alignment horizontal="center" shrinkToFit="0" vertical="center" wrapText="1"/>
    </xf>
    <xf borderId="11" fillId="2" fontId="1" numFmtId="0" xfId="0" applyBorder="1" applyFont="1"/>
    <xf borderId="23" fillId="5" fontId="13" numFmtId="0" xfId="0" applyAlignment="1" applyBorder="1" applyFont="1">
      <alignment horizontal="center" readingOrder="0" shrinkToFit="0" vertical="center" wrapText="0"/>
    </xf>
    <xf borderId="41" fillId="0" fontId="1" numFmtId="0" xfId="0" applyBorder="1" applyFont="1"/>
    <xf borderId="5" fillId="0" fontId="1" numFmtId="0" xfId="0" applyBorder="1" applyFont="1"/>
    <xf borderId="53" fillId="0" fontId="1" numFmtId="0" xfId="0" applyBorder="1" applyFont="1"/>
    <xf borderId="70" fillId="0" fontId="1" numFmtId="0" xfId="0" applyBorder="1" applyFont="1"/>
    <xf borderId="6" fillId="0" fontId="1" numFmtId="0" xfId="0" applyBorder="1" applyFont="1"/>
    <xf borderId="53" fillId="4" fontId="10" numFmtId="0" xfId="0" applyAlignment="1" applyBorder="1" applyFont="1">
      <alignment horizontal="center" shrinkToFit="0" vertical="center" wrapText="1"/>
    </xf>
    <xf borderId="70" fillId="4" fontId="1" numFmtId="0" xfId="0" applyBorder="1" applyFont="1"/>
    <xf borderId="48" fillId="4" fontId="1" numFmtId="0" xfId="0" applyBorder="1" applyFont="1"/>
    <xf borderId="23" fillId="5" fontId="12" numFmtId="0" xfId="0" applyAlignment="1" applyBorder="1" applyFont="1">
      <alignment horizontal="center" readingOrder="0" shrinkToFit="0" vertical="center" wrapText="0"/>
    </xf>
    <xf borderId="12" fillId="4" fontId="10" numFmtId="0" xfId="0" applyAlignment="1" applyBorder="1" applyFont="1">
      <alignment horizontal="center" shrinkToFit="0" vertical="center" wrapText="1"/>
    </xf>
    <xf borderId="45" fillId="4" fontId="1" numFmtId="0" xfId="0" applyBorder="1" applyFont="1"/>
    <xf borderId="56" fillId="4" fontId="6" numFmtId="0" xfId="0" applyAlignment="1" applyBorder="1" applyFont="1">
      <alignment horizontal="center" readingOrder="0"/>
    </xf>
    <xf borderId="24" fillId="4" fontId="1" numFmtId="0" xfId="0" applyBorder="1" applyFont="1"/>
    <xf borderId="25" fillId="6" fontId="6" numFmtId="3" xfId="0" applyAlignment="1" applyBorder="1" applyFont="1" applyNumberFormat="1">
      <alignment horizontal="center" readingOrder="0"/>
    </xf>
    <xf borderId="67" fillId="0" fontId="1" numFmtId="0" xfId="0" applyBorder="1" applyFont="1"/>
    <xf borderId="12" fillId="0" fontId="1" numFmtId="0" xfId="0" applyBorder="1" applyFont="1"/>
    <xf borderId="27" fillId="0" fontId="1" numFmtId="0" xfId="0" applyBorder="1" applyFont="1"/>
    <xf borderId="0" fillId="2" fontId="10" numFmtId="0" xfId="0" applyAlignment="1" applyFont="1">
      <alignment horizontal="center" shrinkToFit="0" vertical="center" wrapText="1"/>
    </xf>
    <xf borderId="45" fillId="2" fontId="1" numFmtId="0" xfId="0" applyBorder="1" applyFont="1"/>
    <xf borderId="47" fillId="0" fontId="1" numFmtId="0" xfId="0" applyBorder="1" applyFont="1"/>
    <xf borderId="59" fillId="9" fontId="10" numFmtId="0" xfId="0" applyAlignment="1" applyBorder="1" applyFont="1">
      <alignment horizontal="center" readingOrder="0" vertical="center"/>
    </xf>
    <xf borderId="0" fillId="4" fontId="10" numFmtId="0" xfId="0" applyAlignment="1" applyFont="1">
      <alignment horizontal="center" shrinkToFit="0" vertical="center" wrapText="1"/>
    </xf>
    <xf borderId="53" fillId="2" fontId="10" numFmtId="0" xfId="0" applyAlignment="1" applyBorder="1" applyFont="1">
      <alignment horizontal="center" shrinkToFit="0" vertical="center" wrapText="1"/>
    </xf>
    <xf borderId="70" fillId="2" fontId="1" numFmtId="0" xfId="0" applyBorder="1" applyFont="1"/>
    <xf borderId="48" fillId="2" fontId="1" numFmtId="0" xfId="0" applyBorder="1" applyFont="1"/>
    <xf borderId="59" fillId="10" fontId="19" numFmtId="0" xfId="0" applyAlignment="1" applyBorder="1" applyFont="1">
      <alignment horizontal="center" readingOrder="0" vertical="center"/>
    </xf>
    <xf borderId="59" fillId="4" fontId="10" numFmtId="0" xfId="0" applyAlignment="1" applyBorder="1" applyFont="1">
      <alignment horizontal="center" shrinkToFit="0" vertical="center" wrapText="1"/>
    </xf>
    <xf borderId="11" fillId="4" fontId="1" numFmtId="0" xfId="0" applyBorder="1" applyFont="1"/>
    <xf borderId="12" fillId="2" fontId="10" numFmtId="0" xfId="0" applyAlignment="1" applyBorder="1" applyFont="1">
      <alignment horizontal="center" shrinkToFit="0" vertical="center" wrapText="1"/>
    </xf>
    <xf borderId="12" fillId="4" fontId="10" numFmtId="0" xfId="0" applyAlignment="1" applyBorder="1" applyFont="1">
      <alignment horizontal="center" readingOrder="0" shrinkToFit="0" vertical="center" wrapText="1"/>
    </xf>
    <xf borderId="49" fillId="0" fontId="1" numFmtId="0" xfId="0" applyBorder="1" applyFont="1"/>
    <xf borderId="35" fillId="0" fontId="1" numFmtId="0" xfId="0" applyBorder="1" applyFont="1"/>
    <xf borderId="61" fillId="0" fontId="1" numFmtId="0" xfId="0" applyBorder="1" applyFont="1"/>
    <xf borderId="29" fillId="0" fontId="1" numFmtId="0" xfId="0" applyBorder="1" applyFont="1"/>
    <xf borderId="61" fillId="2" fontId="10" numFmtId="0" xfId="0" applyAlignment="1" applyBorder="1" applyFont="1">
      <alignment horizontal="center" shrinkToFit="0" vertical="center" wrapText="1"/>
    </xf>
    <xf borderId="52" fillId="2" fontId="1" numFmtId="0" xfId="0" applyBorder="1" applyFont="1"/>
    <xf borderId="50" fillId="2" fontId="1" numFmtId="0" xfId="0" applyBorder="1" applyFont="1"/>
    <xf borderId="9" fillId="11" fontId="6" numFmtId="0" xfId="0" applyAlignment="1" applyBorder="1" applyFill="1" applyFont="1">
      <alignment horizontal="center" readingOrder="0"/>
    </xf>
    <xf borderId="9" fillId="12" fontId="6" numFmtId="0" xfId="0" applyAlignment="1" applyBorder="1" applyFill="1" applyFont="1">
      <alignment horizontal="center" readingOrder="0"/>
    </xf>
    <xf borderId="20" fillId="13" fontId="6" numFmtId="0" xfId="0" applyAlignment="1" applyBorder="1" applyFill="1" applyFont="1">
      <alignment horizontal="center" readingOrder="0"/>
    </xf>
    <xf borderId="22" fillId="0" fontId="1" numFmtId="0" xfId="0" applyAlignment="1" applyBorder="1" applyFont="1">
      <alignment horizontal="center" readingOrder="0"/>
    </xf>
    <xf borderId="1" fillId="0" fontId="1" numFmtId="9" xfId="0" applyAlignment="1" applyBorder="1" applyFont="1" applyNumberFormat="1">
      <alignment horizontal="center" readingOrder="0"/>
    </xf>
    <xf borderId="23" fillId="0" fontId="1" numFmtId="9" xfId="0" applyAlignment="1" applyBorder="1" applyFont="1" applyNumberFormat="1">
      <alignment horizontal="center" readingOrder="0"/>
    </xf>
    <xf borderId="34" fillId="0" fontId="1" numFmtId="0" xfId="0" applyAlignment="1" applyBorder="1" applyFont="1">
      <alignment horizontal="center" readingOrder="0"/>
    </xf>
    <xf borderId="7" fillId="0" fontId="1" numFmtId="9" xfId="0" applyAlignment="1" applyBorder="1" applyFont="1" applyNumberFormat="1">
      <alignment horizontal="center" readingOrder="0"/>
    </xf>
    <xf borderId="25" fillId="0" fontId="1" numFmtId="9" xfId="0" applyAlignment="1" applyBorder="1" applyFont="1" applyNumberFormat="1">
      <alignment horizontal="center" readingOrder="0"/>
    </xf>
    <xf borderId="68" fillId="0" fontId="6" numFmtId="0" xfId="0" applyAlignment="1" applyBorder="1" applyFont="1">
      <alignment horizontal="center" readingOrder="0"/>
    </xf>
    <xf borderId="63" fillId="0" fontId="1" numFmtId="3" xfId="0" applyAlignment="1" applyBorder="1" applyFont="1" applyNumberFormat="1">
      <alignment horizontal="center" readingOrder="0"/>
    </xf>
    <xf borderId="64" fillId="0" fontId="1" numFmtId="0" xfId="0" applyBorder="1" applyFont="1"/>
    <xf borderId="0" fillId="0" fontId="1" numFmtId="0" xfId="0" applyFont="1"/>
    <xf borderId="21" fillId="0" fontId="6" numFmtId="0" xfId="0" applyAlignment="1" applyBorder="1" applyFont="1">
      <alignment horizontal="center" readingOrder="0"/>
    </xf>
    <xf borderId="36" fillId="0" fontId="6" numFmtId="3" xfId="0" applyAlignment="1" applyBorder="1" applyFont="1" applyNumberFormat="1">
      <alignment horizontal="center" readingOrder="0"/>
    </xf>
    <xf borderId="16" fillId="5" fontId="12" numFmtId="0" xfId="0" applyAlignment="1" applyBorder="1" applyFont="1">
      <alignment horizontal="center" readingOrder="0"/>
    </xf>
    <xf borderId="0" fillId="3" fontId="6" numFmtId="3" xfId="0" applyAlignment="1" applyFont="1" applyNumberFormat="1">
      <alignment horizontal="center" readingOrder="0"/>
    </xf>
    <xf borderId="65" fillId="3" fontId="6" numFmtId="0" xfId="0" applyAlignment="1" applyBorder="1" applyFont="1">
      <alignment horizontal="center" readingOrder="0"/>
    </xf>
    <xf borderId="66" fillId="3" fontId="6" numFmtId="0" xfId="0" applyAlignment="1" applyBorder="1" applyFont="1">
      <alignment horizontal="center" readingOrder="0"/>
    </xf>
    <xf borderId="66" fillId="3" fontId="6" numFmtId="3" xfId="0" applyAlignment="1" applyBorder="1" applyFont="1" applyNumberFormat="1">
      <alignment horizontal="center" readingOrder="0"/>
    </xf>
    <xf borderId="32" fillId="3" fontId="6" numFmtId="0" xfId="0" applyAlignment="1" applyBorder="1" applyFont="1">
      <alignment horizontal="center" readingOrder="0"/>
    </xf>
    <xf borderId="47" fillId="2" fontId="6" numFmtId="169" xfId="0" applyAlignment="1" applyBorder="1" applyFont="1" applyNumberFormat="1">
      <alignment horizontal="center" readingOrder="0"/>
    </xf>
    <xf borderId="5" fillId="2" fontId="6" numFmtId="0" xfId="0" applyAlignment="1" applyBorder="1" applyFont="1">
      <alignment horizontal="center" readingOrder="0"/>
    </xf>
    <xf borderId="5" fillId="2" fontId="1" numFmtId="3" xfId="0" applyAlignment="1" applyBorder="1" applyFont="1" applyNumberFormat="1">
      <alignment horizontal="center" readingOrder="0"/>
    </xf>
    <xf borderId="5" fillId="2" fontId="1" numFmtId="4" xfId="0" applyAlignment="1" applyBorder="1" applyFont="1" applyNumberFormat="1">
      <alignment horizontal="center" readingOrder="0"/>
    </xf>
    <xf borderId="5" fillId="2" fontId="1" numFmtId="0" xfId="0" applyAlignment="1" applyBorder="1" applyFont="1">
      <alignment horizontal="center" readingOrder="0"/>
    </xf>
    <xf borderId="53" fillId="2" fontId="1" numFmtId="0" xfId="0" applyAlignment="1" applyBorder="1" applyFont="1">
      <alignment horizontal="center" readingOrder="0"/>
    </xf>
    <xf borderId="31" fillId="2" fontId="1" numFmtId="2" xfId="0" applyAlignment="1" applyBorder="1" applyFont="1" applyNumberFormat="1">
      <alignment horizontal="center" readingOrder="0"/>
    </xf>
    <xf borderId="22" fillId="4" fontId="6" numFmtId="169" xfId="0" applyAlignment="1" applyBorder="1" applyFont="1" applyNumberFormat="1">
      <alignment horizontal="center" readingOrder="0"/>
    </xf>
    <xf borderId="1" fillId="4" fontId="6" numFmtId="0" xfId="0" applyAlignment="1" applyBorder="1" applyFont="1">
      <alignment horizontal="center" readingOrder="0"/>
    </xf>
    <xf borderId="1" fillId="4" fontId="1" numFmtId="3" xfId="0" applyAlignment="1" applyBorder="1" applyFont="1" applyNumberFormat="1">
      <alignment horizontal="center" readingOrder="0"/>
    </xf>
    <xf borderId="5" fillId="4" fontId="1" numFmtId="3" xfId="0" applyAlignment="1" applyBorder="1" applyFont="1" applyNumberFormat="1">
      <alignment horizontal="center" readingOrder="0"/>
    </xf>
    <xf borderId="1" fillId="4" fontId="1" numFmtId="4" xfId="0" applyAlignment="1" applyBorder="1" applyFont="1" applyNumberFormat="1">
      <alignment horizontal="center" readingOrder="0"/>
    </xf>
    <xf borderId="1" fillId="4" fontId="1" numFmtId="0" xfId="0" applyAlignment="1" applyBorder="1" applyFont="1">
      <alignment horizontal="center" readingOrder="0"/>
    </xf>
    <xf borderId="2" fillId="4" fontId="1" numFmtId="0" xfId="0" applyAlignment="1" applyBorder="1" applyFont="1">
      <alignment horizontal="center" readingOrder="0"/>
    </xf>
    <xf borderId="23" fillId="4" fontId="1" numFmtId="2" xfId="0" applyAlignment="1" applyBorder="1" applyFont="1" applyNumberFormat="1">
      <alignment horizontal="center" readingOrder="0"/>
    </xf>
    <xf borderId="22" fillId="2" fontId="6" numFmtId="169" xfId="0" applyAlignment="1" applyBorder="1" applyFont="1" applyNumberFormat="1">
      <alignment horizontal="center" readingOrder="0"/>
    </xf>
    <xf borderId="1" fillId="2" fontId="6" numFmtId="0" xfId="0" applyAlignment="1" applyBorder="1" applyFont="1">
      <alignment horizontal="center" readingOrder="0"/>
    </xf>
    <xf borderId="1" fillId="2" fontId="1" numFmtId="4" xfId="0" applyAlignment="1" applyBorder="1" applyFont="1" applyNumberFormat="1">
      <alignment horizontal="center" readingOrder="0"/>
    </xf>
    <xf borderId="2" fillId="2" fontId="1" numFmtId="0" xfId="0" applyAlignment="1" applyBorder="1" applyFont="1">
      <alignment horizontal="center" readingOrder="0"/>
    </xf>
    <xf borderId="23" fillId="2" fontId="1" numFmtId="2" xfId="0" applyAlignment="1" applyBorder="1" applyFont="1" applyNumberFormat="1">
      <alignment horizontal="center" readingOrder="0"/>
    </xf>
    <xf borderId="1" fillId="4" fontId="9" numFmtId="0" xfId="0" applyAlignment="1" applyBorder="1" applyFont="1">
      <alignment horizontal="center" readingOrder="0"/>
    </xf>
    <xf borderId="1" fillId="4" fontId="20" numFmtId="0" xfId="0" applyAlignment="1" applyBorder="1" applyFont="1">
      <alignment horizontal="center" readingOrder="0"/>
    </xf>
    <xf borderId="1" fillId="2" fontId="9" numFmtId="0" xfId="0" applyAlignment="1" applyBorder="1" applyFont="1">
      <alignment horizontal="center" readingOrder="0"/>
    </xf>
    <xf borderId="34" fillId="4" fontId="6" numFmtId="169" xfId="0" applyAlignment="1" applyBorder="1" applyFont="1" applyNumberFormat="1">
      <alignment horizontal="center" readingOrder="0"/>
    </xf>
    <xf borderId="7" fillId="4" fontId="9" numFmtId="0" xfId="0" applyAlignment="1" applyBorder="1" applyFont="1">
      <alignment horizontal="center" readingOrder="0"/>
    </xf>
    <xf borderId="7" fillId="4" fontId="1" numFmtId="3" xfId="0" applyAlignment="1" applyBorder="1" applyFont="1" applyNumberFormat="1">
      <alignment horizontal="center" readingOrder="0"/>
    </xf>
    <xf borderId="7" fillId="4" fontId="1" numFmtId="4" xfId="0" applyAlignment="1" applyBorder="1" applyFont="1" applyNumberFormat="1">
      <alignment horizontal="center" readingOrder="0"/>
    </xf>
    <xf borderId="7" fillId="4" fontId="1" numFmtId="0" xfId="0" applyAlignment="1" applyBorder="1" applyFont="1">
      <alignment horizontal="center" readingOrder="0"/>
    </xf>
    <xf borderId="63" fillId="4" fontId="1" numFmtId="0" xfId="0" applyAlignment="1" applyBorder="1" applyFont="1">
      <alignment horizontal="center" readingOrder="0"/>
    </xf>
    <xf borderId="25" fillId="4" fontId="1" numFmtId="2" xfId="0" applyAlignment="1" applyBorder="1" applyFont="1" applyNumberFormat="1">
      <alignment horizontal="center" readingOrder="0"/>
    </xf>
    <xf borderId="0" fillId="0" fontId="6" numFmtId="0" xfId="0" applyAlignment="1" applyFont="1">
      <alignment horizontal="center" readingOrder="0"/>
    </xf>
    <xf borderId="0" fillId="0" fontId="9" numFmtId="0" xfId="0" applyAlignment="1" applyFont="1">
      <alignment horizontal="center" readingOrder="0"/>
    </xf>
    <xf borderId="0" fillId="0" fontId="1" numFmtId="0" xfId="0" applyAlignment="1" applyFont="1">
      <alignment horizontal="center" readingOrder="0"/>
    </xf>
    <xf borderId="16" fillId="5" fontId="6" numFmtId="0" xfId="0" applyAlignment="1" applyBorder="1" applyFont="1">
      <alignment horizontal="center" readingOrder="0"/>
    </xf>
    <xf borderId="13" fillId="0" fontId="6" numFmtId="3" xfId="0" applyAlignment="1" applyBorder="1" applyFont="1" applyNumberFormat="1">
      <alignment horizontal="center" readingOrder="0"/>
    </xf>
    <xf borderId="19" fillId="2" fontId="6" numFmtId="169" xfId="0" applyAlignment="1" applyBorder="1" applyFont="1" applyNumberFormat="1">
      <alignment horizontal="center" readingOrder="0"/>
    </xf>
    <xf borderId="9" fillId="2" fontId="1" numFmtId="3" xfId="0" applyAlignment="1" applyBorder="1" applyFont="1" applyNumberFormat="1">
      <alignment horizontal="center" readingOrder="0"/>
    </xf>
    <xf borderId="9" fillId="2" fontId="1" numFmtId="4" xfId="0" applyAlignment="1" applyBorder="1" applyFont="1" applyNumberFormat="1">
      <alignment horizontal="center" readingOrder="0"/>
    </xf>
    <xf borderId="9" fillId="2" fontId="1" numFmtId="0" xfId="0" applyAlignment="1" applyBorder="1" applyFont="1">
      <alignment horizontal="center" readingOrder="0"/>
    </xf>
    <xf borderId="68" fillId="2" fontId="1" numFmtId="0" xfId="0" applyAlignment="1" applyBorder="1" applyFont="1">
      <alignment horizontal="center" readingOrder="0"/>
    </xf>
    <xf borderId="9" fillId="2" fontId="1" numFmtId="2" xfId="0" applyAlignment="1" applyBorder="1" applyFont="1" applyNumberFormat="1">
      <alignment horizontal="center" readingOrder="0"/>
    </xf>
    <xf borderId="20" fillId="2" fontId="1" numFmtId="0" xfId="0" applyAlignment="1" applyBorder="1" applyFont="1">
      <alignment horizontal="center" readingOrder="0"/>
    </xf>
    <xf borderId="1" fillId="4" fontId="1" numFmtId="2" xfId="0" applyAlignment="1" applyBorder="1" applyFont="1" applyNumberFormat="1">
      <alignment horizontal="center" readingOrder="0"/>
    </xf>
    <xf borderId="23" fillId="4" fontId="1" numFmtId="0" xfId="0" applyAlignment="1" applyBorder="1" applyFont="1">
      <alignment horizontal="center" readingOrder="0"/>
    </xf>
    <xf borderId="1" fillId="2" fontId="1" numFmtId="2" xfId="0" applyAlignment="1" applyBorder="1" applyFont="1" applyNumberFormat="1">
      <alignment horizontal="center" readingOrder="0"/>
    </xf>
    <xf borderId="23" fillId="2" fontId="1" numFmtId="0" xfId="0" applyAlignment="1" applyBorder="1" applyFont="1">
      <alignment horizontal="center" readingOrder="0"/>
    </xf>
    <xf borderId="8" fillId="4" fontId="1" numFmtId="3" xfId="0" applyAlignment="1" applyBorder="1" applyFont="1" applyNumberFormat="1">
      <alignment horizontal="center" readingOrder="0"/>
    </xf>
    <xf borderId="7" fillId="4" fontId="1" numFmtId="2" xfId="0" applyAlignment="1" applyBorder="1" applyFont="1" applyNumberFormat="1">
      <alignment horizontal="center" readingOrder="0"/>
    </xf>
    <xf borderId="25" fillId="4" fontId="1" numFmtId="0" xfId="0" applyAlignment="1" applyBorder="1" applyFont="1">
      <alignment horizontal="center" readingOrder="0"/>
    </xf>
    <xf borderId="37" fillId="2" fontId="1" numFmtId="0" xfId="0" applyBorder="1" applyFont="1"/>
    <xf borderId="38" fillId="2" fontId="6" numFmtId="0" xfId="0" applyAlignment="1" applyBorder="1" applyFont="1">
      <alignment horizontal="center" readingOrder="0"/>
    </xf>
    <xf borderId="21" fillId="3" fontId="1" numFmtId="0" xfId="0" applyBorder="1" applyFont="1"/>
    <xf borderId="39" fillId="3" fontId="1" numFmtId="0" xfId="0" applyBorder="1" applyFont="1"/>
    <xf borderId="15" fillId="0" fontId="6" numFmtId="3" xfId="0" applyAlignment="1" applyBorder="1" applyFont="1" applyNumberFormat="1">
      <alignment horizontal="center" readingOrder="0"/>
    </xf>
    <xf borderId="71" fillId="0" fontId="6" numFmtId="3" xfId="0" applyAlignment="1" applyBorder="1" applyFont="1" applyNumberFormat="1">
      <alignment horizontal="center" readingOrder="0"/>
    </xf>
    <xf borderId="13" fillId="0" fontId="6" numFmtId="0" xfId="0" applyAlignment="1" applyBorder="1" applyFont="1">
      <alignment horizontal="center" readingOrder="0"/>
    </xf>
    <xf borderId="15" fillId="0" fontId="6" numFmtId="0" xfId="0" applyAlignment="1" applyBorder="1" applyFont="1">
      <alignment horizontal="center" readingOrder="0"/>
    </xf>
    <xf borderId="16" fillId="0" fontId="6" numFmtId="0" xfId="0" applyAlignment="1" applyBorder="1" applyFont="1">
      <alignment horizontal="center" readingOrder="0"/>
    </xf>
    <xf borderId="19" fillId="0" fontId="6" numFmtId="3" xfId="0" applyAlignment="1" applyBorder="1" applyFont="1" applyNumberFormat="1">
      <alignment horizontal="center" readingOrder="0"/>
    </xf>
    <xf borderId="9" fillId="0" fontId="1" numFmtId="165" xfId="0" applyAlignment="1" applyBorder="1" applyFont="1" applyNumberFormat="1">
      <alignment horizontal="center" readingOrder="0"/>
    </xf>
    <xf borderId="9" fillId="0" fontId="6" numFmtId="3" xfId="0" applyAlignment="1" applyBorder="1" applyFont="1" applyNumberFormat="1">
      <alignment horizontal="center" readingOrder="0"/>
    </xf>
    <xf borderId="68" fillId="0" fontId="1" numFmtId="3" xfId="0" applyAlignment="1" applyBorder="1" applyFont="1" applyNumberFormat="1">
      <alignment horizontal="center" readingOrder="0"/>
    </xf>
    <xf borderId="20" fillId="0" fontId="1" numFmtId="165" xfId="0" applyAlignment="1" applyBorder="1" applyFont="1" applyNumberFormat="1">
      <alignment horizontal="center" readingOrder="0"/>
    </xf>
    <xf borderId="19" fillId="0" fontId="6" numFmtId="0" xfId="0" applyAlignment="1" applyBorder="1" applyFont="1">
      <alignment horizontal="center" readingOrder="0"/>
    </xf>
    <xf borderId="9" fillId="0" fontId="1" numFmtId="0" xfId="0" applyAlignment="1" applyBorder="1" applyFont="1">
      <alignment horizontal="center" readingOrder="0"/>
    </xf>
    <xf borderId="20" fillId="0" fontId="1" numFmtId="3" xfId="0" applyAlignment="1" applyBorder="1" applyFont="1" applyNumberFormat="1">
      <alignment horizontal="center"/>
    </xf>
    <xf borderId="22" fillId="0" fontId="6" numFmtId="3" xfId="0" applyAlignment="1" applyBorder="1" applyFont="1" applyNumberFormat="1">
      <alignment horizontal="center" readingOrder="0"/>
    </xf>
    <xf borderId="23" fillId="0" fontId="1" numFmtId="165" xfId="0" applyAlignment="1" applyBorder="1" applyFont="1" applyNumberFormat="1">
      <alignment horizontal="center" readingOrder="0"/>
    </xf>
    <xf borderId="22" fillId="0" fontId="6" numFmtId="3" xfId="0" applyAlignment="1" applyBorder="1" applyFont="1" applyNumberFormat="1">
      <alignment horizontal="center" readingOrder="0"/>
    </xf>
    <xf borderId="1" fillId="0" fontId="1" numFmtId="3" xfId="0" applyAlignment="1" applyBorder="1" applyFont="1" applyNumberFormat="1">
      <alignment horizontal="center"/>
    </xf>
    <xf borderId="23" fillId="0" fontId="1" numFmtId="3" xfId="0" applyAlignment="1" applyBorder="1" applyFont="1" applyNumberFormat="1">
      <alignment horizontal="center"/>
    </xf>
    <xf borderId="7" fillId="0" fontId="1" numFmtId="3" xfId="0" applyAlignment="1" applyBorder="1" applyFont="1" applyNumberFormat="1">
      <alignment horizontal="center"/>
    </xf>
    <xf borderId="25" fillId="0" fontId="1" numFmtId="3" xfId="0" applyAlignment="1" applyBorder="1" applyFont="1" applyNumberFormat="1">
      <alignment horizontal="center"/>
    </xf>
    <xf borderId="19" fillId="2" fontId="6" numFmtId="0" xfId="0" applyAlignment="1" applyBorder="1" applyFont="1">
      <alignment horizontal="center" readingOrder="0"/>
    </xf>
    <xf borderId="68" fillId="2" fontId="6" numFmtId="0" xfId="0" applyAlignment="1" applyBorder="1" applyFont="1">
      <alignment horizontal="center" readingOrder="0"/>
    </xf>
    <xf borderId="10" fillId="2" fontId="1" numFmtId="0" xfId="0" applyBorder="1" applyFont="1"/>
    <xf borderId="43" fillId="2" fontId="1" numFmtId="0" xfId="0" applyBorder="1" applyFont="1"/>
    <xf borderId="22" fillId="14" fontId="1" numFmtId="0" xfId="0" applyAlignment="1" applyBorder="1" applyFill="1" applyFont="1">
      <alignment horizontal="center" readingOrder="0"/>
    </xf>
    <xf borderId="2" fillId="14" fontId="1" numFmtId="3" xfId="0" applyAlignment="1" applyBorder="1" applyFont="1" applyNumberFormat="1">
      <alignment horizontal="center" readingOrder="0"/>
    </xf>
    <xf borderId="4" fillId="14" fontId="1" numFmtId="0" xfId="0" applyBorder="1" applyFont="1"/>
    <xf borderId="57" fillId="14" fontId="1" numFmtId="0" xfId="0" applyBorder="1" applyFont="1"/>
    <xf borderId="8" fillId="0" fontId="6" numFmtId="3" xfId="0" applyAlignment="1" applyBorder="1" applyFont="1" applyNumberFormat="1">
      <alignment horizontal="center" readingOrder="0"/>
    </xf>
    <xf borderId="22" fillId="2" fontId="1" numFmtId="0" xfId="0" applyAlignment="1" applyBorder="1" applyFont="1">
      <alignment horizontal="center" readingOrder="0"/>
    </xf>
    <xf borderId="2" fillId="2" fontId="1" numFmtId="3" xfId="0" applyAlignment="1" applyBorder="1" applyFont="1" applyNumberFormat="1">
      <alignment horizontal="center" readingOrder="0"/>
    </xf>
    <xf borderId="5" fillId="0" fontId="6" numFmtId="3" xfId="0" applyAlignment="1" applyBorder="1" applyFont="1" applyNumberFormat="1">
      <alignment horizontal="center" readingOrder="0"/>
    </xf>
    <xf borderId="34" fillId="2" fontId="1" numFmtId="0" xfId="0" applyAlignment="1" applyBorder="1" applyFont="1">
      <alignment horizontal="center" readingOrder="0"/>
    </xf>
    <xf borderId="63" fillId="2" fontId="1" numFmtId="3" xfId="0" applyAlignment="1" applyBorder="1" applyFont="1" applyNumberFormat="1">
      <alignment horizontal="center" readingOrder="0"/>
    </xf>
    <xf borderId="64" fillId="2" fontId="1" numFmtId="0" xfId="0" applyBorder="1" applyFont="1"/>
    <xf borderId="44" fillId="0" fontId="1" numFmtId="3" xfId="0" applyAlignment="1" applyBorder="1" applyFont="1" applyNumberFormat="1">
      <alignment horizontal="center" readingOrder="0"/>
    </xf>
    <xf borderId="26" fillId="0" fontId="6" numFmtId="3" xfId="0" applyAlignment="1" applyBorder="1" applyFont="1" applyNumberFormat="1">
      <alignment horizontal="center" readingOrder="0"/>
    </xf>
    <xf borderId="33" fillId="0" fontId="6" numFmtId="3" xfId="0" applyAlignment="1" applyBorder="1" applyFont="1" applyNumberFormat="1">
      <alignment horizontal="center" readingOrder="0"/>
    </xf>
    <xf borderId="34" fillId="0" fontId="6" numFmtId="3" xfId="0" applyAlignment="1" applyBorder="1" applyFont="1" applyNumberFormat="1">
      <alignment horizontal="center" readingOrder="0"/>
    </xf>
    <xf borderId="7" fillId="0" fontId="1" numFmtId="165" xfId="0" applyAlignment="1" applyBorder="1" applyFont="1" applyNumberFormat="1">
      <alignment horizontal="center" readingOrder="0"/>
    </xf>
    <xf borderId="7" fillId="0" fontId="6" numFmtId="3" xfId="0" applyAlignment="1" applyBorder="1" applyFont="1" applyNumberFormat="1">
      <alignment horizontal="center" readingOrder="0"/>
    </xf>
    <xf borderId="25" fillId="0" fontId="1" numFmtId="165" xfId="0" applyAlignment="1" applyBorder="1" applyFont="1" applyNumberFormat="1">
      <alignment horizontal="center" readingOrder="0"/>
    </xf>
    <xf borderId="69" fillId="0" fontId="6" numFmtId="0" xfId="0" applyAlignment="1" applyBorder="1" applyFont="1">
      <alignment horizontal="center" readingOrder="0"/>
    </xf>
    <xf borderId="24" fillId="0" fontId="6" numFmtId="0" xfId="0" applyAlignment="1" applyBorder="1" applyFont="1">
      <alignment horizontal="center" readingOrder="0"/>
    </xf>
    <xf borderId="25" fillId="0" fontId="6" numFmtId="3" xfId="0" applyAlignment="1" applyBorder="1" applyFont="1" applyNumberFormat="1">
      <alignment horizontal="center" readingOrder="0"/>
    </xf>
    <xf borderId="34" fillId="0" fontId="6" numFmtId="3" xfId="0" applyAlignment="1" applyBorder="1" applyFont="1" applyNumberFormat="1">
      <alignment horizontal="center" readingOrder="0"/>
    </xf>
    <xf borderId="7" fillId="0" fontId="6" numFmtId="3" xfId="0" applyAlignment="1" applyBorder="1" applyFont="1" applyNumberFormat="1">
      <alignment horizontal="center" readingOrder="0"/>
    </xf>
    <xf borderId="24" fillId="0" fontId="6" numFmtId="3" xfId="0" applyAlignment="1" applyBorder="1" applyFont="1" applyNumberFormat="1">
      <alignment horizontal="center" readingOrder="0"/>
    </xf>
    <xf borderId="24" fillId="0" fontId="6" numFmtId="3" xfId="0" applyAlignment="1" applyBorder="1" applyFont="1" applyNumberFormat="1">
      <alignment horizontal="center" readingOrder="0" shrinkToFit="0" vertical="center" wrapText="1"/>
    </xf>
    <xf borderId="63" fillId="0" fontId="6" numFmtId="3" xfId="0" applyAlignment="1" applyBorder="1" applyFont="1" applyNumberFormat="1">
      <alignment horizontal="center" readingOrder="0"/>
    </xf>
    <xf borderId="64" fillId="0" fontId="6" numFmtId="3" xfId="0" applyAlignment="1" applyBorder="1" applyFont="1" applyNumberFormat="1">
      <alignment horizontal="center" readingOrder="0" shrinkToFit="0" vertical="center" wrapText="1"/>
    </xf>
    <xf borderId="33" fillId="0" fontId="6" numFmtId="3" xfId="0" applyAlignment="1" applyBorder="1" applyFont="1" applyNumberFormat="1">
      <alignment horizontal="center" readingOrder="0"/>
    </xf>
    <xf borderId="8" fillId="0" fontId="6" numFmtId="3" xfId="0" applyAlignment="1" applyBorder="1" applyFont="1" applyNumberFormat="1">
      <alignment horizontal="center" readingOrder="0"/>
    </xf>
    <xf borderId="8" fillId="0" fontId="6" numFmtId="3" xfId="0" applyAlignment="1" applyBorder="1" applyFont="1" applyNumberFormat="1">
      <alignment horizontal="center" readingOrder="0" shrinkToFit="0" vertical="center" wrapText="1"/>
    </xf>
    <xf borderId="59" fillId="0" fontId="6" numFmtId="3" xfId="0" applyAlignment="1" applyBorder="1" applyFont="1" applyNumberFormat="1">
      <alignment horizontal="center" readingOrder="0" shrinkToFit="0" vertical="center" wrapText="1"/>
    </xf>
    <xf borderId="18" fillId="0" fontId="6" numFmtId="3" xfId="0" applyAlignment="1" applyBorder="1" applyFont="1" applyNumberFormat="1">
      <alignment horizontal="center" readingOrder="0" shrinkToFit="0" vertical="center" wrapText="1"/>
    </xf>
    <xf borderId="6" fillId="0" fontId="6" numFmtId="3" xfId="0" applyAlignment="1" applyBorder="1" applyFont="1" applyNumberFormat="1">
      <alignment horizontal="center" readingOrder="0"/>
    </xf>
    <xf borderId="31" fillId="0" fontId="6" numFmtId="3" xfId="0" applyAlignment="1" applyBorder="1" applyFont="1" applyNumberFormat="1">
      <alignment horizontal="center" readingOrder="0"/>
    </xf>
    <xf borderId="19" fillId="0" fontId="6" numFmtId="3" xfId="0" applyAlignment="1" applyBorder="1" applyFont="1" applyNumberFormat="1">
      <alignment horizontal="center" readingOrder="0"/>
    </xf>
    <xf borderId="9" fillId="0" fontId="1" numFmtId="3" xfId="0" applyAlignment="1" applyBorder="1" applyFont="1" applyNumberFormat="1">
      <alignment horizontal="center" readingOrder="0"/>
    </xf>
    <xf borderId="9" fillId="0" fontId="1" numFmtId="10" xfId="0" applyAlignment="1" applyBorder="1" applyFont="1" applyNumberFormat="1">
      <alignment horizontal="center" readingOrder="0"/>
    </xf>
    <xf borderId="9" fillId="0" fontId="6" numFmtId="3" xfId="0" applyAlignment="1" applyBorder="1" applyFont="1" applyNumberFormat="1">
      <alignment horizontal="center" readingOrder="0"/>
    </xf>
    <xf borderId="5" fillId="0" fontId="1" numFmtId="3" xfId="0" applyAlignment="1" applyBorder="1" applyFont="1" applyNumberFormat="1">
      <alignment horizontal="center" readingOrder="0"/>
    </xf>
    <xf borderId="68" fillId="0" fontId="1" numFmtId="10" xfId="0" applyAlignment="1" applyBorder="1" applyFont="1" applyNumberFormat="1">
      <alignment horizontal="center" readingOrder="0"/>
    </xf>
    <xf borderId="20" fillId="0" fontId="1" numFmtId="10" xfId="0" applyAlignment="1" applyBorder="1" applyFont="1" applyNumberFormat="1">
      <alignment horizontal="center" readingOrder="0"/>
    </xf>
    <xf borderId="4" fillId="0" fontId="6" numFmtId="3" xfId="0" applyAlignment="1" applyBorder="1" applyFont="1" applyNumberFormat="1">
      <alignment horizontal="center" readingOrder="0"/>
    </xf>
    <xf borderId="23" fillId="0" fontId="6" numFmtId="3" xfId="0" applyAlignment="1" applyBorder="1" applyFont="1" applyNumberFormat="1">
      <alignment horizontal="center" readingOrder="0"/>
    </xf>
    <xf borderId="1" fillId="0" fontId="1" numFmtId="3" xfId="0" applyAlignment="1" applyBorder="1" applyFont="1" applyNumberFormat="1">
      <alignment horizontal="center" readingOrder="0"/>
    </xf>
    <xf borderId="1" fillId="0" fontId="1" numFmtId="10" xfId="0" applyAlignment="1" applyBorder="1" applyFont="1" applyNumberFormat="1">
      <alignment horizontal="center" readingOrder="0"/>
    </xf>
    <xf borderId="1" fillId="0" fontId="6" numFmtId="3" xfId="0" applyAlignment="1" applyBorder="1" applyFont="1" applyNumberFormat="1">
      <alignment horizontal="center" readingOrder="0"/>
    </xf>
    <xf borderId="2" fillId="0" fontId="1" numFmtId="10" xfId="0" applyAlignment="1" applyBorder="1" applyFont="1" applyNumberFormat="1">
      <alignment horizontal="center" readingOrder="0"/>
    </xf>
    <xf borderId="23" fillId="0" fontId="1" numFmtId="10" xfId="0" applyAlignment="1" applyBorder="1" applyFont="1" applyNumberFormat="1">
      <alignment horizontal="center" readingOrder="0"/>
    </xf>
    <xf borderId="17" fillId="0" fontId="6" numFmtId="3" xfId="0" applyAlignment="1" applyBorder="1" applyFont="1" applyNumberFormat="1">
      <alignment horizontal="center" readingOrder="0"/>
    </xf>
    <xf borderId="18" fillId="0" fontId="6" numFmtId="3" xfId="0" applyAlignment="1" applyBorder="1" applyFont="1" applyNumberFormat="1">
      <alignment horizontal="center" readingOrder="0"/>
    </xf>
    <xf borderId="0" fillId="2" fontId="1" numFmtId="0" xfId="0" applyAlignment="1" applyFont="1">
      <alignment horizontal="center"/>
    </xf>
    <xf borderId="25" fillId="3" fontId="17" numFmtId="3" xfId="0" applyAlignment="1" applyBorder="1" applyFont="1" applyNumberFormat="1">
      <alignment horizontal="center"/>
    </xf>
    <xf borderId="69" fillId="2" fontId="6" numFmtId="3" xfId="0" applyAlignment="1" applyBorder="1" applyFont="1" applyNumberFormat="1">
      <alignment horizontal="center" readingOrder="0"/>
    </xf>
    <xf borderId="24" fillId="3" fontId="6" numFmtId="3" xfId="0" applyAlignment="1" applyBorder="1" applyFont="1" applyNumberFormat="1">
      <alignment horizontal="center" readingOrder="0"/>
    </xf>
    <xf borderId="26" fillId="13" fontId="6" numFmtId="0" xfId="0" applyAlignment="1" applyBorder="1" applyFont="1">
      <alignment horizontal="center" readingOrder="0"/>
    </xf>
    <xf borderId="36" fillId="2" fontId="6" numFmtId="0" xfId="0" applyAlignment="1" applyBorder="1" applyFont="1">
      <alignment horizontal="center" readingOrder="0"/>
    </xf>
    <xf borderId="19" fillId="3" fontId="6" numFmtId="0" xfId="0" applyAlignment="1" applyBorder="1" applyFont="1">
      <alignment horizontal="center" readingOrder="0"/>
    </xf>
    <xf borderId="20" fillId="3" fontId="6" numFmtId="0" xfId="0" applyAlignment="1" applyBorder="1" applyFont="1">
      <alignment horizontal="center" readingOrder="0"/>
    </xf>
    <xf borderId="22" fillId="5" fontId="12" numFmtId="0" xfId="0" applyAlignment="1" applyBorder="1" applyFont="1">
      <alignment horizontal="center" readingOrder="0"/>
    </xf>
    <xf borderId="23" fillId="5" fontId="12" numFmtId="0" xfId="0" applyAlignment="1" applyBorder="1" applyFont="1">
      <alignment horizontal="center" readingOrder="0"/>
    </xf>
    <xf borderId="22" fillId="3" fontId="6" numFmtId="0" xfId="0" applyAlignment="1" applyBorder="1" applyFont="1">
      <alignment horizontal="center" readingOrder="0"/>
    </xf>
    <xf borderId="23" fillId="3" fontId="6" numFmtId="0" xfId="0" applyAlignment="1" applyBorder="1" applyFont="1">
      <alignment horizontal="center" readingOrder="0"/>
    </xf>
    <xf borderId="34" fillId="6" fontId="6" numFmtId="3" xfId="0" applyAlignment="1" applyBorder="1" applyFont="1" applyNumberFormat="1">
      <alignment horizontal="center"/>
    </xf>
    <xf borderId="25" fillId="6" fontId="6" numFmtId="3" xfId="0" applyAlignment="1" applyBorder="1" applyFont="1" applyNumberFormat="1">
      <alignment horizontal="center"/>
    </xf>
    <xf borderId="44" fillId="0" fontId="6" numFmtId="0" xfId="0" applyAlignment="1" applyBorder="1" applyFont="1">
      <alignment horizontal="center" readingOrder="0"/>
    </xf>
    <xf borderId="23" fillId="5" fontId="6" numFmtId="0" xfId="0" applyAlignment="1" applyBorder="1" applyFont="1">
      <alignment horizontal="center" readingOrder="0"/>
    </xf>
    <xf borderId="34" fillId="6" fontId="6" numFmtId="0" xfId="0" applyAlignment="1" applyBorder="1" applyFont="1">
      <alignment horizontal="center"/>
    </xf>
    <xf borderId="44" fillId="2" fontId="6" numFmtId="0" xfId="0" applyAlignment="1" applyBorder="1" applyFont="1">
      <alignment horizontal="center" readingOrder="0"/>
    </xf>
    <xf borderId="56" fillId="3" fontId="6" numFmtId="0" xfId="0" applyAlignment="1" applyBorder="1" applyFont="1">
      <alignment horizontal="center" readingOrder="0"/>
    </xf>
    <xf borderId="24" fillId="0" fontId="1" numFmtId="0" xfId="0" applyBorder="1" applyFont="1"/>
    <xf borderId="7" fillId="3" fontId="6" numFmtId="3" xfId="0" applyAlignment="1" applyBorder="1" applyFont="1" applyNumberFormat="1">
      <alignment horizontal="center"/>
    </xf>
    <xf borderId="63" fillId="3" fontId="6" numFmtId="0" xfId="0" applyAlignment="1" applyBorder="1" applyFont="1">
      <alignment horizontal="center" readingOrder="0"/>
    </xf>
    <xf borderId="63" fillId="3" fontId="6" numFmtId="3" xfId="0" applyAlignment="1" applyBorder="1" applyFont="1" applyNumberFormat="1">
      <alignment horizontal="center"/>
    </xf>
    <xf borderId="7" fillId="3" fontId="6" numFmtId="3" xfId="0" applyAlignment="1" applyBorder="1" applyFont="1" applyNumberFormat="1">
      <alignment horizontal="center" readingOrder="0"/>
    </xf>
    <xf borderId="72" fillId="3" fontId="12" numFmtId="0" xfId="0" applyAlignment="1" applyBorder="1" applyFont="1">
      <alignment horizontal="center" vertical="bottom"/>
    </xf>
    <xf borderId="73" fillId="3" fontId="6" numFmtId="0" xfId="0" applyAlignment="1" applyBorder="1" applyFont="1">
      <alignment horizontal="center" readingOrder="0"/>
    </xf>
    <xf borderId="19" fillId="2" fontId="11" numFmtId="0" xfId="0" applyAlignment="1" applyBorder="1" applyFont="1">
      <alignment horizontal="center" readingOrder="0" vertical="bottom"/>
    </xf>
    <xf borderId="9" fillId="2" fontId="11" numFmtId="0" xfId="0" applyAlignment="1" applyBorder="1" applyFont="1">
      <alignment horizontal="center" readingOrder="0" vertical="bottom"/>
    </xf>
    <xf borderId="20" fillId="2" fontId="11" numFmtId="0" xfId="0" applyAlignment="1" applyBorder="1" applyFont="1">
      <alignment horizontal="center" readingOrder="0" vertical="bottom"/>
    </xf>
    <xf borderId="22" fillId="4" fontId="11" numFmtId="0" xfId="0" applyAlignment="1" applyBorder="1" applyFont="1">
      <alignment horizontal="center" readingOrder="0" vertical="bottom"/>
    </xf>
    <xf borderId="1" fillId="4" fontId="11" numFmtId="0" xfId="0" applyAlignment="1" applyBorder="1" applyFont="1">
      <alignment horizontal="center" readingOrder="0" vertical="bottom"/>
    </xf>
    <xf borderId="23" fillId="4" fontId="11" numFmtId="0" xfId="0" applyAlignment="1" applyBorder="1" applyFont="1">
      <alignment horizontal="center" readingOrder="0" vertical="bottom"/>
    </xf>
    <xf borderId="22" fillId="2" fontId="11" numFmtId="0" xfId="0" applyAlignment="1" applyBorder="1" applyFont="1">
      <alignment horizontal="center" readingOrder="0" vertical="bottom"/>
    </xf>
    <xf borderId="1" fillId="2" fontId="11" numFmtId="0" xfId="0" applyAlignment="1" applyBorder="1" applyFont="1">
      <alignment horizontal="center" readingOrder="0" vertical="bottom"/>
    </xf>
    <xf borderId="23" fillId="2" fontId="11" numFmtId="0" xfId="0" applyAlignment="1" applyBorder="1" applyFont="1">
      <alignment horizontal="center" readingOrder="0" vertical="bottom"/>
    </xf>
    <xf borderId="22" fillId="4" fontId="12" numFmtId="0" xfId="0" applyAlignment="1" applyBorder="1" applyFont="1">
      <alignment horizontal="center" readingOrder="0" vertical="bottom"/>
    </xf>
    <xf borderId="1" fillId="4" fontId="12" numFmtId="0" xfId="0" applyAlignment="1" applyBorder="1" applyFont="1">
      <alignment horizontal="center" readingOrder="0" vertical="bottom"/>
    </xf>
    <xf borderId="23" fillId="4" fontId="12" numFmtId="0" xfId="0" applyAlignment="1" applyBorder="1" applyFont="1">
      <alignment horizontal="center" readingOrder="0" vertical="bottom"/>
    </xf>
    <xf borderId="22" fillId="2" fontId="12" numFmtId="0" xfId="0" applyAlignment="1" applyBorder="1" applyFont="1">
      <alignment horizontal="center" readingOrder="0" vertical="bottom"/>
    </xf>
    <xf borderId="1" fillId="2" fontId="12" numFmtId="0" xfId="0" applyAlignment="1" applyBorder="1" applyFont="1">
      <alignment horizontal="center" readingOrder="0" vertical="bottom"/>
    </xf>
    <xf borderId="23" fillId="2" fontId="12" numFmtId="0" xfId="0" applyAlignment="1" applyBorder="1" applyFont="1">
      <alignment horizontal="center" readingOrder="0" vertical="bottom"/>
    </xf>
    <xf borderId="22" fillId="2" fontId="12" numFmtId="0" xfId="0" applyAlignment="1" applyBorder="1" applyFont="1">
      <alignment horizontal="center" vertical="bottom"/>
    </xf>
    <xf borderId="22" fillId="4" fontId="12" numFmtId="0" xfId="0" applyAlignment="1" applyBorder="1" applyFont="1">
      <alignment horizontal="center" vertical="bottom"/>
    </xf>
    <xf borderId="22" fillId="4" fontId="11" numFmtId="0" xfId="0" applyAlignment="1" applyBorder="1" applyFont="1">
      <alignment horizontal="center" vertical="bottom"/>
    </xf>
    <xf borderId="22" fillId="2" fontId="11" numFmtId="0" xfId="0" applyAlignment="1" applyBorder="1" applyFont="1">
      <alignment horizontal="center" vertical="bottom"/>
    </xf>
    <xf borderId="22" fillId="4" fontId="9" numFmtId="0" xfId="0" applyAlignment="1" applyBorder="1" applyFont="1">
      <alignment horizontal="center" readingOrder="0"/>
    </xf>
    <xf borderId="8" fillId="4" fontId="11" numFmtId="0" xfId="0" applyAlignment="1" applyBorder="1" applyFont="1">
      <alignment horizontal="center" readingOrder="0" vertical="bottom"/>
    </xf>
    <xf borderId="18" fillId="4" fontId="11" numFmtId="0" xfId="0" applyAlignment="1" applyBorder="1" applyFont="1">
      <alignment horizontal="center" readingOrder="0" vertical="bottom"/>
    </xf>
    <xf borderId="33" fillId="2" fontId="11" numFmtId="0" xfId="0" applyAlignment="1" applyBorder="1" applyFont="1">
      <alignment horizontal="center" readingOrder="0" vertical="bottom"/>
    </xf>
    <xf borderId="8" fillId="2" fontId="11" numFmtId="0" xfId="0" applyAlignment="1" applyBorder="1" applyFont="1">
      <alignment horizontal="center" readingOrder="0" vertical="bottom"/>
    </xf>
    <xf borderId="18" fillId="2" fontId="11" numFmtId="0" xfId="0" applyAlignment="1" applyBorder="1" applyFont="1">
      <alignment horizontal="center" readingOrder="0" vertical="bottom"/>
    </xf>
    <xf borderId="33" fillId="4" fontId="11" numFmtId="0" xfId="0" applyAlignment="1" applyBorder="1" applyFont="1">
      <alignment horizontal="center" readingOrder="0" vertical="bottom"/>
    </xf>
    <xf borderId="33" fillId="2" fontId="12" numFmtId="0" xfId="0" applyAlignment="1" applyBorder="1" applyFont="1">
      <alignment horizontal="center" vertical="bottom"/>
    </xf>
    <xf borderId="8" fillId="2" fontId="12" numFmtId="0" xfId="0" applyAlignment="1" applyBorder="1" applyFont="1">
      <alignment horizontal="center" readingOrder="0" vertical="bottom"/>
    </xf>
    <xf borderId="18" fillId="2" fontId="12" numFmtId="0" xfId="0" applyAlignment="1" applyBorder="1" applyFont="1">
      <alignment horizontal="center" readingOrder="0" vertical="bottom"/>
    </xf>
    <xf borderId="33" fillId="4" fontId="12" numFmtId="0" xfId="0" applyAlignment="1" applyBorder="1" applyFont="1">
      <alignment horizontal="center" vertical="bottom"/>
    </xf>
    <xf borderId="8" fillId="4" fontId="12" numFmtId="0" xfId="0" applyAlignment="1" applyBorder="1" applyFont="1">
      <alignment horizontal="center" readingOrder="0" vertical="bottom"/>
    </xf>
    <xf borderId="18" fillId="4" fontId="12" numFmtId="0" xfId="0" applyAlignment="1" applyBorder="1" applyFont="1">
      <alignment horizontal="center" readingOrder="0" vertical="bottom"/>
    </xf>
    <xf borderId="34" fillId="4" fontId="11" numFmtId="0" xfId="0" applyAlignment="1" applyBorder="1" applyFont="1">
      <alignment horizontal="center" vertical="bottom"/>
    </xf>
    <xf borderId="7" fillId="4" fontId="11" numFmtId="0" xfId="0" applyAlignment="1" applyBorder="1" applyFont="1">
      <alignment horizontal="center" readingOrder="0" vertical="bottom"/>
    </xf>
    <xf borderId="25" fillId="4" fontId="11" numFmtId="0" xfId="0" applyAlignment="1" applyBorder="1" applyFont="1">
      <alignment horizontal="center" readingOrder="0" vertical="bottom"/>
    </xf>
    <xf borderId="0" fillId="2" fontId="11" numFmtId="0" xfId="0" applyAlignment="1" applyFont="1">
      <alignment horizontal="center" readingOrder="0" vertical="bottom"/>
    </xf>
    <xf borderId="40" fillId="0" fontId="6" numFmtId="0" xfId="0" applyAlignment="1" applyBorder="1" applyFont="1">
      <alignment horizontal="center" readingOrder="0"/>
    </xf>
    <xf borderId="40" fillId="5" fontId="6" numFmtId="0" xfId="0" applyAlignment="1" applyBorder="1" applyFont="1">
      <alignment horizontal="center" readingOrder="0"/>
    </xf>
    <xf borderId="40" fillId="5" fontId="12" numFmtId="0" xfId="0" applyAlignment="1" applyBorder="1" applyFont="1">
      <alignment horizontal="center" readingOrder="0" vertical="center"/>
    </xf>
    <xf borderId="29" fillId="0" fontId="6" numFmtId="0" xfId="0" applyAlignment="1" applyBorder="1" applyFont="1">
      <alignment horizontal="center" readingOrder="0"/>
    </xf>
    <xf borderId="30" fillId="5" fontId="6" numFmtId="0" xfId="0" applyAlignment="1" applyBorder="1" applyFont="1">
      <alignment horizontal="center" readingOrder="0"/>
    </xf>
    <xf borderId="52" fillId="0" fontId="6" numFmtId="0" xfId="0" applyAlignment="1" applyBorder="1" applyFont="1">
      <alignment horizontal="center" readingOrder="0"/>
    </xf>
    <xf borderId="63" fillId="5" fontId="6" numFmtId="3" xfId="0" applyAlignment="1" applyBorder="1" applyFont="1" applyNumberFormat="1">
      <alignment horizontal="center" readingOrder="0"/>
    </xf>
    <xf borderId="51" fillId="0" fontId="6" numFmtId="0" xfId="0" applyAlignment="1" applyBorder="1" applyFont="1">
      <alignment horizontal="center" readingOrder="0"/>
    </xf>
    <xf borderId="61" fillId="5" fontId="6" numFmtId="0" xfId="0" applyAlignment="1" applyBorder="1" applyFont="1">
      <alignment horizontal="center" readingOrder="0"/>
    </xf>
    <xf borderId="51" fillId="0" fontId="6" numFmtId="0" xfId="0" applyAlignment="1" applyBorder="1" applyFont="1">
      <alignment readingOrder="0"/>
    </xf>
    <xf borderId="30" fillId="13" fontId="6" numFmtId="3" xfId="0" applyAlignment="1" applyBorder="1" applyFont="1" applyNumberFormat="1">
      <alignment horizontal="center"/>
    </xf>
    <xf borderId="19" fillId="3" fontId="6" numFmtId="0" xfId="0" applyAlignment="1" applyBorder="1" applyFont="1">
      <alignment horizontal="center" readingOrder="0" vertical="center"/>
    </xf>
    <xf borderId="9" fillId="3" fontId="6" numFmtId="0" xfId="0" applyAlignment="1" applyBorder="1" applyFont="1">
      <alignment horizontal="center" readingOrder="0" shrinkToFit="0" vertical="center" wrapText="1"/>
    </xf>
    <xf borderId="9" fillId="3" fontId="6" numFmtId="0" xfId="0" applyAlignment="1" applyBorder="1" applyFont="1">
      <alignment horizontal="center" readingOrder="0" vertical="center"/>
    </xf>
    <xf borderId="5" fillId="3" fontId="6" numFmtId="0" xfId="0" applyAlignment="1" applyBorder="1" applyFont="1">
      <alignment horizontal="center" readingOrder="0" vertical="center"/>
    </xf>
    <xf borderId="31" fillId="3" fontId="6" numFmtId="0" xfId="0" applyAlignment="1" applyBorder="1" applyFont="1">
      <alignment horizontal="center" readingOrder="0" vertical="center"/>
    </xf>
    <xf borderId="74" fillId="3" fontId="6" numFmtId="0" xfId="0" applyAlignment="1" applyBorder="1" applyFont="1">
      <alignment horizontal="center" readingOrder="0" vertical="center"/>
    </xf>
    <xf borderId="6" fillId="3" fontId="1" numFmtId="0" xfId="0" applyBorder="1" applyFont="1"/>
    <xf borderId="53" fillId="3" fontId="6" numFmtId="0" xfId="0" applyAlignment="1" applyBorder="1" applyFont="1">
      <alignment horizontal="center" readingOrder="0" vertical="center"/>
    </xf>
    <xf borderId="22" fillId="2" fontId="6" numFmtId="0" xfId="0" applyAlignment="1" applyBorder="1" applyFont="1">
      <alignment horizontal="center" readingOrder="0"/>
    </xf>
    <xf borderId="1" fillId="2" fontId="6" numFmtId="3" xfId="0" applyAlignment="1" applyBorder="1" applyFont="1" applyNumberFormat="1">
      <alignment horizontal="center" readingOrder="0"/>
    </xf>
    <xf borderId="1" fillId="2" fontId="6" numFmtId="4" xfId="0" applyAlignment="1" applyBorder="1" applyFont="1" applyNumberFormat="1">
      <alignment horizontal="center" readingOrder="0"/>
    </xf>
    <xf borderId="23" fillId="2" fontId="6" numFmtId="3" xfId="0" applyAlignment="1" applyBorder="1" applyFont="1" applyNumberFormat="1">
      <alignment horizontal="center" readingOrder="0"/>
    </xf>
    <xf borderId="46" fillId="2" fontId="6" numFmtId="3" xfId="0" applyAlignment="1" applyBorder="1" applyFont="1" applyNumberFormat="1">
      <alignment horizontal="center"/>
    </xf>
    <xf borderId="2" fillId="2" fontId="6" numFmtId="3" xfId="0" applyAlignment="1" applyBorder="1" applyFont="1" applyNumberFormat="1">
      <alignment horizontal="center" readingOrder="0"/>
    </xf>
    <xf borderId="22" fillId="4" fontId="6" numFmtId="0" xfId="0" applyAlignment="1" applyBorder="1" applyFont="1">
      <alignment horizontal="center" readingOrder="0"/>
    </xf>
    <xf borderId="1" fillId="4" fontId="6" numFmtId="3" xfId="0" applyAlignment="1" applyBorder="1" applyFont="1" applyNumberFormat="1">
      <alignment horizontal="center" readingOrder="0"/>
    </xf>
    <xf borderId="1" fillId="4" fontId="6" numFmtId="4" xfId="0" applyAlignment="1" applyBorder="1" applyFont="1" applyNumberFormat="1">
      <alignment horizontal="center" readingOrder="0"/>
    </xf>
    <xf borderId="23" fillId="4" fontId="6" numFmtId="3" xfId="0" applyAlignment="1" applyBorder="1" applyFont="1" applyNumberFormat="1">
      <alignment horizontal="center" readingOrder="0"/>
    </xf>
    <xf borderId="46" fillId="4" fontId="6" numFmtId="3" xfId="0" applyAlignment="1" applyBorder="1" applyFont="1" applyNumberFormat="1">
      <alignment horizontal="center"/>
    </xf>
    <xf borderId="2" fillId="4" fontId="6" numFmtId="3" xfId="0" applyAlignment="1" applyBorder="1" applyFont="1" applyNumberFormat="1">
      <alignment horizontal="center" readingOrder="0"/>
    </xf>
    <xf borderId="34" fillId="4" fontId="6" numFmtId="0" xfId="0" applyAlignment="1" applyBorder="1" applyFont="1">
      <alignment horizontal="center" readingOrder="0"/>
    </xf>
    <xf borderId="7" fillId="4" fontId="6" numFmtId="3" xfId="0" applyAlignment="1" applyBorder="1" applyFont="1" applyNumberFormat="1">
      <alignment horizontal="center" readingOrder="0"/>
    </xf>
    <xf borderId="7" fillId="4" fontId="6" numFmtId="4" xfId="0" applyAlignment="1" applyBorder="1" applyFont="1" applyNumberFormat="1">
      <alignment horizontal="center" readingOrder="0"/>
    </xf>
    <xf borderId="25" fillId="4" fontId="6" numFmtId="3" xfId="0" applyAlignment="1" applyBorder="1" applyFont="1" applyNumberFormat="1">
      <alignment horizontal="center" readingOrder="0"/>
    </xf>
    <xf borderId="59" fillId="4" fontId="6" numFmtId="3" xfId="0" applyAlignment="1" applyBorder="1" applyFont="1" applyNumberFormat="1">
      <alignment horizontal="center" readingOrder="0"/>
    </xf>
    <xf borderId="17" fillId="4" fontId="1" numFmtId="0" xfId="0" applyBorder="1" applyFont="1"/>
    <xf borderId="51" fillId="2" fontId="6" numFmtId="0" xfId="0" applyAlignment="1" applyBorder="1" applyFont="1">
      <alignment horizontal="center" readingOrder="0"/>
    </xf>
    <xf borderId="49" fillId="2" fontId="21" numFmtId="0" xfId="0" applyAlignment="1" applyBorder="1" applyFont="1">
      <alignment readingOrder="0"/>
    </xf>
    <xf borderId="1" fillId="3" fontId="6" numFmtId="0" xfId="0" applyAlignment="1" applyBorder="1" applyFont="1">
      <alignment horizontal="center" readingOrder="0"/>
    </xf>
    <xf borderId="2" fillId="3" fontId="6" numFmtId="0" xfId="0" applyAlignment="1" applyBorder="1" applyFont="1">
      <alignment horizontal="center" readingOrder="0"/>
    </xf>
    <xf borderId="57" fillId="3" fontId="1" numFmtId="0" xfId="0" applyBorder="1" applyFont="1"/>
    <xf borderId="10" fillId="3" fontId="1" numFmtId="0" xfId="0" applyBorder="1" applyFont="1"/>
    <xf borderId="68" fillId="3" fontId="6" numFmtId="0" xfId="0" applyAlignment="1" applyBorder="1" applyFont="1">
      <alignment horizontal="center" readingOrder="0"/>
    </xf>
    <xf borderId="2" fillId="2" fontId="6" numFmtId="0" xfId="0" applyAlignment="1" applyBorder="1" applyFont="1">
      <alignment horizontal="center" readingOrder="0"/>
    </xf>
    <xf borderId="2" fillId="4" fontId="6" numFmtId="0" xfId="0" applyAlignment="1" applyBorder="1" applyFont="1">
      <alignment horizontal="center" readingOrder="0"/>
    </xf>
    <xf borderId="54" fillId="0" fontId="6" numFmtId="0" xfId="0" applyAlignment="1" applyBorder="1" applyFont="1">
      <alignment horizontal="center" readingOrder="0"/>
    </xf>
    <xf borderId="0" fillId="0" fontId="1" numFmtId="0" xfId="0" applyAlignment="1" applyFont="1">
      <alignment horizontal="left"/>
    </xf>
    <xf borderId="56" fillId="4" fontId="6" numFmtId="3" xfId="0" applyAlignment="1" applyBorder="1" applyFont="1" applyNumberFormat="1">
      <alignment horizontal="center"/>
    </xf>
    <xf borderId="63" fillId="4" fontId="6" numFmtId="3" xfId="0" applyAlignment="1" applyBorder="1" applyFont="1" applyNumberFormat="1">
      <alignment horizontal="center" readingOrder="0"/>
    </xf>
    <xf borderId="36" fillId="5" fontId="6" numFmtId="0" xfId="0" applyAlignment="1" applyBorder="1" applyFont="1">
      <alignment horizontal="center" readingOrder="0" shrinkToFit="0" vertical="top" wrapText="1"/>
    </xf>
    <xf borderId="2" fillId="4" fontId="12" numFmtId="0" xfId="0" applyAlignment="1" applyBorder="1" applyFont="1">
      <alignment horizontal="center" vertical="bottom"/>
    </xf>
    <xf borderId="53" fillId="2" fontId="12" numFmtId="0" xfId="0" applyAlignment="1" applyBorder="1" applyFont="1">
      <alignment horizontal="center" vertical="bottom"/>
    </xf>
    <xf borderId="53" fillId="4" fontId="12" numFmtId="0" xfId="0" applyAlignment="1" applyBorder="1" applyFont="1">
      <alignment horizontal="center" vertical="bottom"/>
    </xf>
    <xf borderId="0" fillId="0" fontId="6" numFmtId="0" xfId="0" applyAlignment="1" applyFont="1">
      <alignment horizontal="center" readingOrder="0" shrinkToFit="0" vertical="top" wrapText="1"/>
    </xf>
    <xf borderId="2" fillId="2" fontId="12" numFmtId="0" xfId="0" applyAlignment="1" applyBorder="1" applyFont="1">
      <alignment horizontal="center" vertical="bottom"/>
    </xf>
    <xf borderId="7" fillId="4" fontId="6" numFmtId="0" xfId="0" applyAlignment="1" applyBorder="1" applyFont="1">
      <alignment horizontal="center" readingOrder="0"/>
    </xf>
    <xf borderId="63" fillId="4" fontId="6" numFmtId="0" xfId="0" applyAlignment="1" applyBorder="1" applyFont="1">
      <alignment horizontal="center" readingOrder="0"/>
    </xf>
    <xf borderId="26" fillId="0" fontId="6" numFmtId="3" xfId="0" applyAlignment="1" applyBorder="1" applyFont="1" applyNumberFormat="1">
      <alignment horizontal="center" readingOrder="0" vertical="center"/>
    </xf>
    <xf borderId="36" fillId="0" fontId="6" numFmtId="3" xfId="0" applyAlignment="1" applyBorder="1" applyFont="1" applyNumberFormat="1">
      <alignment horizontal="center" readingOrder="0" vertical="center"/>
    </xf>
    <xf borderId="13" fillId="0" fontId="6" numFmtId="0" xfId="0" applyAlignment="1" applyBorder="1" applyFont="1">
      <alignment horizontal="center" readingOrder="0" vertical="center"/>
    </xf>
    <xf borderId="26" fillId="0" fontId="1" numFmtId="0" xfId="0" applyAlignment="1" applyBorder="1" applyFont="1">
      <alignment horizontal="center" vertical="center"/>
    </xf>
    <xf borderId="65" fillId="0" fontId="6" numFmtId="0" xfId="0" applyAlignment="1" applyBorder="1" applyFont="1">
      <alignment horizontal="center" readingOrder="0" vertical="center"/>
    </xf>
    <xf borderId="66" fillId="5" fontId="6" numFmtId="0" xfId="0" applyAlignment="1" applyBorder="1" applyFont="1">
      <alignment horizontal="center" readingOrder="0" vertical="center"/>
    </xf>
    <xf borderId="75" fillId="0" fontId="6" numFmtId="0" xfId="0" applyAlignment="1" applyBorder="1" applyFont="1">
      <alignment horizontal="center" readingOrder="0" vertical="center"/>
    </xf>
    <xf borderId="40" fillId="5" fontId="14" numFmtId="3" xfId="0" applyAlignment="1" applyBorder="1" applyFont="1" applyNumberFormat="1">
      <alignment horizontal="center" readingOrder="0"/>
    </xf>
    <xf borderId="21" fillId="0" fontId="1" numFmtId="0" xfId="0" applyAlignment="1" applyBorder="1" applyFont="1">
      <alignment horizontal="center" vertical="center"/>
    </xf>
    <xf borderId="16" fillId="5" fontId="6" numFmtId="0" xfId="0" applyAlignment="1" applyBorder="1" applyFont="1">
      <alignment horizontal="center" readingOrder="0" vertical="center"/>
    </xf>
    <xf borderId="75" fillId="5" fontId="6" numFmtId="0" xfId="0" applyAlignment="1" applyBorder="1" applyFont="1">
      <alignment horizontal="center" readingOrder="0" vertical="center"/>
    </xf>
    <xf borderId="51" fillId="0" fontId="6" numFmtId="0" xfId="0" applyAlignment="1" applyBorder="1" applyFont="1">
      <alignment horizontal="center" readingOrder="0" shrinkToFit="0" vertical="center" wrapText="1"/>
    </xf>
    <xf borderId="30" fillId="13" fontId="6" numFmtId="3" xfId="0" applyAlignment="1" applyBorder="1" applyFont="1" applyNumberFormat="1">
      <alignment horizontal="center" vertical="center"/>
    </xf>
    <xf borderId="51" fillId="0" fontId="6" numFmtId="0" xfId="0" applyAlignment="1" applyBorder="1" applyFont="1">
      <alignment horizontal="center" readingOrder="0" vertical="center"/>
    </xf>
    <xf borderId="26" fillId="13" fontId="6" numFmtId="3" xfId="0" applyAlignment="1" applyBorder="1" applyFont="1" applyNumberFormat="1">
      <alignment horizontal="center" vertical="center"/>
    </xf>
    <xf borderId="5" fillId="3" fontId="6" numFmtId="0" xfId="0" applyAlignment="1" applyBorder="1" applyFont="1">
      <alignment horizontal="center" readingOrder="0"/>
    </xf>
    <xf borderId="31" fillId="3" fontId="6" numFmtId="0" xfId="0" applyAlignment="1" applyBorder="1" applyFont="1">
      <alignment horizontal="center" readingOrder="0"/>
    </xf>
    <xf borderId="40" fillId="3" fontId="6" numFmtId="3" xfId="0" applyAlignment="1" applyBorder="1" applyFont="1" applyNumberFormat="1">
      <alignment horizontal="center" readingOrder="0" vertical="center"/>
    </xf>
    <xf borderId="36" fillId="3" fontId="6" numFmtId="3" xfId="0" applyAlignment="1" applyBorder="1" applyFont="1" applyNumberFormat="1">
      <alignment horizontal="center" readingOrder="0" vertical="center"/>
    </xf>
    <xf borderId="37" fillId="3" fontId="1" numFmtId="0" xfId="0" applyBorder="1" applyFont="1"/>
    <xf borderId="38" fillId="3" fontId="1" numFmtId="0" xfId="0" applyBorder="1" applyFont="1"/>
    <xf borderId="26" fillId="3" fontId="6" numFmtId="3" xfId="0" applyAlignment="1" applyBorder="1" applyFont="1" applyNumberFormat="1">
      <alignment horizontal="center" readingOrder="0" vertical="center"/>
    </xf>
    <xf borderId="1" fillId="5" fontId="14" numFmtId="3" xfId="0" applyAlignment="1" applyBorder="1" applyFont="1" applyNumberFormat="1">
      <alignment horizontal="center" readingOrder="0" vertical="center"/>
    </xf>
    <xf borderId="23" fillId="2" fontId="17" numFmtId="3" xfId="0" applyAlignment="1" applyBorder="1" applyFont="1" applyNumberFormat="1">
      <alignment horizontal="center" vertical="center"/>
    </xf>
    <xf borderId="19" fillId="2" fontId="6" numFmtId="3" xfId="0" applyAlignment="1" applyBorder="1" applyFont="1" applyNumberFormat="1">
      <alignment horizontal="center" readingOrder="0" vertical="center"/>
    </xf>
    <xf borderId="9" fillId="2" fontId="6" numFmtId="3" xfId="0" applyAlignment="1" applyBorder="1" applyFont="1" applyNumberFormat="1">
      <alignment horizontal="center" readingOrder="0" vertical="center"/>
    </xf>
    <xf borderId="20" fillId="2" fontId="6" numFmtId="3" xfId="0" applyAlignment="1" applyBorder="1" applyFont="1" applyNumberFormat="1">
      <alignment horizontal="center" readingOrder="0" vertical="center"/>
    </xf>
    <xf borderId="69" fillId="2" fontId="6" numFmtId="3" xfId="0" applyAlignment="1" applyBorder="1" applyFont="1" applyNumberFormat="1">
      <alignment horizontal="center" readingOrder="0" vertical="center"/>
    </xf>
    <xf borderId="69" fillId="2" fontId="1" numFmtId="0" xfId="0" applyBorder="1" applyFont="1"/>
    <xf borderId="22" fillId="4" fontId="6" numFmtId="3" xfId="0" applyAlignment="1" applyBorder="1" applyFont="1" applyNumberFormat="1">
      <alignment horizontal="center" readingOrder="0" vertical="center"/>
    </xf>
    <xf borderId="1" fillId="4" fontId="6" numFmtId="3" xfId="0" applyAlignment="1" applyBorder="1" applyFont="1" applyNumberFormat="1">
      <alignment horizontal="center" readingOrder="0" vertical="center"/>
    </xf>
    <xf borderId="23" fillId="4" fontId="6" numFmtId="3" xfId="0" applyAlignment="1" applyBorder="1" applyFont="1" applyNumberFormat="1">
      <alignment horizontal="center" readingOrder="0" vertical="center"/>
    </xf>
    <xf borderId="3" fillId="4" fontId="6" numFmtId="3" xfId="0" applyAlignment="1" applyBorder="1" applyFont="1" applyNumberFormat="1">
      <alignment horizontal="center" readingOrder="0" vertical="center"/>
    </xf>
    <xf borderId="3" fillId="4" fontId="1" numFmtId="0" xfId="0" applyBorder="1" applyFont="1"/>
    <xf borderId="70" fillId="4" fontId="6" numFmtId="3" xfId="0" applyAlignment="1" applyBorder="1" applyFont="1" applyNumberFormat="1">
      <alignment horizontal="center" readingOrder="0" vertical="center"/>
    </xf>
    <xf borderId="22" fillId="2" fontId="6" numFmtId="3" xfId="0" applyAlignment="1" applyBorder="1" applyFont="1" applyNumberFormat="1">
      <alignment horizontal="center" readingOrder="0" vertical="center"/>
    </xf>
    <xf borderId="1" fillId="2" fontId="6" numFmtId="3" xfId="0" applyAlignment="1" applyBorder="1" applyFont="1" applyNumberFormat="1">
      <alignment horizontal="center" readingOrder="0" vertical="center"/>
    </xf>
    <xf borderId="23" fillId="2" fontId="6" numFmtId="3" xfId="0" applyAlignment="1" applyBorder="1" applyFont="1" applyNumberFormat="1">
      <alignment horizontal="center" readingOrder="0" vertical="center"/>
    </xf>
    <xf borderId="3" fillId="2" fontId="6" numFmtId="3" xfId="0" applyAlignment="1" applyBorder="1" applyFont="1" applyNumberFormat="1">
      <alignment horizontal="center" readingOrder="0" vertical="center"/>
    </xf>
    <xf borderId="70" fillId="2" fontId="6" numFmtId="3" xfId="0" applyAlignment="1" applyBorder="1" applyFont="1" applyNumberFormat="1">
      <alignment horizontal="center" readingOrder="0" vertical="center"/>
    </xf>
    <xf borderId="76" fillId="0" fontId="1" numFmtId="0" xfId="0" applyBorder="1" applyFont="1"/>
    <xf borderId="25" fillId="0" fontId="13" numFmtId="3" xfId="0" applyAlignment="1" applyBorder="1" applyFont="1" applyNumberFormat="1">
      <alignment horizontal="center" vertical="center"/>
    </xf>
    <xf borderId="26" fillId="0" fontId="12" numFmtId="0" xfId="0" applyAlignment="1" applyBorder="1" applyFont="1">
      <alignment horizontal="center" readingOrder="0" shrinkToFit="0" wrapText="1"/>
    </xf>
    <xf borderId="47" fillId="3" fontId="12" numFmtId="0" xfId="0" applyAlignment="1" applyBorder="1" applyFont="1">
      <alignment horizontal="center" readingOrder="0" shrinkToFit="0" wrapText="1"/>
    </xf>
    <xf borderId="70" fillId="3" fontId="12" numFmtId="0" xfId="0" applyAlignment="1" applyBorder="1" applyFont="1">
      <alignment horizontal="center" readingOrder="0" shrinkToFit="0" wrapText="1"/>
    </xf>
    <xf borderId="48" fillId="0" fontId="1" numFmtId="0" xfId="0" applyBorder="1" applyFont="1"/>
    <xf borderId="47" fillId="2" fontId="13" numFmtId="3" xfId="0" applyAlignment="1" applyBorder="1" applyFont="1" applyNumberFormat="1">
      <alignment horizontal="center" shrinkToFit="0" wrapText="1"/>
    </xf>
    <xf borderId="70" fillId="2" fontId="13" numFmtId="3" xfId="0" applyAlignment="1" applyBorder="1" applyFont="1" applyNumberFormat="1">
      <alignment horizontal="center" shrinkToFit="0" wrapText="1"/>
    </xf>
    <xf borderId="47" fillId="4" fontId="13" numFmtId="3" xfId="0" applyAlignment="1" applyBorder="1" applyFont="1" applyNumberFormat="1">
      <alignment horizontal="center" shrinkToFit="0" wrapText="1"/>
    </xf>
    <xf borderId="70" fillId="4" fontId="13" numFmtId="3" xfId="0" applyAlignment="1" applyBorder="1" applyFont="1" applyNumberFormat="1">
      <alignment horizontal="center" shrinkToFit="0" wrapText="1"/>
    </xf>
    <xf borderId="47" fillId="2" fontId="13" numFmtId="3" xfId="0" applyAlignment="1" applyBorder="1" applyFont="1" applyNumberFormat="1">
      <alignment horizontal="center" readingOrder="0" shrinkToFit="0" wrapText="1"/>
    </xf>
    <xf borderId="70" fillId="2" fontId="13" numFmtId="3" xfId="0" applyAlignment="1" applyBorder="1" applyFont="1" applyNumberFormat="1">
      <alignment horizontal="center" readingOrder="0" shrinkToFit="0" wrapText="1"/>
    </xf>
    <xf borderId="47" fillId="4" fontId="13" numFmtId="3" xfId="0" applyAlignment="1" applyBorder="1" applyFont="1" applyNumberFormat="1">
      <alignment horizontal="center" readingOrder="0" shrinkToFit="0" wrapText="1"/>
    </xf>
    <xf borderId="70" fillId="4" fontId="13" numFmtId="3" xfId="0" applyAlignment="1" applyBorder="1" applyFont="1" applyNumberFormat="1">
      <alignment horizontal="center" readingOrder="0" shrinkToFit="0" wrapText="1"/>
    </xf>
    <xf borderId="34" fillId="2" fontId="6" numFmtId="3" xfId="0" applyAlignment="1" applyBorder="1" applyFont="1" applyNumberFormat="1">
      <alignment horizontal="center" readingOrder="0" vertical="center"/>
    </xf>
    <xf borderId="7" fillId="2" fontId="6" numFmtId="3" xfId="0" applyAlignment="1" applyBorder="1" applyFont="1" applyNumberFormat="1">
      <alignment horizontal="center" readingOrder="0" vertical="center"/>
    </xf>
    <xf borderId="25" fillId="2" fontId="6" numFmtId="3" xfId="0" applyAlignment="1" applyBorder="1" applyFont="1" applyNumberFormat="1">
      <alignment horizontal="center" readingOrder="0" vertical="center"/>
    </xf>
    <xf borderId="76" fillId="2" fontId="6" numFmtId="3" xfId="0" applyAlignment="1" applyBorder="1" applyFont="1" applyNumberFormat="1">
      <alignment horizontal="center" readingOrder="0" vertical="center"/>
    </xf>
    <xf borderId="76" fillId="2" fontId="1" numFmtId="0" xfId="0" applyBorder="1" applyFont="1"/>
    <xf borderId="52" fillId="2" fontId="6" numFmtId="3" xfId="0" applyAlignment="1" applyBorder="1" applyFont="1" applyNumberFormat="1">
      <alignment horizontal="center" readingOrder="0" vertical="center"/>
    </xf>
    <xf borderId="49" fillId="2" fontId="13" numFmtId="3" xfId="0" applyAlignment="1" applyBorder="1" applyFont="1" applyNumberFormat="1">
      <alignment horizontal="center" readingOrder="0" shrinkToFit="0" wrapText="1"/>
    </xf>
    <xf borderId="52" fillId="2" fontId="13" numFmtId="3" xfId="0" applyAlignment="1" applyBorder="1" applyFont="1" applyNumberFormat="1">
      <alignment horizontal="center" readingOrder="0" shrinkToFit="0" wrapText="1"/>
    </xf>
    <xf borderId="0" fillId="0" fontId="6" numFmtId="3" xfId="0" applyAlignment="1" applyFont="1" applyNumberFormat="1">
      <alignment horizontal="center" readingOrder="0"/>
    </xf>
    <xf borderId="21" fillId="3" fontId="6" numFmtId="3" xfId="0" applyAlignment="1" applyBorder="1" applyFont="1" applyNumberFormat="1">
      <alignment horizontal="center" readingOrder="0"/>
    </xf>
    <xf borderId="0" fillId="2" fontId="6" numFmtId="3" xfId="0" applyAlignment="1" applyFont="1" applyNumberFormat="1">
      <alignment horizontal="center" readingOrder="0"/>
    </xf>
    <xf borderId="47" fillId="4" fontId="6" numFmtId="3" xfId="0" applyAlignment="1" applyBorder="1" applyFont="1" applyNumberFormat="1">
      <alignment horizontal="center" readingOrder="0"/>
    </xf>
    <xf borderId="5" fillId="2" fontId="6" numFmtId="3" xfId="0" applyAlignment="1" applyBorder="1" applyFont="1" applyNumberFormat="1">
      <alignment horizontal="center" readingOrder="0"/>
    </xf>
    <xf borderId="5" fillId="4" fontId="6" numFmtId="3" xfId="0" applyAlignment="1" applyBorder="1" applyFont="1" applyNumberFormat="1">
      <alignment horizontal="center" readingOrder="0"/>
    </xf>
    <xf borderId="31" fillId="4" fontId="6" numFmtId="3" xfId="0" applyAlignment="1" applyBorder="1" applyFont="1" applyNumberFormat="1">
      <alignment horizontal="center" readingOrder="0"/>
    </xf>
    <xf borderId="33" fillId="4" fontId="6" numFmtId="3" xfId="0" applyAlignment="1" applyBorder="1" applyFont="1" applyNumberFormat="1">
      <alignment horizontal="center" readingOrder="0"/>
    </xf>
    <xf borderId="8" fillId="2" fontId="6" numFmtId="3" xfId="0" applyAlignment="1" applyBorder="1" applyFont="1" applyNumberFormat="1">
      <alignment horizontal="center" readingOrder="0"/>
    </xf>
    <xf borderId="8" fillId="4" fontId="6" numFmtId="3" xfId="0" applyAlignment="1" applyBorder="1" applyFont="1" applyNumberFormat="1">
      <alignment horizontal="center" readingOrder="0"/>
    </xf>
    <xf borderId="18" fillId="4" fontId="6" numFmtId="3" xfId="0" applyAlignment="1" applyBorder="1" applyFont="1" applyNumberFormat="1">
      <alignment horizontal="center" readingOrder="0"/>
    </xf>
    <xf borderId="26" fillId="2" fontId="6" numFmtId="3" xfId="0" applyAlignment="1" applyBorder="1" applyFont="1" applyNumberFormat="1">
      <alignment horizontal="center" readingOrder="0"/>
    </xf>
    <xf borderId="54" fillId="4" fontId="6" numFmtId="0" xfId="0" applyAlignment="1" applyBorder="1" applyFont="1">
      <alignment horizontal="center" readingOrder="0"/>
    </xf>
    <xf borderId="2" fillId="0" fontId="6" numFmtId="3" xfId="0" applyAlignment="1" applyBorder="1" applyFont="1" applyNumberFormat="1">
      <alignment horizontal="center"/>
    </xf>
    <xf borderId="55" fillId="0" fontId="6" numFmtId="3" xfId="0" applyAlignment="1" applyBorder="1" applyFont="1" applyNumberFormat="1">
      <alignment horizontal="center" readingOrder="0"/>
    </xf>
    <xf borderId="2" fillId="0" fontId="6" numFmtId="3" xfId="0" applyAlignment="1" applyBorder="1" applyFont="1" applyNumberFormat="1">
      <alignment horizontal="center" readingOrder="0"/>
    </xf>
    <xf borderId="62" fillId="0" fontId="6" numFmtId="3" xfId="0" applyAlignment="1" applyBorder="1" applyFont="1" applyNumberFormat="1">
      <alignment horizontal="center" readingOrder="0"/>
    </xf>
    <xf borderId="23" fillId="0" fontId="6" numFmtId="3" xfId="0" applyAlignment="1" applyBorder="1" applyFont="1" applyNumberFormat="1">
      <alignment horizontal="center" readingOrder="0"/>
    </xf>
    <xf borderId="18" fillId="0" fontId="6" numFmtId="3" xfId="0" applyAlignment="1" applyBorder="1" applyFont="1" applyNumberFormat="1">
      <alignment horizontal="center" readingOrder="0"/>
    </xf>
    <xf borderId="0" fillId="0" fontId="6" numFmtId="3" xfId="0" applyAlignment="1" applyFont="1" applyNumberFormat="1">
      <alignment horizontal="center" readingOrder="0"/>
    </xf>
    <xf borderId="22" fillId="4" fontId="6" numFmtId="3" xfId="0" applyAlignment="1" applyBorder="1" applyFont="1" applyNumberFormat="1">
      <alignment horizontal="center" readingOrder="0"/>
    </xf>
    <xf borderId="43" fillId="4" fontId="6" numFmtId="0" xfId="0" applyAlignment="1" applyBorder="1" applyFont="1">
      <alignment horizontal="center" readingOrder="0"/>
    </xf>
    <xf borderId="8" fillId="0" fontId="6" numFmtId="3" xfId="0" applyAlignment="1" applyBorder="1" applyFont="1" applyNumberFormat="1">
      <alignment horizontal="center"/>
    </xf>
    <xf borderId="37" fillId="2" fontId="6" numFmtId="3" xfId="0" applyAlignment="1" applyBorder="1" applyFont="1" applyNumberFormat="1">
      <alignment horizontal="center" readingOrder="0"/>
    </xf>
    <xf borderId="0" fillId="0" fontId="6" numFmtId="0" xfId="0" applyFont="1"/>
    <xf borderId="77" fillId="0" fontId="6" numFmtId="0" xfId="0" applyAlignment="1" applyBorder="1" applyFont="1">
      <alignment horizontal="center" readingOrder="0" vertical="center"/>
    </xf>
    <xf borderId="78" fillId="0" fontId="1" numFmtId="0" xfId="0" applyBorder="1" applyFont="1"/>
    <xf borderId="79" fillId="0" fontId="1" numFmtId="0" xfId="0" applyBorder="1" applyFont="1"/>
    <xf borderId="77" fillId="3" fontId="6" numFmtId="0" xfId="0" applyAlignment="1" applyBorder="1" applyFont="1">
      <alignment horizontal="center" readingOrder="0" shrinkToFit="0" vertical="center" wrapText="1"/>
    </xf>
    <xf borderId="80" fillId="3" fontId="1" numFmtId="0" xfId="0" applyBorder="1" applyFont="1"/>
    <xf borderId="81" fillId="3" fontId="6" numFmtId="0" xfId="0" applyAlignment="1" applyBorder="1" applyFont="1">
      <alignment horizontal="center" readingOrder="0" vertical="center"/>
    </xf>
    <xf borderId="82" fillId="3" fontId="6" numFmtId="0" xfId="0" applyAlignment="1" applyBorder="1" applyFont="1">
      <alignment horizontal="center" readingOrder="0" vertical="center"/>
    </xf>
    <xf borderId="0" fillId="0" fontId="6" numFmtId="0" xfId="0" applyAlignment="1" applyFont="1">
      <alignment horizontal="center" readingOrder="0" shrinkToFit="0" vertical="center" wrapText="1"/>
    </xf>
    <xf borderId="83" fillId="4" fontId="1" numFmtId="0" xfId="0" applyBorder="1" applyFont="1"/>
    <xf borderId="6" fillId="4" fontId="1" numFmtId="0" xfId="0" applyBorder="1" applyFont="1"/>
    <xf borderId="1" fillId="5" fontId="22" numFmtId="0" xfId="0" applyAlignment="1" applyBorder="1" applyFont="1">
      <alignment horizontal="center" readingOrder="0" vertical="center"/>
    </xf>
    <xf borderId="84" fillId="5" fontId="22" numFmtId="0" xfId="0" applyAlignment="1" applyBorder="1" applyFont="1">
      <alignment horizontal="center" readingOrder="0" vertical="center"/>
    </xf>
    <xf borderId="85" fillId="4" fontId="14" numFmtId="0" xfId="0" applyAlignment="1" applyBorder="1" applyFont="1">
      <alignment horizontal="center" readingOrder="0"/>
    </xf>
    <xf borderId="59" fillId="5" fontId="6" numFmtId="0" xfId="0" applyAlignment="1" applyBorder="1" applyFont="1">
      <alignment horizontal="center" readingOrder="0" vertical="center"/>
    </xf>
    <xf borderId="86" fillId="3" fontId="1" numFmtId="0" xfId="0" applyBorder="1" applyFont="1"/>
    <xf borderId="87" fillId="4" fontId="6" numFmtId="0" xfId="0" applyAlignment="1" applyBorder="1" applyFont="1">
      <alignment horizontal="center" readingOrder="0" vertical="center"/>
    </xf>
    <xf borderId="59" fillId="5" fontId="12" numFmtId="0" xfId="0" applyAlignment="1" applyBorder="1" applyFont="1">
      <alignment horizontal="center" readingOrder="0" vertical="center"/>
    </xf>
    <xf borderId="86" fillId="4" fontId="1" numFmtId="0" xfId="0" applyBorder="1" applyFont="1"/>
    <xf borderId="0" fillId="0" fontId="1" numFmtId="0" xfId="0" applyAlignment="1" applyFont="1">
      <alignment horizontal="center" readingOrder="0" vertical="center"/>
    </xf>
    <xf borderId="88" fillId="3" fontId="6" numFmtId="0" xfId="0" applyAlignment="1" applyBorder="1" applyFont="1">
      <alignment horizontal="center" readingOrder="0" shrinkToFit="0" vertical="center" wrapText="1"/>
    </xf>
    <xf borderId="89" fillId="3" fontId="1" numFmtId="0" xfId="0" applyBorder="1" applyFont="1"/>
    <xf borderId="90" fillId="3" fontId="6" numFmtId="0" xfId="0" applyAlignment="1" applyBorder="1" applyFont="1">
      <alignment horizontal="center" readingOrder="0" vertical="center"/>
    </xf>
    <xf borderId="91" fillId="3" fontId="1" numFmtId="0" xfId="0" applyBorder="1" applyFont="1"/>
    <xf borderId="0" fillId="0" fontId="1" numFmtId="170" xfId="0" applyAlignment="1" applyFont="1" applyNumberFormat="1">
      <alignment horizontal="center" readingOrder="0" vertical="center"/>
    </xf>
    <xf borderId="83" fillId="4" fontId="6" numFmtId="0" xfId="0" applyAlignment="1" applyBorder="1" applyFont="1">
      <alignment horizontal="center" readingOrder="0" shrinkToFit="0" vertical="center" wrapText="1"/>
    </xf>
    <xf borderId="2" fillId="4" fontId="6" numFmtId="171" xfId="0" applyAlignment="1" applyBorder="1" applyFont="1" applyNumberFormat="1">
      <alignment horizontal="center" readingOrder="0" vertical="center"/>
    </xf>
    <xf borderId="92" fillId="4" fontId="1" numFmtId="0" xfId="0" applyBorder="1" applyFont="1"/>
    <xf borderId="0" fillId="0" fontId="1" numFmtId="172" xfId="0" applyAlignment="1" applyFont="1" applyNumberFormat="1">
      <alignment horizontal="center" readingOrder="0" vertical="center"/>
    </xf>
    <xf borderId="93" fillId="3" fontId="6" numFmtId="0" xfId="0" applyAlignment="1" applyBorder="1" applyFont="1">
      <alignment horizontal="center" readingOrder="0" vertical="center"/>
    </xf>
    <xf borderId="3" fillId="3" fontId="1" numFmtId="0" xfId="0" applyBorder="1" applyFont="1"/>
    <xf borderId="2" fillId="3" fontId="6" numFmtId="171" xfId="0" applyAlignment="1" applyBorder="1" applyFont="1" applyNumberFormat="1">
      <alignment horizontal="center" readingOrder="0" vertical="center"/>
    </xf>
    <xf borderId="92" fillId="3" fontId="1" numFmtId="0" xfId="0" applyBorder="1" applyFont="1"/>
    <xf borderId="93" fillId="4" fontId="6" numFmtId="0" xfId="0" applyAlignment="1" applyBorder="1" applyFont="1">
      <alignment horizontal="center" readingOrder="0" shrinkToFit="0" vertical="center" wrapText="1"/>
    </xf>
    <xf borderId="0" fillId="0" fontId="1" numFmtId="20" xfId="0" applyAlignment="1" applyFont="1" applyNumberFormat="1">
      <alignment horizontal="center" readingOrder="0" vertical="center"/>
    </xf>
    <xf borderId="94" fillId="3" fontId="6" numFmtId="0" xfId="0" applyAlignment="1" applyBorder="1" applyFont="1">
      <alignment horizontal="center" readingOrder="0" shrinkToFit="0" vertical="center" wrapText="1"/>
    </xf>
    <xf borderId="1" fillId="3" fontId="6" numFmtId="0" xfId="0" applyAlignment="1" applyBorder="1" applyFont="1">
      <alignment horizontal="center" readingOrder="0" vertical="center"/>
    </xf>
    <xf borderId="1" fillId="3" fontId="6" numFmtId="0" xfId="0" applyAlignment="1" applyBorder="1" applyFont="1">
      <alignment horizontal="center" vertical="center"/>
    </xf>
    <xf borderId="84" fillId="3" fontId="6" numFmtId="171" xfId="0" applyAlignment="1" applyBorder="1" applyFont="1" applyNumberFormat="1">
      <alignment horizontal="center" vertical="center"/>
    </xf>
    <xf borderId="95" fillId="4" fontId="1" numFmtId="0" xfId="0" applyBorder="1" applyFont="1"/>
    <xf borderId="1" fillId="4" fontId="6" numFmtId="0" xfId="0" applyAlignment="1" applyBorder="1" applyFont="1">
      <alignment horizontal="center" vertical="center"/>
    </xf>
    <xf borderId="84" fillId="4" fontId="6" numFmtId="171" xfId="0" applyAlignment="1" applyBorder="1" applyFont="1" applyNumberFormat="1">
      <alignment horizontal="center" vertical="center"/>
    </xf>
    <xf borderId="96" fillId="4" fontId="1" numFmtId="0" xfId="0" applyBorder="1" applyFont="1"/>
    <xf borderId="97" fillId="3" fontId="6" numFmtId="0" xfId="0" applyAlignment="1" applyBorder="1" applyFont="1">
      <alignment horizontal="center" readingOrder="0" shrinkToFit="0" vertical="center" wrapText="1"/>
    </xf>
    <xf borderId="98" fillId="3" fontId="6" numFmtId="0" xfId="0" applyAlignment="1" applyBorder="1" applyFont="1">
      <alignment horizontal="center" readingOrder="0" vertical="center"/>
    </xf>
    <xf borderId="98" fillId="3" fontId="6" numFmtId="0" xfId="0" applyAlignment="1" applyBorder="1" applyFont="1">
      <alignment horizontal="center" vertical="center"/>
    </xf>
    <xf borderId="99" fillId="3" fontId="6" numFmtId="171" xfId="0" applyAlignment="1" applyBorder="1" applyFont="1" applyNumberFormat="1">
      <alignment horizontal="center" vertical="center"/>
    </xf>
    <xf borderId="0" fillId="0" fontId="6" numFmtId="0" xfId="0" applyAlignment="1" applyFont="1">
      <alignment horizontal="center" readingOrder="0" shrinkToFit="0" vertical="center" wrapText="1"/>
    </xf>
    <xf borderId="0" fillId="0" fontId="6" numFmtId="0" xfId="0" applyAlignment="1" applyFont="1">
      <alignment horizontal="center" readingOrder="0" vertical="center"/>
    </xf>
    <xf borderId="0" fillId="0" fontId="1" numFmtId="0" xfId="0" applyAlignment="1" applyFont="1">
      <alignment horizontal="center" vertical="center"/>
    </xf>
    <xf borderId="0" fillId="0" fontId="1" numFmtId="171" xfId="0" applyAlignment="1" applyFont="1" applyNumberFormat="1">
      <alignment horizontal="center" vertical="center"/>
    </xf>
    <xf borderId="100" fillId="2" fontId="6" numFmtId="0" xfId="0" applyAlignment="1" applyBorder="1" applyFont="1">
      <alignment horizontal="center" readingOrder="0" vertical="center"/>
    </xf>
    <xf borderId="101" fillId="2" fontId="1" numFmtId="0" xfId="0" applyBorder="1" applyFont="1"/>
    <xf borderId="102" fillId="2" fontId="1" numFmtId="0" xfId="0" applyBorder="1" applyFont="1"/>
    <xf borderId="103" fillId="3" fontId="6" numFmtId="0" xfId="0" applyAlignment="1" applyBorder="1" applyFont="1">
      <alignment horizontal="center" readingOrder="0" shrinkToFit="0" vertical="center" wrapText="1"/>
    </xf>
    <xf borderId="100" fillId="3" fontId="6" numFmtId="0" xfId="0" applyAlignment="1" applyBorder="1" applyFont="1">
      <alignment horizontal="center" readingOrder="0" vertical="center"/>
    </xf>
    <xf borderId="101" fillId="3" fontId="1" numFmtId="0" xfId="0" applyBorder="1" applyFont="1"/>
    <xf borderId="102" fillId="3" fontId="1" numFmtId="0" xfId="0" applyBorder="1" applyFont="1"/>
    <xf borderId="104" fillId="4" fontId="6" numFmtId="0" xfId="0" applyAlignment="1" applyBorder="1" applyFont="1">
      <alignment horizontal="center" readingOrder="0" shrinkToFit="0" vertical="center" wrapText="1"/>
    </xf>
    <xf borderId="88" fillId="4" fontId="6" numFmtId="0" xfId="0" applyAlignment="1" applyBorder="1" applyFont="1">
      <alignment horizontal="center" readingOrder="0" vertical="center"/>
    </xf>
    <xf borderId="89" fillId="4" fontId="1" numFmtId="0" xfId="0" applyBorder="1" applyFont="1"/>
    <xf borderId="91" fillId="4" fontId="1" numFmtId="0" xfId="0" applyBorder="1" applyFont="1"/>
    <xf borderId="105" fillId="3" fontId="6" numFmtId="0" xfId="0" applyAlignment="1" applyBorder="1" applyFont="1">
      <alignment horizontal="center" readingOrder="0" shrinkToFit="0" vertical="center" wrapText="1"/>
    </xf>
    <xf borderId="105" fillId="4" fontId="6" numFmtId="0" xfId="0" applyAlignment="1" applyBorder="1" applyFont="1">
      <alignment horizontal="center" readingOrder="0" shrinkToFit="0" vertical="center" wrapText="1"/>
    </xf>
    <xf borderId="93" fillId="4" fontId="6" numFmtId="0" xfId="0" applyAlignment="1" applyBorder="1" applyFont="1">
      <alignment horizontal="center" readingOrder="0" vertical="center"/>
    </xf>
    <xf borderId="106" fillId="4" fontId="6" numFmtId="0" xfId="0" applyAlignment="1" applyBorder="1" applyFont="1">
      <alignment horizontal="center" readingOrder="0" shrinkToFit="0" vertical="center" wrapText="1"/>
    </xf>
    <xf borderId="107" fillId="4" fontId="6" numFmtId="0" xfId="0" applyAlignment="1" applyBorder="1" applyFont="1">
      <alignment horizontal="center" readingOrder="0" vertical="center"/>
    </xf>
    <xf borderId="108" fillId="4" fontId="1" numFmtId="0" xfId="0" applyBorder="1" applyFont="1"/>
    <xf borderId="109" fillId="4" fontId="1" numFmtId="0" xfId="0" applyBorder="1" applyFont="1"/>
    <xf borderId="13" fillId="3" fontId="6" numFmtId="3" xfId="0" applyAlignment="1" applyBorder="1" applyFont="1" applyNumberFormat="1">
      <alignment horizontal="center" readingOrder="0" vertical="center"/>
    </xf>
    <xf borderId="15" fillId="3" fontId="6" numFmtId="3" xfId="0" applyAlignment="1" applyBorder="1" applyFont="1" applyNumberFormat="1">
      <alignment horizontal="center" readingOrder="0" vertical="center"/>
    </xf>
    <xf borderId="68" fillId="3" fontId="6" numFmtId="3" xfId="0" applyAlignment="1" applyBorder="1" applyFont="1" applyNumberFormat="1">
      <alignment horizontal="center" readingOrder="0" vertical="center"/>
    </xf>
    <xf borderId="1" fillId="3" fontId="6" numFmtId="3" xfId="0" applyAlignment="1" applyBorder="1" applyFont="1" applyNumberFormat="1">
      <alignment horizontal="center" readingOrder="0" vertical="center"/>
    </xf>
    <xf borderId="23" fillId="3" fontId="6" numFmtId="3" xfId="0" applyAlignment="1" applyBorder="1" applyFont="1" applyNumberFormat="1">
      <alignment horizontal="center" readingOrder="0" vertical="center"/>
    </xf>
    <xf borderId="22" fillId="0" fontId="1" numFmtId="3" xfId="0" applyAlignment="1" applyBorder="1" applyFont="1" applyNumberFormat="1">
      <alignment horizontal="center" readingOrder="0" vertical="center"/>
    </xf>
    <xf borderId="1" fillId="0" fontId="1" numFmtId="3" xfId="0" applyAlignment="1" applyBorder="1" applyFont="1" applyNumberFormat="1">
      <alignment horizontal="center" readingOrder="0" vertical="center"/>
    </xf>
    <xf borderId="23" fillId="0" fontId="1" numFmtId="3" xfId="0" applyAlignment="1" applyBorder="1" applyFont="1" applyNumberFormat="1">
      <alignment horizontal="center" readingOrder="0" vertical="center"/>
    </xf>
    <xf borderId="34" fillId="0" fontId="1" numFmtId="3" xfId="0" applyAlignment="1" applyBorder="1" applyFont="1" applyNumberFormat="1">
      <alignment horizontal="center" readingOrder="0" vertical="center"/>
    </xf>
    <xf borderId="7" fillId="0" fontId="1" numFmtId="3" xfId="0" applyAlignment="1" applyBorder="1" applyFont="1" applyNumberFormat="1">
      <alignment horizontal="center" readingOrder="0" vertical="center"/>
    </xf>
    <xf borderId="25" fillId="0" fontId="1" numFmtId="3" xfId="0" applyAlignment="1" applyBorder="1" applyFont="1" applyNumberFormat="1">
      <alignment horizontal="center" readingOrder="0" vertical="center"/>
    </xf>
    <xf borderId="15" fillId="3" fontId="6" numFmtId="3" xfId="0" applyAlignment="1" applyBorder="1" applyFont="1" applyNumberFormat="1">
      <alignment horizontal="center" readingOrder="0" shrinkToFit="0" vertical="center" wrapText="1"/>
    </xf>
    <xf borderId="8" fillId="0" fontId="6" numFmtId="0" xfId="0" applyAlignment="1" applyBorder="1" applyFont="1">
      <alignment horizontal="center" readingOrder="0" vertical="center"/>
    </xf>
    <xf borderId="2" fillId="0" fontId="12" numFmtId="0" xfId="0" applyAlignment="1" applyBorder="1" applyFont="1">
      <alignment horizontal="center"/>
    </xf>
    <xf borderId="5" fillId="0" fontId="12" numFmtId="0" xfId="0" applyAlignment="1" applyBorder="1" applyFont="1">
      <alignment horizontal="center"/>
    </xf>
    <xf borderId="6" fillId="0" fontId="12" numFmtId="0" xfId="0" applyAlignment="1" applyBorder="1" applyFont="1">
      <alignment horizontal="center" readingOrder="0"/>
    </xf>
    <xf borderId="6" fillId="0" fontId="12" numFmtId="0" xfId="0" applyAlignment="1" applyBorder="1" applyFont="1">
      <alignment horizontal="center"/>
    </xf>
    <xf borderId="1" fillId="15" fontId="6" numFmtId="0" xfId="0" applyAlignment="1" applyBorder="1" applyFill="1" applyFont="1">
      <alignment horizontal="center" readingOrder="0" vertical="center"/>
    </xf>
    <xf borderId="5" fillId="15" fontId="12" numFmtId="0" xfId="0" applyAlignment="1" applyBorder="1" applyFont="1">
      <alignment horizontal="center"/>
    </xf>
    <xf borderId="6" fillId="15" fontId="12" numFmtId="0" xfId="0" applyAlignment="1" applyBorder="1" applyFont="1">
      <alignment horizontal="center" readingOrder="0"/>
    </xf>
    <xf borderId="6" fillId="15" fontId="12" numFmtId="0" xfId="0" applyAlignment="1" applyBorder="1" applyFont="1">
      <alignment horizontal="center"/>
    </xf>
    <xf borderId="1" fillId="15" fontId="12" numFmtId="0" xfId="0" applyAlignment="1" applyBorder="1" applyFont="1">
      <alignment horizontal="center"/>
    </xf>
    <xf borderId="4" fillId="15" fontId="12" numFmtId="0" xfId="0" applyAlignment="1" applyBorder="1" applyFont="1">
      <alignment horizontal="center" readingOrder="0"/>
    </xf>
    <xf borderId="4" fillId="15" fontId="12" numFmtId="0" xfId="0" applyAlignment="1" applyBorder="1" applyFont="1">
      <alignment horizontal="center"/>
    </xf>
    <xf borderId="1" fillId="9" fontId="6" numFmtId="0" xfId="0" applyAlignment="1" applyBorder="1" applyFont="1">
      <alignment horizontal="center" readingOrder="0" vertical="center"/>
    </xf>
    <xf borderId="1" fillId="9" fontId="12" numFmtId="0" xfId="0" applyAlignment="1" applyBorder="1" applyFont="1">
      <alignment horizontal="center"/>
    </xf>
    <xf borderId="4" fillId="9" fontId="12" numFmtId="0" xfId="0" applyAlignment="1" applyBorder="1" applyFont="1">
      <alignment horizontal="center" readingOrder="0"/>
    </xf>
    <xf borderId="4" fillId="9" fontId="12" numFmtId="0" xfId="0" applyAlignment="1" applyBorder="1" applyFont="1">
      <alignment horizontal="center"/>
    </xf>
    <xf borderId="1" fillId="9" fontId="12" numFmtId="0" xfId="0" applyAlignment="1" applyBorder="1" applyFont="1">
      <alignment horizontal="center" readingOrder="0"/>
    </xf>
    <xf borderId="1" fillId="10" fontId="18" numFmtId="0" xfId="0" applyAlignment="1" applyBorder="1" applyFont="1">
      <alignment horizontal="center" readingOrder="0" vertical="center"/>
    </xf>
    <xf borderId="1" fillId="10" fontId="23" numFmtId="0" xfId="0" applyAlignment="1" applyBorder="1" applyFont="1">
      <alignment horizontal="center" readingOrder="0"/>
    </xf>
    <xf borderId="4" fillId="10" fontId="23" numFmtId="0" xfId="0" applyAlignment="1" applyBorder="1" applyFont="1">
      <alignment horizontal="center" readingOrder="0"/>
    </xf>
    <xf borderId="4" fillId="10" fontId="23" numFmtId="0" xfId="0" applyAlignment="1" applyBorder="1" applyFont="1">
      <alignment horizontal="center"/>
    </xf>
  </cellXfs>
  <cellStyles count="1">
    <cellStyle xfId="0" name="Normal" builtinId="0"/>
  </cellStyles>
  <dxfs count="11">
    <dxf>
      <font/>
      <fill>
        <patternFill patternType="none"/>
      </fill>
      <border/>
    </dxf>
    <dxf>
      <font/>
      <fill>
        <patternFill patternType="solid">
          <fgColor rgb="FFFFFFFF"/>
          <bgColor rgb="FFFFFFFF"/>
        </patternFill>
      </fill>
      <border/>
    </dxf>
    <dxf>
      <font/>
      <fill>
        <patternFill patternType="solid">
          <fgColor rgb="FFC9DAF8"/>
          <bgColor rgb="FFC9DAF8"/>
        </patternFill>
      </fill>
      <border/>
    </dxf>
    <dxf>
      <font>
        <color rgb="FFFFFFFF"/>
      </font>
      <fill>
        <patternFill patternType="solid">
          <fgColor rgb="FFFF0000"/>
          <bgColor rgb="FFFF0000"/>
        </patternFill>
      </fill>
      <border/>
    </dxf>
    <dxf>
      <font/>
      <fill>
        <patternFill patternType="solid">
          <fgColor rgb="FFA4C2F4"/>
          <bgColor rgb="FFA4C2F4"/>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9FC5E8"/>
          <bgColor rgb="FF9FC5E8"/>
        </patternFill>
      </fill>
      <border/>
    </dxf>
    <dxf>
      <font/>
      <fill>
        <patternFill patternType="solid">
          <fgColor rgb="FFCFE2F3"/>
          <bgColor rgb="FFCFE2F3"/>
        </patternFill>
      </fill>
      <border/>
    </dxf>
    <dxf>
      <font/>
      <fill>
        <patternFill patternType="solid">
          <fgColor rgb="FF4DD0E1"/>
          <bgColor rgb="FF4DD0E1"/>
        </patternFill>
      </fill>
      <border/>
    </dxf>
    <dxf>
      <font/>
      <fill>
        <patternFill patternType="solid">
          <fgColor rgb="FFE0F7FA"/>
          <bgColor rgb="FFE0F7FA"/>
        </patternFill>
      </fill>
      <border/>
    </dxf>
  </dxfs>
  <tableStyles count="26">
    <tableStyle count="2" pivot="0" name="Range-style">
      <tableStyleElement dxfId="1" type="firstRowStripe"/>
      <tableStyleElement dxfId="2" type="secondRowStripe"/>
    </tableStyle>
    <tableStyle count="3" pivot="0" name="Hero Template Builder-style">
      <tableStyleElement dxfId="4" type="headerRow"/>
      <tableStyleElement dxfId="1" type="firstRowStripe"/>
      <tableStyleElement dxfId="2" type="secondRowStripe"/>
    </tableStyle>
    <tableStyle count="3" pivot="0" name="Hero Template Builder-style 2">
      <tableStyleElement dxfId="4" type="headerRow"/>
      <tableStyleElement dxfId="5" type="firstRowStripe"/>
      <tableStyleElement dxfId="6" type="secondRowStripe"/>
    </tableStyle>
    <tableStyle count="3" pivot="0" name="Hero Template Builder-style 3">
      <tableStyleElement dxfId="4" type="headerRow"/>
      <tableStyleElement dxfId="1" type="firstRowStripe"/>
      <tableStyleElement dxfId="2" type="secondRowStripe"/>
    </tableStyle>
    <tableStyle count="3" pivot="0" name="Hero Template Builder-style 4">
      <tableStyleElement dxfId="4" type="headerRow"/>
      <tableStyleElement dxfId="5" type="firstRowStripe"/>
      <tableStyleElement dxfId="6" type="secondRowStripe"/>
    </tableStyle>
    <tableStyle count="3" pivot="0" name="Gear Leveling &amp; Effects-style">
      <tableStyleElement dxfId="4" type="headerRow"/>
      <tableStyleElement dxfId="1" type="firstRowStripe"/>
      <tableStyleElement dxfId="2" type="secondRowStripe"/>
    </tableStyle>
    <tableStyle count="2" pivot="0" name="Gear Leveling &amp; Effects-style 2">
      <tableStyleElement dxfId="1" type="firstRowStripe"/>
      <tableStyleElement dxfId="2" type="secondRowStripe"/>
    </tableStyle>
    <tableStyle count="2" pivot="0" name="Artifacts-style">
      <tableStyleElement dxfId="1" type="firstRowStripe"/>
      <tableStyleElement dxfId="2" type="secondRowStripe"/>
    </tableStyle>
    <tableStyle count="2" pivot="0" name="Artifacts-style 2">
      <tableStyleElement dxfId="1" type="firstRowStripe"/>
      <tableStyleElement dxfId="2" type="secondRowStripe"/>
    </tableStyle>
    <tableStyle count="2" pivot="0" name="Artifacts-style 3">
      <tableStyleElement dxfId="1" type="firstRowStripe"/>
      <tableStyleElement dxfId="2" type="secondRowStripe"/>
    </tableStyle>
    <tableStyle count="2" pivot="0" name="Artifacts-style 4">
      <tableStyleElement dxfId="1" type="firstRowStripe"/>
      <tableStyleElement dxfId="2" type="secondRowStripe"/>
    </tableStyle>
    <tableStyle count="2" pivot="0" name="Talents-style">
      <tableStyleElement dxfId="1" type="firstRowStripe"/>
      <tableStyleElement dxfId="2" type="secondRowStripe"/>
    </tableStyle>
    <tableStyle count="3" pivot="0" name="Level XP-style">
      <tableStyleElement dxfId="7" type="headerRow"/>
      <tableStyleElement dxfId="1" type="firstRowStripe"/>
      <tableStyleElement dxfId="8" type="secondRowStripe"/>
    </tableStyle>
    <tableStyle count="3" pivot="0" name="Level XP-style 2">
      <tableStyleElement dxfId="4" type="headerRow"/>
      <tableStyleElement dxfId="1" type="firstRowStripe"/>
      <tableStyleElement dxfId="2" type="secondRowStripe"/>
    </tableStyle>
    <tableStyle count="3" pivot="0" name="Abilities-style">
      <tableStyleElement dxfId="9" type="headerRow"/>
      <tableStyleElement dxfId="1" type="firstRowStripe"/>
      <tableStyleElement dxfId="10" type="secondRowStripe"/>
    </tableStyle>
    <tableStyle count="3" pivot="0" name="Abilities-style 2">
      <tableStyleElement dxfId="9" type="headerRow"/>
      <tableStyleElement dxfId="1" type="firstRowStripe"/>
      <tableStyleElement dxfId="10" type="secondRowStripe"/>
    </tableStyle>
    <tableStyle count="2" pivot="0" name="Operations-style">
      <tableStyleElement dxfId="1" type="firstRowStripe"/>
      <tableStyleElement dxfId="2" type="secondRowStripe"/>
    </tableStyle>
    <tableStyle count="3" pivot="0" name="Operations-style 2">
      <tableStyleElement dxfId="4" type="headerRow"/>
      <tableStyleElement dxfId="5" type="firstRowStripe"/>
      <tableStyleElement dxfId="6" type="secondRowStripe"/>
    </tableStyle>
    <tableStyle count="2" pivot="0" name="Arena XP &amp; Battle Rating Calcul-style">
      <tableStyleElement dxfId="1" type="firstRowStripe"/>
      <tableStyleElement dxfId="2" type="secondRowStripe"/>
    </tableStyle>
    <tableStyle count="2" pivot="0" name="Arena XP &amp; Battle Rating Calcul-style 2">
      <tableStyleElement dxfId="5" type="firstRowStripe"/>
      <tableStyleElement dxfId="6" type="secondRowStripe"/>
    </tableStyle>
    <tableStyle count="2" pivot="0" name="Resource Missions-style">
      <tableStyleElement dxfId="1" type="firstRowStripe"/>
      <tableStyleElement dxfId="2" type="secondRowStripe"/>
    </tableStyle>
    <tableStyle count="3" pivot="0" name="Resource Missions-style 2">
      <tableStyleElement dxfId="4" type="headerRow"/>
      <tableStyleElement dxfId="1" type="firstRowStripe"/>
      <tableStyleElement dxfId="2" type="secondRowStripe"/>
    </tableStyle>
    <tableStyle count="2" pivot="0" name="Resource Missions-style 3">
      <tableStyleElement dxfId="1" type="firstRowStripe"/>
      <tableStyleElement dxfId="2" type="secondRowStripe"/>
    </tableStyle>
    <tableStyle count="2" pivot="0" name="League Missions-style">
      <tableStyleElement dxfId="1" type="firstRowStripe"/>
      <tableStyleElement dxfId="2" type="secondRowStripe"/>
    </tableStyle>
    <tableStyle count="2" pivot="0" name="League Missions-style 2">
      <tableStyleElement dxfId="1" type="firstRowStripe"/>
      <tableStyleElement dxfId="2" type="secondRowStripe"/>
    </tableStyle>
    <tableStyle count="2" pivot="0" name="League Missions-style 3">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M61:AM71" displayName="Table_1" id="1">
  <tableColumns count="1">
    <tableColumn name="Column1" id="1"/>
  </tableColumns>
  <tableStyleInfo name="Range-style" showColumnStripes="0" showFirstColumn="1" showLastColumn="1" showRowStripes="1"/>
</table>
</file>

<file path=xl/tables/table10.xml><?xml version="1.0" encoding="utf-8"?>
<table xmlns="http://schemas.openxmlformats.org/spreadsheetml/2006/main" headerRowCount="0" ref="B5:F14" displayName="Table_10" id="10">
  <tableColumns count="5">
    <tableColumn name="Column1" id="1"/>
    <tableColumn name="Column2" id="2"/>
    <tableColumn name="Column3" id="3"/>
    <tableColumn name="Column4" id="4"/>
    <tableColumn name="Column5" id="5"/>
  </tableColumns>
  <tableStyleInfo name="Artifacts-style 3" showColumnStripes="0" showFirstColumn="1" showLastColumn="1" showRowStripes="1"/>
</table>
</file>

<file path=xl/tables/table11.xml><?xml version="1.0" encoding="utf-8"?>
<table xmlns="http://schemas.openxmlformats.org/spreadsheetml/2006/main" headerRowCount="0" ref="N5:R14" displayName="Table_11" id="11">
  <tableColumns count="5">
    <tableColumn name="Column1" id="1"/>
    <tableColumn name="Column2" id="2"/>
    <tableColumn name="Column3" id="3"/>
    <tableColumn name="Column4" id="4"/>
    <tableColumn name="Column5" id="5"/>
  </tableColumns>
  <tableStyleInfo name="Artifacts-style 4" showColumnStripes="0" showFirstColumn="1" showLastColumn="1" showRowStripes="1"/>
</table>
</file>

<file path=xl/tables/table12.xml><?xml version="1.0" encoding="utf-8"?>
<table xmlns="http://schemas.openxmlformats.org/spreadsheetml/2006/main" headerRowCount="0" ref="A1:D11" displayName="Table_12" id="12">
  <tableColumns count="4">
    <tableColumn name="Column1" id="1"/>
    <tableColumn name="Column2" id="2"/>
    <tableColumn name="Column3" id="3"/>
    <tableColumn name="Column4" id="4"/>
  </tableColumns>
  <tableStyleInfo name="Talents-style" showColumnStripes="0" showFirstColumn="1" showLastColumn="1" showRowStripes="1"/>
</table>
</file>

<file path=xl/tables/table13.xml><?xml version="1.0" encoding="utf-8"?>
<table xmlns="http://schemas.openxmlformats.org/spreadsheetml/2006/main" ref="I1:K16" displayName="Table_13" id="13">
  <tableColumns count="3">
    <tableColumn name="To Level" id="1"/>
    <tableColumn name="XP Needed" id="2"/>
    <tableColumn name="XP Left to 70" id="3"/>
  </tableColumns>
  <tableStyleInfo name="Level XP-style" showColumnStripes="0" showFirstColumn="1" showLastColumn="1" showRowStripes="1"/>
</table>
</file>

<file path=xl/tables/table14.xml><?xml version="1.0" encoding="utf-8"?>
<table xmlns="http://schemas.openxmlformats.org/spreadsheetml/2006/main" headerRowCount="0" ref="A1:H36"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Level XP-style 2"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Z37" displayName="Table_15" id="15">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Abilitie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ref="A2:B8" displayName="Table_16" id="16">
  <tableColumns count="2">
    <tableColumn name="Level" id="1"/>
    <tableColumn name="Credits" id="2"/>
  </tableColumns>
  <tableStyleInfo name="Abilities-style 2" showColumnStripes="0" showFirstColumn="1" showLastColumn="1" showRowStripes="1"/>
</table>
</file>

<file path=xl/tables/table17.xml><?xml version="1.0" encoding="utf-8"?>
<table xmlns="http://schemas.openxmlformats.org/spreadsheetml/2006/main" headerRowCount="0" ref="A20:A24" displayName="Table_17" id="17">
  <tableColumns count="1">
    <tableColumn name="Column1" id="1"/>
  </tableColumns>
  <tableStyleInfo name="Operations-style" showColumnStripes="0" showFirstColumn="1" showLastColumn="1" showRowStripes="1"/>
</table>
</file>

<file path=xl/tables/table18.xml><?xml version="1.0" encoding="utf-8"?>
<table xmlns="http://schemas.openxmlformats.org/spreadsheetml/2006/main" ref="A13:A18" displayName="Table_18" id="18">
  <tableColumns count="1">
    <tableColumn name="Current Operations Bonuses" id="1"/>
  </tableColumns>
  <tableStyleInfo name="Operations-style 2" showColumnStripes="0" showFirstColumn="1" showLastColumn="1" showRowStripes="1"/>
</table>
</file>

<file path=xl/tables/table19.xml><?xml version="1.0" encoding="utf-8"?>
<table xmlns="http://schemas.openxmlformats.org/spreadsheetml/2006/main" headerRowCount="0" ref="N4:P8" displayName="Table_19" id="19">
  <tableColumns count="3">
    <tableColumn name="Column1" id="1"/>
    <tableColumn name="Column2" id="2"/>
    <tableColumn name="Column3" id="3"/>
  </tableColumns>
  <tableStyleInfo name="Arena XP &amp; Battle Rating Calcul-style" showColumnStripes="0" showFirstColumn="1" showLastColumn="1" showRowStripes="1"/>
</table>
</file>

<file path=xl/tables/table2.xml><?xml version="1.0" encoding="utf-8"?>
<table xmlns="http://schemas.openxmlformats.org/spreadsheetml/2006/main" ref="G14:G34" displayName="Table_2" id="2">
  <tableColumns count="1">
    <tableColumn name="Affects Threat" id="1"/>
  </tableColumns>
  <tableStyleInfo name="Hero Template Builder-style" showColumnStripes="0" showFirstColumn="1" showLastColumn="1" showRowStripes="1"/>
</table>
</file>

<file path=xl/tables/table20.xml><?xml version="1.0" encoding="utf-8"?>
<table xmlns="http://schemas.openxmlformats.org/spreadsheetml/2006/main" headerRowCount="0" ref="Q4:Q9" displayName="Table_20" id="20">
  <tableColumns count="1">
    <tableColumn name="Column1" id="1"/>
  </tableColumns>
  <tableStyleInfo name="Arena XP &amp; Battle Rating Calcul-style 2" showColumnStripes="0" showFirstColumn="1" showLastColumn="1" showRowStripes="1"/>
</table>
</file>

<file path=xl/tables/table21.xml><?xml version="1.0" encoding="utf-8"?>
<table xmlns="http://schemas.openxmlformats.org/spreadsheetml/2006/main" headerRowCount="0" ref="A32:J37" displayName="Table_21" id="2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Resource Missions-style" showColumnStripes="0" showFirstColumn="1" showLastColumn="1" showRowStripes="1"/>
</table>
</file>

<file path=xl/tables/table22.xml><?xml version="1.0" encoding="utf-8"?>
<table xmlns="http://schemas.openxmlformats.org/spreadsheetml/2006/main" headerRowCount="0" ref="J4:K12" displayName="Table_22" id="22">
  <tableColumns count="2">
    <tableColumn name="Column1" id="1"/>
    <tableColumn name="Column2" id="2"/>
  </tableColumns>
  <tableStyleInfo name="Resource Missions-style 2"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A19:J2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Resource Missions-style 3" showColumnStripes="0" showFirstColumn="1" showLastColumn="1" showRowStripes="1"/>
</table>
</file>

<file path=xl/tables/table24.xml><?xml version="1.0" encoding="utf-8"?>
<table xmlns="http://schemas.openxmlformats.org/spreadsheetml/2006/main" headerRowCount="0" ref="B32:F37" displayName="Table_24" id="24">
  <tableColumns count="5">
    <tableColumn name="Column1" id="1"/>
    <tableColumn name="Column2" id="2"/>
    <tableColumn name="Column3" id="3"/>
    <tableColumn name="Column4" id="4"/>
    <tableColumn name="Column5" id="5"/>
  </tableColumns>
  <tableStyleInfo name="League Missions-style" showColumnStripes="0" showFirstColumn="1" showLastColumn="1" showRowStripes="1"/>
</table>
</file>

<file path=xl/tables/table25.xml><?xml version="1.0" encoding="utf-8"?>
<table xmlns="http://schemas.openxmlformats.org/spreadsheetml/2006/main" headerRowCount="0" ref="B17:F22" displayName="Table_25" id="25">
  <tableColumns count="5">
    <tableColumn name="Column1" id="1"/>
    <tableColumn name="Column2" id="2"/>
    <tableColumn name="Column3" id="3"/>
    <tableColumn name="Column4" id="4"/>
    <tableColumn name="Column5" id="5"/>
  </tableColumns>
  <tableStyleInfo name="League Missions-style 2" showColumnStripes="0" showFirstColumn="1" showLastColumn="1" showRowStripes="1"/>
</table>
</file>

<file path=xl/tables/table26.xml><?xml version="1.0" encoding="utf-8"?>
<table xmlns="http://schemas.openxmlformats.org/spreadsheetml/2006/main" headerRowCount="0" ref="B6:F11" displayName="Table_26" id="26">
  <tableColumns count="5">
    <tableColumn name="Column1" id="1"/>
    <tableColumn name="Column2" id="2"/>
    <tableColumn name="Column3" id="3"/>
    <tableColumn name="Column4" id="4"/>
    <tableColumn name="Column5" id="5"/>
  </tableColumns>
  <tableStyleInfo name="League Missions-style 3" showColumnStripes="0" showFirstColumn="1" showLastColumn="1" showRowStripes="1"/>
</table>
</file>

<file path=xl/tables/table3.xml><?xml version="1.0" encoding="utf-8"?>
<table xmlns="http://schemas.openxmlformats.org/spreadsheetml/2006/main" ref="E14:F34" displayName="Table_3" id="3">
  <tableColumns count="2">
    <tableColumn name="Totals per Effect" id="1"/>
    <tableColumn name="Value" id="2"/>
  </tableColumns>
  <tableStyleInfo name="Hero Template Builder-style 2" showColumnStripes="0" showFirstColumn="1" showLastColumn="1" showRowStripes="1"/>
</table>
</file>

<file path=xl/tables/table4.xml><?xml version="1.0" encoding="utf-8"?>
<table xmlns="http://schemas.openxmlformats.org/spreadsheetml/2006/main" ref="E3:F6" displayName="Table_4" id="4">
  <tableColumns count="2">
    <tableColumn name="Gear Set Bonus (in order of 2/5, 3/5 and 5/5)" id="1"/>
    <tableColumn name="Value (%age)" id="2"/>
  </tableColumns>
  <tableStyleInfo name="Hero Template Builder-style 3" showColumnStripes="0" showFirstColumn="1" showLastColumn="1" showRowStripes="1"/>
</table>
</file>

<file path=xl/tables/table5.xml><?xml version="1.0" encoding="utf-8"?>
<table xmlns="http://schemas.openxmlformats.org/spreadsheetml/2006/main" ref="E7:F13" displayName="Table_5" id="5">
  <tableColumns count="2">
    <tableColumn name="Hero Talents" id="1"/>
    <tableColumn name="Value (%age)" id="2"/>
  </tableColumns>
  <tableStyleInfo name="Hero Template Builder-style 4" showColumnStripes="0" showFirstColumn="1" showLastColumn="1" showRowStripes="1"/>
</table>
</file>

<file path=xl/tables/table6.xml><?xml version="1.0" encoding="utf-8"?>
<table xmlns="http://schemas.openxmlformats.org/spreadsheetml/2006/main" ref="S10:V28" displayName="Table_6" id="6">
  <tableColumns count="4">
    <tableColumn name="Possible Effects" id="1"/>
    <tableColumn name="Base Roll (at lvl 5)" id="2"/>
    <tableColumn name="Increase Per Level" id="3"/>
    <tableColumn name="Value" id="4"/>
  </tableColumns>
  <tableStyleInfo name="Gear Leveling &amp; Effects-style" showColumnStripes="0" showFirstColumn="1" showLastColumn="1" showRowStripes="1"/>
</table>
</file>

<file path=xl/tables/table7.xml><?xml version="1.0" encoding="utf-8"?>
<table xmlns="http://schemas.openxmlformats.org/spreadsheetml/2006/main" headerRowCount="0" ref="B2:M36" displayName="Table_7" id="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Gear Leveling &amp; Effects-style 2" showColumnStripes="0" showFirstColumn="1" showLastColumn="1" showRowStripes="1"/>
</table>
</file>

<file path=xl/tables/table8.xml><?xml version="1.0" encoding="utf-8"?>
<table xmlns="http://schemas.openxmlformats.org/spreadsheetml/2006/main" headerRowCount="0" ref="Q26:Q27" displayName="Table_8" id="8">
  <tableColumns count="1">
    <tableColumn name="Column1" id="1"/>
  </tableColumns>
  <tableStyleInfo name="Artifacts-style" showColumnStripes="0" showFirstColumn="1" showLastColumn="1" showRowStripes="1"/>
</table>
</file>

<file path=xl/tables/table9.xml><?xml version="1.0" encoding="utf-8"?>
<table xmlns="http://schemas.openxmlformats.org/spreadsheetml/2006/main" headerRowCount="0" ref="H5:L14" displayName="Table_9" id="9">
  <tableColumns count="5">
    <tableColumn name="Column1" id="1"/>
    <tableColumn name="Column2" id="2"/>
    <tableColumn name="Column3" id="3"/>
    <tableColumn name="Column4" id="4"/>
    <tableColumn name="Column5" id="5"/>
  </tableColumns>
  <tableStyleInfo name="Artifact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4" Type="http://schemas.openxmlformats.org/officeDocument/2006/relationships/table" Target="../tables/table15.xml"/><Relationship Id="rId5" Type="http://schemas.openxmlformats.org/officeDocument/2006/relationships/table" Target="../tables/table1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 Id="rId6" Type="http://schemas.openxmlformats.org/officeDocument/2006/relationships/table" Target="../tables/table17.xml"/><Relationship Id="rId7"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4" Type="http://schemas.openxmlformats.org/officeDocument/2006/relationships/table" Target="../tables/table19.xml"/><Relationship Id="rId5"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5" Type="http://schemas.openxmlformats.org/officeDocument/2006/relationships/table" Target="../tables/table21.xml"/><Relationship Id="rId6" Type="http://schemas.openxmlformats.org/officeDocument/2006/relationships/table" Target="../tables/table22.xml"/><Relationship Id="rId7" Type="http://schemas.openxmlformats.org/officeDocument/2006/relationships/table" Target="../tables/table2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5" Type="http://schemas.openxmlformats.org/officeDocument/2006/relationships/table" Target="../tables/table24.xml"/><Relationship Id="rId6" Type="http://schemas.openxmlformats.org/officeDocument/2006/relationships/table" Target="../tables/table25.xml"/><Relationship Id="rId7" Type="http://schemas.openxmlformats.org/officeDocument/2006/relationships/table" Target="../tables/table2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oo.gl/RSdf3X" TargetMode="External"/><Relationship Id="rId3" Type="http://schemas.openxmlformats.org/officeDocument/2006/relationships/hyperlink" Target="https://goo.gl/6Qhi28" TargetMode="External"/><Relationship Id="rId4" Type="http://schemas.openxmlformats.org/officeDocument/2006/relationships/drawing" Target="../drawings/drawing3.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6.xml"/><Relationship Id="rId5" Type="http://schemas.openxmlformats.org/officeDocument/2006/relationships/table" Target="../tables/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9" Type="http://schemas.openxmlformats.org/officeDocument/2006/relationships/table" Target="../tables/table11.xml"/><Relationship Id="rId6" Type="http://schemas.openxmlformats.org/officeDocument/2006/relationships/table" Target="../tables/table8.xml"/><Relationship Id="rId7" Type="http://schemas.openxmlformats.org/officeDocument/2006/relationships/table" Target="../tables/table9.xml"/><Relationship Id="rId8"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4" Type="http://schemas.openxmlformats.org/officeDocument/2006/relationships/table" Target="../tables/table13.xml"/><Relationship Id="rId5"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1" max="22" width="25.14"/>
    <col customWidth="1" min="23" max="25" width="21.57"/>
    <col customWidth="1" min="45" max="45" width="43.0"/>
    <col customWidth="1" min="47" max="47" width="28.71"/>
    <col customWidth="1" min="49" max="49" width="35.86"/>
    <col customWidth="1" min="50" max="50" width="22.14"/>
    <col customWidth="1" min="54" max="54" width="18.86"/>
    <col customWidth="1" min="60" max="60" width="21.57"/>
    <col customWidth="1" min="62" max="62" width="19.71"/>
  </cols>
  <sheetData>
    <row r="1">
      <c r="A1" s="1" t="s">
        <v>0</v>
      </c>
      <c r="B1" s="1" t="s">
        <v>1</v>
      </c>
      <c r="C1" s="2"/>
      <c r="D1" s="3" t="s">
        <v>2</v>
      </c>
      <c r="E1" s="3" t="s">
        <v>3</v>
      </c>
      <c r="F1" s="3" t="s">
        <v>4</v>
      </c>
      <c r="G1" s="3" t="s">
        <v>5</v>
      </c>
      <c r="H1" s="1" t="s">
        <v>6</v>
      </c>
      <c r="I1" s="4" t="s">
        <v>7</v>
      </c>
      <c r="J1" s="2"/>
      <c r="K1" s="5" t="s">
        <v>8</v>
      </c>
      <c r="L1" s="5">
        <v>1.0</v>
      </c>
      <c r="M1" s="5">
        <v>2.0</v>
      </c>
      <c r="N1" s="5">
        <v>3.0</v>
      </c>
      <c r="O1" s="5">
        <v>4.0</v>
      </c>
      <c r="P1" s="5">
        <v>5.0</v>
      </c>
      <c r="Q1" s="5">
        <v>6.0</v>
      </c>
      <c r="R1" s="5">
        <v>7.0</v>
      </c>
      <c r="S1" s="5">
        <v>8.0</v>
      </c>
      <c r="T1" s="6"/>
      <c r="U1" s="6" t="s">
        <v>9</v>
      </c>
      <c r="V1" s="6" t="s">
        <v>10</v>
      </c>
      <c r="W1" s="6" t="s">
        <v>11</v>
      </c>
      <c r="X1" s="6" t="s">
        <v>12</v>
      </c>
      <c r="Y1" s="6" t="s">
        <v>13</v>
      </c>
      <c r="Z1" s="6"/>
      <c r="AA1" s="1" t="s">
        <v>14</v>
      </c>
      <c r="AB1" s="7" t="s">
        <v>15</v>
      </c>
      <c r="AC1" s="8"/>
      <c r="AD1" s="9"/>
      <c r="AE1" s="7" t="s">
        <v>16</v>
      </c>
      <c r="AF1" s="8"/>
      <c r="AG1" s="9"/>
      <c r="AH1" s="7" t="s">
        <v>17</v>
      </c>
      <c r="AI1" s="8"/>
      <c r="AJ1" s="9"/>
      <c r="AK1" s="6"/>
      <c r="AL1" s="1" t="s">
        <v>8</v>
      </c>
      <c r="AM1" s="1" t="s">
        <v>18</v>
      </c>
      <c r="AN1" s="1" t="s">
        <v>19</v>
      </c>
      <c r="AO1" s="1" t="s">
        <v>20</v>
      </c>
      <c r="AP1" s="1" t="s">
        <v>21</v>
      </c>
      <c r="AQ1" s="6" t="s">
        <v>22</v>
      </c>
      <c r="AR1" s="6"/>
      <c r="AS1" s="1" t="s">
        <v>23</v>
      </c>
      <c r="AT1" s="5" t="s">
        <v>24</v>
      </c>
      <c r="AU1" s="10" t="s">
        <v>25</v>
      </c>
      <c r="AV1" s="11" t="s">
        <v>26</v>
      </c>
      <c r="AW1" s="1" t="s">
        <v>27</v>
      </c>
      <c r="AX1" s="12">
        <v>42771.0</v>
      </c>
      <c r="AY1" s="5" t="s">
        <v>24</v>
      </c>
      <c r="AZ1" s="12">
        <v>43164.0</v>
      </c>
      <c r="BA1" s="5" t="s">
        <v>24</v>
      </c>
      <c r="BB1" s="12">
        <v>43225.0</v>
      </c>
      <c r="BC1" s="5" t="s">
        <v>24</v>
      </c>
      <c r="BD1" s="7" t="s">
        <v>28</v>
      </c>
      <c r="BE1" s="8"/>
      <c r="BF1" s="8"/>
      <c r="BG1" s="8"/>
      <c r="BH1" s="9"/>
      <c r="BI1" s="6"/>
      <c r="BJ1" s="13" t="s">
        <v>29</v>
      </c>
      <c r="BK1" s="13"/>
      <c r="BL1" s="13" t="s">
        <v>30</v>
      </c>
      <c r="BM1" s="13" t="s">
        <v>31</v>
      </c>
      <c r="BN1" s="13" t="s">
        <v>32</v>
      </c>
      <c r="BO1" s="13" t="s">
        <v>33</v>
      </c>
      <c r="BP1" s="13" t="s">
        <v>34</v>
      </c>
      <c r="BQ1" s="13" t="s">
        <v>35</v>
      </c>
      <c r="BR1" s="13" t="s">
        <v>36</v>
      </c>
      <c r="BS1" s="6"/>
    </row>
    <row r="2">
      <c r="A2" s="1">
        <v>0.0</v>
      </c>
      <c r="B2" s="1">
        <v>1.0</v>
      </c>
      <c r="C2" s="2"/>
      <c r="D2" s="3">
        <v>1.0</v>
      </c>
      <c r="E2" s="3">
        <v>100.0</v>
      </c>
      <c r="F2" s="3">
        <v>0.0</v>
      </c>
      <c r="G2" s="14">
        <f>$F$71-F2</f>
        <v>2642950</v>
      </c>
      <c r="H2" s="15">
        <f t="shared" ref="H2:I2" si="1">F2/$F$71</f>
        <v>0</v>
      </c>
      <c r="I2" s="16">
        <f t="shared" si="1"/>
        <v>1</v>
      </c>
      <c r="J2" s="2"/>
      <c r="K2" s="5">
        <v>0.0</v>
      </c>
      <c r="L2" s="5">
        <v>160.0</v>
      </c>
      <c r="M2" s="5">
        <v>300.0</v>
      </c>
      <c r="N2" s="5">
        <v>425.0</v>
      </c>
      <c r="O2" s="5">
        <v>550.0</v>
      </c>
      <c r="P2" s="5">
        <v>785.0</v>
      </c>
      <c r="Q2" s="5">
        <v>995.0</v>
      </c>
      <c r="R2" s="5">
        <v>1415.0</v>
      </c>
      <c r="S2" s="5">
        <v>2690.0</v>
      </c>
      <c r="T2" s="11"/>
      <c r="U2" s="11">
        <f>IFERROR(__xludf.DUMMYFUNCTION("FILTER(D2:D70,D2:D70&gt;Operations!I2)"),46.0)</f>
        <v>46</v>
      </c>
      <c r="V2" s="11">
        <f>IFERROR(__xludf.DUMMYFUNCTION("IF('Arena XP &amp; Battle Rating Calcul'!H2=69,""N/A"",FILTER(D2:D70,D2:D70&gt;'Arena XP &amp; Battle Rating Calcul'!H2))"),4.0)</f>
        <v>4</v>
      </c>
      <c r="W2" s="11">
        <f>IFERROR(__xludf.DUMMYFUNCTION("FILTER($AA$3:$AA$70,$AA$3:$AA$70&gt;Abilities!A19)"),21.0)</f>
        <v>21</v>
      </c>
      <c r="X2" s="11">
        <f>IFERROR(__xludf.DUMMYFUNCTION("FILTER($AA$3:$AA$70,$AA$3:$AA$70&gt;Abilities!A24)"),61.0)</f>
        <v>61</v>
      </c>
      <c r="Y2" s="11">
        <f>IFERROR(__xludf.DUMMYFUNCTION("FILTER($AA$3:$AA$70,$AA$3:$AA$70&gt;Abilities!A29)"),32.0)</f>
        <v>32</v>
      </c>
      <c r="Z2" s="11"/>
      <c r="AA2" s="5">
        <v>1.0</v>
      </c>
      <c r="AB2" s="3">
        <v>250.0</v>
      </c>
      <c r="AC2" s="3">
        <v>0.0</v>
      </c>
      <c r="AD2" s="3">
        <f t="shared" ref="AD2:AD71" si="4">minus($AC$71,AC2)</f>
        <v>1187750</v>
      </c>
      <c r="AE2" s="3">
        <v>350.0</v>
      </c>
      <c r="AF2" s="3">
        <v>0.0</v>
      </c>
      <c r="AG2" s="3">
        <f t="shared" ref="AG2:AG71" si="5">minus($AF$71,AF2)</f>
        <v>1429210</v>
      </c>
      <c r="AH2" s="3">
        <v>500.0</v>
      </c>
      <c r="AI2" s="3">
        <v>0.0</v>
      </c>
      <c r="AJ2" s="3">
        <f t="shared" ref="AJ2:AJ71" si="6">minus($AI$71,AI2)</f>
        <v>1792760</v>
      </c>
      <c r="AK2" s="11"/>
      <c r="AL2" s="5">
        <v>1.0</v>
      </c>
      <c r="AM2" s="3">
        <v>20.0</v>
      </c>
      <c r="AN2" s="3">
        <v>0.0</v>
      </c>
      <c r="AO2" s="3">
        <v>264900.0</v>
      </c>
      <c r="AP2" s="5">
        <f t="shared" ref="AP2:AP71" si="7">MULTIPLY(AN2,5)</f>
        <v>0</v>
      </c>
      <c r="AQ2" s="11">
        <f>IFERROR(__xludf.DUMMYFUNCTION("FILTER(AL3:AL71,AL3:AL71&gt;'Gear Leveling &amp; Effects'!$Q$14)"),2.0)</f>
        <v>2</v>
      </c>
      <c r="AR2" s="11"/>
      <c r="AS2" s="1" t="s">
        <v>37</v>
      </c>
      <c r="AT2" s="5">
        <v>0.0</v>
      </c>
      <c r="AU2" s="1" t="s">
        <v>37</v>
      </c>
      <c r="AV2" s="17">
        <v>0.0</v>
      </c>
      <c r="AW2" s="18" t="s">
        <v>38</v>
      </c>
      <c r="AX2" s="19" t="s">
        <v>39</v>
      </c>
      <c r="AY2" s="19">
        <v>5.0</v>
      </c>
      <c r="AZ2" s="20" t="s">
        <v>40</v>
      </c>
      <c r="BA2" s="20">
        <v>4.0</v>
      </c>
      <c r="BB2" s="20" t="s">
        <v>41</v>
      </c>
      <c r="BC2" s="20">
        <v>8.0</v>
      </c>
      <c r="BD2" s="5" t="s">
        <v>42</v>
      </c>
      <c r="BE2" s="5" t="s">
        <v>41</v>
      </c>
      <c r="BF2" s="5" t="s">
        <v>40</v>
      </c>
      <c r="BG2" s="5" t="s">
        <v>41</v>
      </c>
      <c r="BH2" s="5" t="s">
        <v>43</v>
      </c>
      <c r="BI2" s="21"/>
      <c r="BJ2" s="22">
        <f>IFERROR(__xludf.DUMMYFUNCTION("FILTER(AL3:AL11,AL3:AL11&gt;Artifacts!Q20)"),2.0)</f>
        <v>2</v>
      </c>
      <c r="BK2" s="21"/>
      <c r="BL2" s="11">
        <v>1.0</v>
      </c>
      <c r="BM2" s="23">
        <v>500.0</v>
      </c>
      <c r="BN2" s="23">
        <v>2300.0</v>
      </c>
      <c r="BO2" s="23">
        <v>800.0</v>
      </c>
      <c r="BP2" s="23">
        <v>3600.0</v>
      </c>
      <c r="BQ2" s="23">
        <v>3000.0</v>
      </c>
      <c r="BR2" s="23">
        <v>10000.0</v>
      </c>
      <c r="BS2" s="21"/>
    </row>
    <row r="3">
      <c r="A3" s="5">
        <v>5.0</v>
      </c>
      <c r="B3" s="1">
        <v>1.05</v>
      </c>
      <c r="C3" s="2"/>
      <c r="D3" s="3">
        <v>2.0</v>
      </c>
      <c r="E3" s="3">
        <v>125.0</v>
      </c>
      <c r="F3" s="3">
        <f t="shared" ref="F3:F71" si="8">sum($E$2:E2)</f>
        <v>100</v>
      </c>
      <c r="G3" s="3">
        <f t="shared" ref="G3:G71" si="9">minus($G$2,F3)</f>
        <v>2642850</v>
      </c>
      <c r="H3" s="15">
        <f t="shared" ref="H3:I3" si="2">F3/$F$71</f>
        <v>0.00003783650845</v>
      </c>
      <c r="I3" s="16">
        <f t="shared" si="2"/>
        <v>0.9999621635</v>
      </c>
      <c r="J3" s="2"/>
      <c r="K3" s="5">
        <v>1.0</v>
      </c>
      <c r="L3" s="5">
        <f t="shared" ref="L3:S3" si="3">MULTIPLY(L2,1.05)</f>
        <v>168</v>
      </c>
      <c r="M3" s="5">
        <f t="shared" si="3"/>
        <v>315</v>
      </c>
      <c r="N3" s="5">
        <f t="shared" si="3"/>
        <v>446.25</v>
      </c>
      <c r="O3" s="5">
        <f t="shared" si="3"/>
        <v>577.5</v>
      </c>
      <c r="P3" s="5">
        <f t="shared" si="3"/>
        <v>824.25</v>
      </c>
      <c r="Q3" s="5">
        <f t="shared" si="3"/>
        <v>1044.75</v>
      </c>
      <c r="R3" s="5">
        <f t="shared" si="3"/>
        <v>1485.75</v>
      </c>
      <c r="S3" s="5">
        <f t="shared" si="3"/>
        <v>2824.5</v>
      </c>
      <c r="T3" s="11"/>
      <c r="U3" s="11">
        <f>IFERROR(__xludf.DUMMYFUNCTION("""COMPUTED_VALUE"""),47.0)</f>
        <v>47</v>
      </c>
      <c r="V3" s="11">
        <f>IFERROR(__xludf.DUMMYFUNCTION("""COMPUTED_VALUE"""),5.0)</f>
        <v>5</v>
      </c>
      <c r="W3" s="11">
        <f>IFERROR(__xludf.DUMMYFUNCTION("""COMPUTED_VALUE"""),22.0)</f>
        <v>22</v>
      </c>
      <c r="X3" s="11">
        <f>IFERROR(__xludf.DUMMYFUNCTION("""COMPUTED_VALUE"""),62.0)</f>
        <v>62</v>
      </c>
      <c r="Y3" s="11">
        <f>IFERROR(__xludf.DUMMYFUNCTION("""COMPUTED_VALUE"""),33.0)</f>
        <v>33</v>
      </c>
      <c r="Z3" s="11"/>
      <c r="AA3" s="5">
        <v>2.0</v>
      </c>
      <c r="AB3" s="3">
        <v>500.0</v>
      </c>
      <c r="AC3" s="3">
        <f>sum(AB2)</f>
        <v>250</v>
      </c>
      <c r="AD3" s="3">
        <f t="shared" si="4"/>
        <v>1187500</v>
      </c>
      <c r="AE3" s="3">
        <v>700.0</v>
      </c>
      <c r="AF3" s="3">
        <f>sum(AE2)</f>
        <v>350</v>
      </c>
      <c r="AG3" s="3">
        <f t="shared" si="5"/>
        <v>1428860</v>
      </c>
      <c r="AH3" s="3">
        <v>1000.0</v>
      </c>
      <c r="AI3" s="3">
        <f>sum(AH2)</f>
        <v>500</v>
      </c>
      <c r="AJ3" s="3">
        <f t="shared" si="6"/>
        <v>1792260</v>
      </c>
      <c r="AK3" s="11"/>
      <c r="AL3" s="5">
        <v>2.0</v>
      </c>
      <c r="AM3" s="3">
        <v>40.0</v>
      </c>
      <c r="AN3" s="3">
        <f>sum($AM$2)</f>
        <v>20</v>
      </c>
      <c r="AO3" s="5">
        <f t="shared" ref="AO3:AO71" si="12">minus($AO$2,AN3)</f>
        <v>264880</v>
      </c>
      <c r="AP3" s="5">
        <f t="shared" si="7"/>
        <v>100</v>
      </c>
      <c r="AQ3" s="11">
        <f>IFERROR(__xludf.DUMMYFUNCTION("""COMPUTED_VALUE"""),3.0)</f>
        <v>3</v>
      </c>
      <c r="AR3" s="11"/>
      <c r="AS3" s="24" t="s">
        <v>44</v>
      </c>
      <c r="AT3" s="5">
        <v>8.0</v>
      </c>
      <c r="AU3" s="25" t="s">
        <v>45</v>
      </c>
      <c r="AV3" s="17">
        <v>185.0</v>
      </c>
      <c r="AW3" s="26" t="s">
        <v>46</v>
      </c>
      <c r="AX3" s="27" t="s">
        <v>39</v>
      </c>
      <c r="AY3" s="27">
        <v>10.0</v>
      </c>
      <c r="AZ3" s="28" t="s">
        <v>40</v>
      </c>
      <c r="BA3" s="28">
        <v>5.0</v>
      </c>
      <c r="BB3" s="28" t="s">
        <v>41</v>
      </c>
      <c r="BC3" s="28">
        <v>10.0</v>
      </c>
      <c r="BD3" s="5" t="s">
        <v>42</v>
      </c>
      <c r="BE3" s="5" t="s">
        <v>41</v>
      </c>
      <c r="BF3" s="5" t="s">
        <v>40</v>
      </c>
      <c r="BG3" s="5" t="s">
        <v>41</v>
      </c>
      <c r="BH3" s="5" t="s">
        <v>43</v>
      </c>
      <c r="BI3" s="29"/>
      <c r="BJ3" s="30">
        <f>IFERROR(__xludf.DUMMYFUNCTION("""COMPUTED_VALUE"""),3.0)</f>
        <v>3</v>
      </c>
      <c r="BK3" s="29"/>
      <c r="BL3" s="11">
        <v>2.0</v>
      </c>
      <c r="BM3" s="23">
        <v>1000.0</v>
      </c>
      <c r="BN3" s="23">
        <v>3500.0</v>
      </c>
      <c r="BO3" s="23">
        <v>1700.0</v>
      </c>
      <c r="BP3" s="23">
        <v>6000.0</v>
      </c>
      <c r="BQ3" s="23">
        <v>4600.0</v>
      </c>
      <c r="BR3" s="23">
        <v>15300.0</v>
      </c>
      <c r="BS3" s="29"/>
    </row>
    <row r="4">
      <c r="A4" s="5">
        <v>10.0</v>
      </c>
      <c r="B4" s="1">
        <v>1.1</v>
      </c>
      <c r="C4" s="2"/>
      <c r="D4" s="3">
        <v>3.0</v>
      </c>
      <c r="E4" s="3">
        <v>150.0</v>
      </c>
      <c r="F4" s="3">
        <f t="shared" si="8"/>
        <v>225</v>
      </c>
      <c r="G4" s="3">
        <f t="shared" si="9"/>
        <v>2642725</v>
      </c>
      <c r="H4" s="15">
        <f t="shared" ref="H4:I4" si="10">F4/$F$71</f>
        <v>0.00008513214401</v>
      </c>
      <c r="I4" s="16">
        <f t="shared" si="10"/>
        <v>0.9999148679</v>
      </c>
      <c r="J4" s="2"/>
      <c r="K4" s="5">
        <v>2.0</v>
      </c>
      <c r="L4" s="5">
        <f t="shared" ref="L4:S4" si="11">MULTIPLY(L2,1.05)</f>
        <v>168</v>
      </c>
      <c r="M4" s="5">
        <f t="shared" si="11"/>
        <v>315</v>
      </c>
      <c r="N4" s="5">
        <f t="shared" si="11"/>
        <v>446.25</v>
      </c>
      <c r="O4" s="5">
        <f t="shared" si="11"/>
        <v>577.5</v>
      </c>
      <c r="P4" s="5">
        <f t="shared" si="11"/>
        <v>824.25</v>
      </c>
      <c r="Q4" s="5">
        <f t="shared" si="11"/>
        <v>1044.75</v>
      </c>
      <c r="R4" s="5">
        <f t="shared" si="11"/>
        <v>1485.75</v>
      </c>
      <c r="S4" s="5">
        <f t="shared" si="11"/>
        <v>2824.5</v>
      </c>
      <c r="T4" s="11"/>
      <c r="U4" s="11">
        <f>IFERROR(__xludf.DUMMYFUNCTION("""COMPUTED_VALUE"""),48.0)</f>
        <v>48</v>
      </c>
      <c r="V4" s="11">
        <f>IFERROR(__xludf.DUMMYFUNCTION("""COMPUTED_VALUE"""),6.0)</f>
        <v>6</v>
      </c>
      <c r="W4" s="11">
        <f>IFERROR(__xludf.DUMMYFUNCTION("""COMPUTED_VALUE"""),23.0)</f>
        <v>23</v>
      </c>
      <c r="X4" s="11">
        <f>IFERROR(__xludf.DUMMYFUNCTION("""COMPUTED_VALUE"""),63.0)</f>
        <v>63</v>
      </c>
      <c r="Y4" s="11">
        <f>IFERROR(__xludf.DUMMYFUNCTION("""COMPUTED_VALUE"""),34.0)</f>
        <v>34</v>
      </c>
      <c r="Z4" s="11"/>
      <c r="AA4" s="5">
        <v>3.0</v>
      </c>
      <c r="AB4" s="3">
        <v>750.0</v>
      </c>
      <c r="AC4" s="3">
        <f t="shared" ref="AC4:AC71" si="15">sum($AB$2:AB3)</f>
        <v>750</v>
      </c>
      <c r="AD4" s="3">
        <f t="shared" si="4"/>
        <v>1187000</v>
      </c>
      <c r="AE4" s="3">
        <v>1050.0</v>
      </c>
      <c r="AF4" s="3">
        <f t="shared" ref="AF4:AF71" si="16">sum($AE$2:AE3)</f>
        <v>1050</v>
      </c>
      <c r="AG4" s="3">
        <f t="shared" si="5"/>
        <v>1428160</v>
      </c>
      <c r="AH4" s="3">
        <v>1500.0</v>
      </c>
      <c r="AI4" s="3">
        <f t="shared" ref="AI4:AI71" si="17">sum($AH$2:AH3)</f>
        <v>1500</v>
      </c>
      <c r="AJ4" s="3">
        <f t="shared" si="6"/>
        <v>1791260</v>
      </c>
      <c r="AK4" s="11"/>
      <c r="AL4" s="5">
        <v>3.0</v>
      </c>
      <c r="AM4" s="3">
        <v>60.0</v>
      </c>
      <c r="AN4" s="3">
        <f t="shared" ref="AN4:AN71" si="18">sum($AM$2:AM3)</f>
        <v>60</v>
      </c>
      <c r="AO4" s="5">
        <f t="shared" si="12"/>
        <v>264840</v>
      </c>
      <c r="AP4" s="5">
        <f t="shared" si="7"/>
        <v>300</v>
      </c>
      <c r="AQ4" s="11">
        <f>IFERROR(__xludf.DUMMYFUNCTION("""COMPUTED_VALUE"""),4.0)</f>
        <v>4</v>
      </c>
      <c r="AR4" s="11"/>
      <c r="AS4" s="24" t="s">
        <v>47</v>
      </c>
      <c r="AT4" s="5">
        <v>12.0</v>
      </c>
      <c r="AU4" s="25" t="s">
        <v>48</v>
      </c>
      <c r="AV4" s="17">
        <v>250.0</v>
      </c>
      <c r="AW4" s="31" t="s">
        <v>49</v>
      </c>
      <c r="AX4" s="27" t="s">
        <v>39</v>
      </c>
      <c r="AY4" s="27">
        <v>10.0</v>
      </c>
      <c r="AZ4" s="27" t="s">
        <v>41</v>
      </c>
      <c r="BA4" s="27">
        <v>5.0</v>
      </c>
      <c r="BB4" s="27" t="s">
        <v>40</v>
      </c>
      <c r="BC4" s="27">
        <v>10.0</v>
      </c>
      <c r="BD4" s="5" t="s">
        <v>42</v>
      </c>
      <c r="BE4" s="5" t="s">
        <v>41</v>
      </c>
      <c r="BF4" s="5" t="s">
        <v>40</v>
      </c>
      <c r="BG4" s="5" t="s">
        <v>41</v>
      </c>
      <c r="BH4" s="5" t="s">
        <v>43</v>
      </c>
      <c r="BJ4" s="32">
        <f>IFERROR(__xludf.DUMMYFUNCTION("""COMPUTED_VALUE"""),4.0)</f>
        <v>4</v>
      </c>
      <c r="BK4" s="2"/>
      <c r="BL4" s="11">
        <v>3.0</v>
      </c>
      <c r="BM4" s="23">
        <v>1900.0</v>
      </c>
      <c r="BN4" s="23">
        <v>6000.0</v>
      </c>
      <c r="BO4" s="23">
        <v>3100.0</v>
      </c>
      <c r="BP4" s="23">
        <v>10300.0</v>
      </c>
      <c r="BQ4" s="23">
        <v>7000.0</v>
      </c>
      <c r="BR4" s="23">
        <v>23000.0</v>
      </c>
    </row>
    <row r="5">
      <c r="A5" s="5">
        <v>15.0</v>
      </c>
      <c r="B5" s="1">
        <v>1.15</v>
      </c>
      <c r="C5" s="2"/>
      <c r="D5" s="3">
        <v>4.0</v>
      </c>
      <c r="E5" s="3">
        <v>175.0</v>
      </c>
      <c r="F5" s="3">
        <f t="shared" si="8"/>
        <v>375</v>
      </c>
      <c r="G5" s="3">
        <f t="shared" si="9"/>
        <v>2642575</v>
      </c>
      <c r="H5" s="15">
        <f t="shared" ref="H5:I5" si="13">F5/$F$71</f>
        <v>0.0001418869067</v>
      </c>
      <c r="I5" s="16">
        <f t="shared" si="13"/>
        <v>0.9998581131</v>
      </c>
      <c r="J5" s="2"/>
      <c r="K5" s="5">
        <v>3.0</v>
      </c>
      <c r="L5" s="5">
        <f t="shared" ref="L5:S5" si="14">MULTIPLY(L2,1.05)</f>
        <v>168</v>
      </c>
      <c r="M5" s="5">
        <f t="shared" si="14"/>
        <v>315</v>
      </c>
      <c r="N5" s="5">
        <f t="shared" si="14"/>
        <v>446.25</v>
      </c>
      <c r="O5" s="5">
        <f t="shared" si="14"/>
        <v>577.5</v>
      </c>
      <c r="P5" s="5">
        <f t="shared" si="14"/>
        <v>824.25</v>
      </c>
      <c r="Q5" s="5">
        <f t="shared" si="14"/>
        <v>1044.75</v>
      </c>
      <c r="R5" s="5">
        <f t="shared" si="14"/>
        <v>1485.75</v>
      </c>
      <c r="S5" s="5">
        <f t="shared" si="14"/>
        <v>2824.5</v>
      </c>
      <c r="T5" s="11"/>
      <c r="U5" s="11">
        <f>IFERROR(__xludf.DUMMYFUNCTION("""COMPUTED_VALUE"""),49.0)</f>
        <v>49</v>
      </c>
      <c r="V5" s="11">
        <f>IFERROR(__xludf.DUMMYFUNCTION("""COMPUTED_VALUE"""),7.0)</f>
        <v>7</v>
      </c>
      <c r="W5" s="11">
        <f>IFERROR(__xludf.DUMMYFUNCTION("""COMPUTED_VALUE"""),24.0)</f>
        <v>24</v>
      </c>
      <c r="X5" s="11">
        <f>IFERROR(__xludf.DUMMYFUNCTION("""COMPUTED_VALUE"""),64.0)</f>
        <v>64</v>
      </c>
      <c r="Y5" s="11">
        <f>IFERROR(__xludf.DUMMYFUNCTION("""COMPUTED_VALUE"""),35.0)</f>
        <v>35</v>
      </c>
      <c r="Z5" s="11"/>
      <c r="AA5" s="5">
        <v>4.0</v>
      </c>
      <c r="AB5" s="3">
        <v>1000.0</v>
      </c>
      <c r="AC5" s="3">
        <f t="shared" si="15"/>
        <v>1500</v>
      </c>
      <c r="AD5" s="3">
        <f t="shared" si="4"/>
        <v>1186250</v>
      </c>
      <c r="AE5" s="3">
        <v>1400.0</v>
      </c>
      <c r="AF5" s="3">
        <f t="shared" si="16"/>
        <v>2100</v>
      </c>
      <c r="AG5" s="3">
        <f t="shared" si="5"/>
        <v>1427110</v>
      </c>
      <c r="AH5" s="3">
        <v>2000.0</v>
      </c>
      <c r="AI5" s="3">
        <f t="shared" si="17"/>
        <v>3000</v>
      </c>
      <c r="AJ5" s="3">
        <f t="shared" si="6"/>
        <v>1789760</v>
      </c>
      <c r="AK5" s="11"/>
      <c r="AL5" s="5">
        <v>4.0</v>
      </c>
      <c r="AM5" s="3">
        <v>80.0</v>
      </c>
      <c r="AN5" s="3">
        <f t="shared" si="18"/>
        <v>120</v>
      </c>
      <c r="AO5" s="5">
        <f t="shared" si="12"/>
        <v>264780</v>
      </c>
      <c r="AP5" s="5">
        <f t="shared" si="7"/>
        <v>600</v>
      </c>
      <c r="AQ5" s="11">
        <f>IFERROR(__xludf.DUMMYFUNCTION("""COMPUTED_VALUE"""),5.0)</f>
        <v>5</v>
      </c>
      <c r="AR5" s="11"/>
      <c r="AS5" s="24" t="s">
        <v>50</v>
      </c>
      <c r="AT5" s="5">
        <v>24.0</v>
      </c>
      <c r="AU5" s="25" t="s">
        <v>51</v>
      </c>
      <c r="AV5" s="17">
        <v>8.0</v>
      </c>
      <c r="AW5" s="33" t="s">
        <v>52</v>
      </c>
      <c r="AX5" s="28" t="s">
        <v>39</v>
      </c>
      <c r="AY5" s="28">
        <v>10.0</v>
      </c>
      <c r="AZ5" s="28" t="s">
        <v>39</v>
      </c>
      <c r="BA5" s="28">
        <v>5.0</v>
      </c>
      <c r="BB5" s="28" t="s">
        <v>40</v>
      </c>
      <c r="BC5" s="28">
        <v>10.0</v>
      </c>
      <c r="BD5" s="5" t="s">
        <v>42</v>
      </c>
      <c r="BE5" s="5" t="s">
        <v>41</v>
      </c>
      <c r="BF5" s="5" t="s">
        <v>40</v>
      </c>
      <c r="BG5" s="5" t="s">
        <v>41</v>
      </c>
      <c r="BH5" s="5" t="s">
        <v>43</v>
      </c>
      <c r="BI5" s="11"/>
      <c r="BJ5" s="34">
        <f>IFERROR(__xludf.DUMMYFUNCTION("""COMPUTED_VALUE"""),5.0)</f>
        <v>5</v>
      </c>
      <c r="BK5" s="11"/>
      <c r="BL5" s="11">
        <v>4.0</v>
      </c>
      <c r="BM5" s="23">
        <v>3000.0</v>
      </c>
      <c r="BN5" s="23">
        <v>9000.0</v>
      </c>
      <c r="BO5" s="23">
        <v>4900.0</v>
      </c>
      <c r="BP5" s="23">
        <v>15700.0</v>
      </c>
      <c r="BQ5" s="23">
        <v>9800.0</v>
      </c>
      <c r="BR5" s="23">
        <v>31800.0</v>
      </c>
      <c r="BS5" s="11"/>
    </row>
    <row r="6">
      <c r="A6" s="5">
        <v>20.0</v>
      </c>
      <c r="B6" s="1">
        <v>1.2</v>
      </c>
      <c r="C6" s="2"/>
      <c r="D6" s="3">
        <v>5.0</v>
      </c>
      <c r="E6" s="3">
        <v>200.0</v>
      </c>
      <c r="F6" s="3">
        <f t="shared" si="8"/>
        <v>550</v>
      </c>
      <c r="G6" s="3">
        <f t="shared" si="9"/>
        <v>2642400</v>
      </c>
      <c r="H6" s="15">
        <f t="shared" ref="H6:I6" si="19">F6/$F$71</f>
        <v>0.0002081007965</v>
      </c>
      <c r="I6" s="16">
        <f t="shared" si="19"/>
        <v>0.9997918992</v>
      </c>
      <c r="J6" s="2"/>
      <c r="K6" s="5">
        <v>4.0</v>
      </c>
      <c r="L6" s="5">
        <f t="shared" ref="L6:S6" si="20">MULTIPLY(L2,1.05)</f>
        <v>168</v>
      </c>
      <c r="M6" s="5">
        <f t="shared" si="20"/>
        <v>315</v>
      </c>
      <c r="N6" s="5">
        <f t="shared" si="20"/>
        <v>446.25</v>
      </c>
      <c r="O6" s="5">
        <f t="shared" si="20"/>
        <v>577.5</v>
      </c>
      <c r="P6" s="5">
        <f t="shared" si="20"/>
        <v>824.25</v>
      </c>
      <c r="Q6" s="5">
        <f t="shared" si="20"/>
        <v>1044.75</v>
      </c>
      <c r="R6" s="5">
        <f t="shared" si="20"/>
        <v>1485.75</v>
      </c>
      <c r="S6" s="5">
        <f t="shared" si="20"/>
        <v>2824.5</v>
      </c>
      <c r="T6" s="11"/>
      <c r="U6" s="11">
        <f>IFERROR(__xludf.DUMMYFUNCTION("""COMPUTED_VALUE"""),50.0)</f>
        <v>50</v>
      </c>
      <c r="V6" s="11">
        <f>IFERROR(__xludf.DUMMYFUNCTION("""COMPUTED_VALUE"""),8.0)</f>
        <v>8</v>
      </c>
      <c r="W6" s="11">
        <f>IFERROR(__xludf.DUMMYFUNCTION("""COMPUTED_VALUE"""),25.0)</f>
        <v>25</v>
      </c>
      <c r="X6" s="11">
        <f>IFERROR(__xludf.DUMMYFUNCTION("""COMPUTED_VALUE"""),65.0)</f>
        <v>65</v>
      </c>
      <c r="Y6" s="11">
        <f>IFERROR(__xludf.DUMMYFUNCTION("""COMPUTED_VALUE"""),36.0)</f>
        <v>36</v>
      </c>
      <c r="Z6" s="11"/>
      <c r="AA6" s="5">
        <v>5.0</v>
      </c>
      <c r="AB6" s="3">
        <v>1250.0</v>
      </c>
      <c r="AC6" s="3">
        <f t="shared" si="15"/>
        <v>2500</v>
      </c>
      <c r="AD6" s="3">
        <f t="shared" si="4"/>
        <v>1185250</v>
      </c>
      <c r="AE6" s="3">
        <v>1750.0</v>
      </c>
      <c r="AF6" s="3">
        <f t="shared" si="16"/>
        <v>3500</v>
      </c>
      <c r="AG6" s="3">
        <f t="shared" si="5"/>
        <v>1425710</v>
      </c>
      <c r="AH6" s="3">
        <v>2500.0</v>
      </c>
      <c r="AI6" s="3">
        <f t="shared" si="17"/>
        <v>5000</v>
      </c>
      <c r="AJ6" s="3">
        <f t="shared" si="6"/>
        <v>1787760</v>
      </c>
      <c r="AK6" s="11"/>
      <c r="AL6" s="5">
        <v>5.0</v>
      </c>
      <c r="AM6" s="3">
        <v>100.0</v>
      </c>
      <c r="AN6" s="3">
        <f t="shared" si="18"/>
        <v>200</v>
      </c>
      <c r="AO6" s="5">
        <f t="shared" si="12"/>
        <v>264700</v>
      </c>
      <c r="AP6" s="5">
        <f t="shared" si="7"/>
        <v>1000</v>
      </c>
      <c r="AQ6" s="11">
        <f>IFERROR(__xludf.DUMMYFUNCTION("""COMPUTED_VALUE"""),6.0)</f>
        <v>6</v>
      </c>
      <c r="AR6" s="11"/>
      <c r="AS6" s="1" t="s">
        <v>53</v>
      </c>
      <c r="AT6" s="5">
        <v>1.0</v>
      </c>
      <c r="AU6" s="25" t="s">
        <v>54</v>
      </c>
      <c r="AV6" s="17">
        <v>15.0</v>
      </c>
      <c r="AW6" s="33" t="s">
        <v>55</v>
      </c>
      <c r="AX6" s="28" t="s">
        <v>56</v>
      </c>
      <c r="AY6" s="28">
        <v>20.0</v>
      </c>
      <c r="AZ6" s="28" t="s">
        <v>40</v>
      </c>
      <c r="BA6" s="28">
        <v>5.0</v>
      </c>
      <c r="BB6" s="28" t="s">
        <v>41</v>
      </c>
      <c r="BC6" s="28">
        <v>10.0</v>
      </c>
      <c r="BD6" s="5" t="s">
        <v>42</v>
      </c>
      <c r="BE6" s="5" t="s">
        <v>41</v>
      </c>
      <c r="BF6" s="5" t="s">
        <v>40</v>
      </c>
      <c r="BG6" s="5" t="s">
        <v>41</v>
      </c>
      <c r="BH6" s="5" t="s">
        <v>43</v>
      </c>
      <c r="BI6" s="11"/>
      <c r="BJ6" s="34">
        <f>IFERROR(__xludf.DUMMYFUNCTION("""COMPUTED_VALUE"""),6.0)</f>
        <v>6</v>
      </c>
      <c r="BK6" s="11"/>
      <c r="BL6" s="11">
        <v>5.0</v>
      </c>
      <c r="BM6" s="23">
        <v>4200.0</v>
      </c>
      <c r="BN6" s="23">
        <v>13000.0</v>
      </c>
      <c r="BO6" s="23">
        <v>6900.0</v>
      </c>
      <c r="BP6" s="23">
        <v>22100.0</v>
      </c>
      <c r="BQ6" s="23">
        <v>13000.0</v>
      </c>
      <c r="BR6" s="23">
        <v>41600.0</v>
      </c>
      <c r="BS6" s="11"/>
    </row>
    <row r="7">
      <c r="A7" s="5">
        <v>25.0</v>
      </c>
      <c r="B7" s="1">
        <v>1.25</v>
      </c>
      <c r="C7" s="2"/>
      <c r="D7" s="3">
        <v>6.0</v>
      </c>
      <c r="E7" s="3">
        <v>250.0</v>
      </c>
      <c r="F7" s="3">
        <f t="shared" si="8"/>
        <v>750</v>
      </c>
      <c r="G7" s="3">
        <f t="shared" si="9"/>
        <v>2642200</v>
      </c>
      <c r="H7" s="15">
        <f t="shared" ref="H7:I7" si="21">F7/$F$71</f>
        <v>0.0002837738134</v>
      </c>
      <c r="I7" s="16">
        <f t="shared" si="21"/>
        <v>0.9997162262</v>
      </c>
      <c r="J7" s="2"/>
      <c r="K7" s="5">
        <v>5.0</v>
      </c>
      <c r="L7" s="5">
        <f t="shared" ref="L7:S7" si="22">MULTIPLY(L2,1.1)</f>
        <v>176</v>
      </c>
      <c r="M7" s="5">
        <f t="shared" si="22"/>
        <v>330</v>
      </c>
      <c r="N7" s="5">
        <f t="shared" si="22"/>
        <v>467.5</v>
      </c>
      <c r="O7" s="5">
        <f t="shared" si="22"/>
        <v>605</v>
      </c>
      <c r="P7" s="5">
        <f t="shared" si="22"/>
        <v>863.5</v>
      </c>
      <c r="Q7" s="5">
        <f t="shared" si="22"/>
        <v>1094.5</v>
      </c>
      <c r="R7" s="5">
        <f t="shared" si="22"/>
        <v>1556.5</v>
      </c>
      <c r="S7" s="5">
        <f t="shared" si="22"/>
        <v>2959</v>
      </c>
      <c r="T7" s="11"/>
      <c r="U7" s="11">
        <f>IFERROR(__xludf.DUMMYFUNCTION("""COMPUTED_VALUE"""),51.0)</f>
        <v>51</v>
      </c>
      <c r="V7" s="11">
        <f>IFERROR(__xludf.DUMMYFUNCTION("""COMPUTED_VALUE"""),9.0)</f>
        <v>9</v>
      </c>
      <c r="W7" s="11">
        <f>IFERROR(__xludf.DUMMYFUNCTION("""COMPUTED_VALUE"""),26.0)</f>
        <v>26</v>
      </c>
      <c r="X7" s="11">
        <f>IFERROR(__xludf.DUMMYFUNCTION("""COMPUTED_VALUE"""),66.0)</f>
        <v>66</v>
      </c>
      <c r="Y7" s="11">
        <f>IFERROR(__xludf.DUMMYFUNCTION("""COMPUTED_VALUE"""),37.0)</f>
        <v>37</v>
      </c>
      <c r="Z7" s="11"/>
      <c r="AA7" s="5">
        <v>6.0</v>
      </c>
      <c r="AB7" s="3">
        <v>1500.0</v>
      </c>
      <c r="AC7" s="3">
        <f t="shared" si="15"/>
        <v>3750</v>
      </c>
      <c r="AD7" s="3">
        <f t="shared" si="4"/>
        <v>1184000</v>
      </c>
      <c r="AE7" s="3">
        <v>2100.0</v>
      </c>
      <c r="AF7" s="3">
        <f t="shared" si="16"/>
        <v>5250</v>
      </c>
      <c r="AG7" s="3">
        <f t="shared" si="5"/>
        <v>1423960</v>
      </c>
      <c r="AH7" s="3">
        <v>3000.0</v>
      </c>
      <c r="AI7" s="3">
        <f t="shared" si="17"/>
        <v>7500</v>
      </c>
      <c r="AJ7" s="3">
        <f t="shared" si="6"/>
        <v>1785260</v>
      </c>
      <c r="AK7" s="11"/>
      <c r="AL7" s="5">
        <v>6.0</v>
      </c>
      <c r="AM7" s="3">
        <v>120.0</v>
      </c>
      <c r="AN7" s="3">
        <f t="shared" si="18"/>
        <v>300</v>
      </c>
      <c r="AO7" s="5">
        <f t="shared" si="12"/>
        <v>264600</v>
      </c>
      <c r="AP7" s="5">
        <f t="shared" si="7"/>
        <v>1500</v>
      </c>
      <c r="AQ7" s="11">
        <f>IFERROR(__xludf.DUMMYFUNCTION("""COMPUTED_VALUE"""),7.0)</f>
        <v>7</v>
      </c>
      <c r="AR7" s="11"/>
      <c r="AS7" s="1" t="s">
        <v>57</v>
      </c>
      <c r="AT7" s="5">
        <v>2.0</v>
      </c>
      <c r="AU7" s="25" t="s">
        <v>58</v>
      </c>
      <c r="AV7" s="17">
        <v>21.0</v>
      </c>
      <c r="AW7" s="33" t="s">
        <v>59</v>
      </c>
      <c r="AX7" s="28" t="s">
        <v>39</v>
      </c>
      <c r="AY7" s="28">
        <v>10.0</v>
      </c>
      <c r="AZ7" s="28" t="s">
        <v>41</v>
      </c>
      <c r="BA7" s="28">
        <v>5.0</v>
      </c>
      <c r="BB7" s="28" t="s">
        <v>41</v>
      </c>
      <c r="BC7" s="28">
        <v>10.0</v>
      </c>
      <c r="BD7" s="5" t="s">
        <v>42</v>
      </c>
      <c r="BE7" s="5" t="s">
        <v>41</v>
      </c>
      <c r="BF7" s="5" t="s">
        <v>40</v>
      </c>
      <c r="BG7" s="5" t="s">
        <v>41</v>
      </c>
      <c r="BH7" s="5" t="s">
        <v>43</v>
      </c>
      <c r="BI7" s="11"/>
      <c r="BJ7" s="34">
        <f>IFERROR(__xludf.DUMMYFUNCTION("""COMPUTED_VALUE"""),7.0)</f>
        <v>7</v>
      </c>
      <c r="BK7" s="11"/>
      <c r="BL7" s="11">
        <v>6.0</v>
      </c>
      <c r="BM7" s="23">
        <v>5500.0</v>
      </c>
      <c r="BN7" s="23">
        <v>17400.0</v>
      </c>
      <c r="BO7" s="23">
        <v>9200.0</v>
      </c>
      <c r="BP7" s="23">
        <v>29200.0</v>
      </c>
      <c r="BQ7" s="23">
        <v>16300.0</v>
      </c>
      <c r="BR7" s="23">
        <v>52200.0</v>
      </c>
      <c r="BS7" s="11"/>
    </row>
    <row r="8">
      <c r="A8" s="5">
        <v>30.0</v>
      </c>
      <c r="B8" s="1">
        <v>1.3</v>
      </c>
      <c r="C8" s="2"/>
      <c r="D8" s="3">
        <v>7.0</v>
      </c>
      <c r="E8" s="3">
        <v>300.0</v>
      </c>
      <c r="F8" s="3">
        <f t="shared" si="8"/>
        <v>1000</v>
      </c>
      <c r="G8" s="3">
        <f t="shared" si="9"/>
        <v>2641950</v>
      </c>
      <c r="H8" s="15">
        <f t="shared" ref="H8:I8" si="23">F8/$F$71</f>
        <v>0.0003783650845</v>
      </c>
      <c r="I8" s="16">
        <f t="shared" si="23"/>
        <v>0.9996216349</v>
      </c>
      <c r="J8" s="2"/>
      <c r="K8" s="5">
        <v>6.0</v>
      </c>
      <c r="L8" s="5">
        <f t="shared" ref="L8:S8" si="24">MULTIPLY(L2,1.1)</f>
        <v>176</v>
      </c>
      <c r="M8" s="5">
        <f t="shared" si="24"/>
        <v>330</v>
      </c>
      <c r="N8" s="5">
        <f t="shared" si="24"/>
        <v>467.5</v>
      </c>
      <c r="O8" s="5">
        <f t="shared" si="24"/>
        <v>605</v>
      </c>
      <c r="P8" s="5">
        <f t="shared" si="24"/>
        <v>863.5</v>
      </c>
      <c r="Q8" s="5">
        <f t="shared" si="24"/>
        <v>1094.5</v>
      </c>
      <c r="R8" s="5">
        <f t="shared" si="24"/>
        <v>1556.5</v>
      </c>
      <c r="S8" s="5">
        <f t="shared" si="24"/>
        <v>2959</v>
      </c>
      <c r="T8" s="11"/>
      <c r="U8" s="11">
        <f>IFERROR(__xludf.DUMMYFUNCTION("""COMPUTED_VALUE"""),52.0)</f>
        <v>52</v>
      </c>
      <c r="V8" s="11">
        <f>IFERROR(__xludf.DUMMYFUNCTION("""COMPUTED_VALUE"""),10.0)</f>
        <v>10</v>
      </c>
      <c r="W8" s="11">
        <f>IFERROR(__xludf.DUMMYFUNCTION("""COMPUTED_VALUE"""),27.0)</f>
        <v>27</v>
      </c>
      <c r="X8" s="11">
        <f>IFERROR(__xludf.DUMMYFUNCTION("""COMPUTED_VALUE"""),67.0)</f>
        <v>67</v>
      </c>
      <c r="Y8" s="11">
        <f>IFERROR(__xludf.DUMMYFUNCTION("""COMPUTED_VALUE"""),38.0)</f>
        <v>38</v>
      </c>
      <c r="Z8" s="11"/>
      <c r="AA8" s="5">
        <v>7.0</v>
      </c>
      <c r="AB8" s="3">
        <v>1750.0</v>
      </c>
      <c r="AC8" s="3">
        <f t="shared" si="15"/>
        <v>5250</v>
      </c>
      <c r="AD8" s="3">
        <f t="shared" si="4"/>
        <v>1182500</v>
      </c>
      <c r="AE8" s="3">
        <v>2450.0</v>
      </c>
      <c r="AF8" s="3">
        <f t="shared" si="16"/>
        <v>7350</v>
      </c>
      <c r="AG8" s="3">
        <f t="shared" si="5"/>
        <v>1421860</v>
      </c>
      <c r="AH8" s="3">
        <v>3500.0</v>
      </c>
      <c r="AI8" s="3">
        <f t="shared" si="17"/>
        <v>10500</v>
      </c>
      <c r="AJ8" s="3">
        <f t="shared" si="6"/>
        <v>1782260</v>
      </c>
      <c r="AK8" s="11"/>
      <c r="AL8" s="5">
        <v>7.0</v>
      </c>
      <c r="AM8" s="3">
        <v>140.0</v>
      </c>
      <c r="AN8" s="3">
        <f t="shared" si="18"/>
        <v>420</v>
      </c>
      <c r="AO8" s="5">
        <f t="shared" si="12"/>
        <v>264480</v>
      </c>
      <c r="AP8" s="5">
        <f t="shared" si="7"/>
        <v>2100</v>
      </c>
      <c r="AQ8" s="11">
        <f>IFERROR(__xludf.DUMMYFUNCTION("""COMPUTED_VALUE"""),8.0)</f>
        <v>8</v>
      </c>
      <c r="AR8" s="11"/>
      <c r="AS8" s="1" t="s">
        <v>60</v>
      </c>
      <c r="AT8" s="5">
        <v>4.0</v>
      </c>
      <c r="AU8" s="25" t="s">
        <v>61</v>
      </c>
      <c r="AV8" s="17">
        <v>35.0</v>
      </c>
      <c r="AW8" s="31" t="s">
        <v>62</v>
      </c>
      <c r="AX8" s="27" t="s">
        <v>63</v>
      </c>
      <c r="AY8" s="27">
        <v>5.0</v>
      </c>
      <c r="AZ8" s="20" t="s">
        <v>40</v>
      </c>
      <c r="BA8" s="20">
        <v>4.0</v>
      </c>
      <c r="BB8" s="20" t="s">
        <v>41</v>
      </c>
      <c r="BC8" s="20">
        <v>8.0</v>
      </c>
      <c r="BD8" s="5" t="s">
        <v>42</v>
      </c>
      <c r="BE8" s="5" t="s">
        <v>41</v>
      </c>
      <c r="BF8" s="5" t="s">
        <v>40</v>
      </c>
      <c r="BG8" s="5" t="s">
        <v>41</v>
      </c>
      <c r="BH8" s="5" t="s">
        <v>43</v>
      </c>
      <c r="BI8" s="11"/>
      <c r="BJ8" s="34">
        <f>IFERROR(__xludf.DUMMYFUNCTION("""COMPUTED_VALUE"""),8.0)</f>
        <v>8</v>
      </c>
      <c r="BK8" s="11"/>
      <c r="BL8" s="11">
        <v>7.0</v>
      </c>
      <c r="BM8" s="23">
        <v>7000.0</v>
      </c>
      <c r="BN8" s="23">
        <v>22400.0</v>
      </c>
      <c r="BO8" s="23">
        <v>11600.0</v>
      </c>
      <c r="BP8" s="23">
        <v>37000.0</v>
      </c>
      <c r="BQ8" s="23">
        <v>20000.0</v>
      </c>
      <c r="BR8" s="23">
        <v>63300.0</v>
      </c>
      <c r="BS8" s="11"/>
    </row>
    <row r="9">
      <c r="A9" s="5">
        <v>35.0</v>
      </c>
      <c r="B9" s="1">
        <v>1.35</v>
      </c>
      <c r="C9" s="2"/>
      <c r="D9" s="3">
        <v>8.0</v>
      </c>
      <c r="E9" s="3">
        <v>350.0</v>
      </c>
      <c r="F9" s="3">
        <f t="shared" si="8"/>
        <v>1300</v>
      </c>
      <c r="G9" s="3">
        <f t="shared" si="9"/>
        <v>2641650</v>
      </c>
      <c r="H9" s="15">
        <f t="shared" ref="H9:I9" si="25">F9/$F$71</f>
        <v>0.0004918746098</v>
      </c>
      <c r="I9" s="16">
        <f t="shared" si="25"/>
        <v>0.9995081254</v>
      </c>
      <c r="J9" s="2"/>
      <c r="K9" s="5">
        <v>7.0</v>
      </c>
      <c r="L9" s="5">
        <f t="shared" ref="L9:S9" si="26">MULTIPLY(L2,1.1)</f>
        <v>176</v>
      </c>
      <c r="M9" s="5">
        <f t="shared" si="26"/>
        <v>330</v>
      </c>
      <c r="N9" s="5">
        <f t="shared" si="26"/>
        <v>467.5</v>
      </c>
      <c r="O9" s="5">
        <f t="shared" si="26"/>
        <v>605</v>
      </c>
      <c r="P9" s="5">
        <f t="shared" si="26"/>
        <v>863.5</v>
      </c>
      <c r="Q9" s="5">
        <f t="shared" si="26"/>
        <v>1094.5</v>
      </c>
      <c r="R9" s="5">
        <f t="shared" si="26"/>
        <v>1556.5</v>
      </c>
      <c r="S9" s="5">
        <f t="shared" si="26"/>
        <v>2959</v>
      </c>
      <c r="T9" s="11"/>
      <c r="U9" s="11">
        <f>IFERROR(__xludf.DUMMYFUNCTION("""COMPUTED_VALUE"""),53.0)</f>
        <v>53</v>
      </c>
      <c r="V9" s="11">
        <f>IFERROR(__xludf.DUMMYFUNCTION("""COMPUTED_VALUE"""),11.0)</f>
        <v>11</v>
      </c>
      <c r="W9" s="11">
        <f>IFERROR(__xludf.DUMMYFUNCTION("""COMPUTED_VALUE"""),28.0)</f>
        <v>28</v>
      </c>
      <c r="X9" s="11">
        <f>IFERROR(__xludf.DUMMYFUNCTION("""COMPUTED_VALUE"""),68.0)</f>
        <v>68</v>
      </c>
      <c r="Y9" s="11">
        <f>IFERROR(__xludf.DUMMYFUNCTION("""COMPUTED_VALUE"""),39.0)</f>
        <v>39</v>
      </c>
      <c r="Z9" s="11"/>
      <c r="AA9" s="5">
        <v>8.0</v>
      </c>
      <c r="AB9" s="3">
        <v>2000.0</v>
      </c>
      <c r="AC9" s="3">
        <f t="shared" si="15"/>
        <v>7000</v>
      </c>
      <c r="AD9" s="3">
        <f t="shared" si="4"/>
        <v>1180750</v>
      </c>
      <c r="AE9" s="3">
        <v>2800.0</v>
      </c>
      <c r="AF9" s="3">
        <f t="shared" si="16"/>
        <v>9800</v>
      </c>
      <c r="AG9" s="3">
        <f t="shared" si="5"/>
        <v>1419410</v>
      </c>
      <c r="AH9" s="3">
        <v>4000.0</v>
      </c>
      <c r="AI9" s="3">
        <f t="shared" si="17"/>
        <v>14000</v>
      </c>
      <c r="AJ9" s="3">
        <f t="shared" si="6"/>
        <v>1778760</v>
      </c>
      <c r="AK9" s="11"/>
      <c r="AL9" s="5">
        <v>8.0</v>
      </c>
      <c r="AM9" s="3">
        <v>180.0</v>
      </c>
      <c r="AN9" s="3">
        <f t="shared" si="18"/>
        <v>560</v>
      </c>
      <c r="AO9" s="5">
        <f t="shared" si="12"/>
        <v>264340</v>
      </c>
      <c r="AP9" s="5">
        <f t="shared" si="7"/>
        <v>2800</v>
      </c>
      <c r="AQ9" s="11">
        <f>IFERROR(__xludf.DUMMYFUNCTION("""COMPUTED_VALUE"""),9.0)</f>
        <v>9</v>
      </c>
      <c r="AR9" s="11"/>
      <c r="AS9" s="1" t="s">
        <v>64</v>
      </c>
      <c r="AT9" s="5">
        <v>4.0</v>
      </c>
      <c r="AU9" s="25" t="s">
        <v>65</v>
      </c>
      <c r="AV9" s="17">
        <v>8.0</v>
      </c>
      <c r="AW9" s="31" t="s">
        <v>66</v>
      </c>
      <c r="AX9" s="27" t="s">
        <v>63</v>
      </c>
      <c r="AY9" s="27">
        <v>10.0</v>
      </c>
      <c r="AZ9" s="28" t="s">
        <v>40</v>
      </c>
      <c r="BA9" s="28">
        <v>5.0</v>
      </c>
      <c r="BB9" s="28" t="s">
        <v>41</v>
      </c>
      <c r="BC9" s="28">
        <v>10.0</v>
      </c>
      <c r="BD9" s="5" t="s">
        <v>42</v>
      </c>
      <c r="BE9" s="5" t="s">
        <v>41</v>
      </c>
      <c r="BF9" s="5" t="s">
        <v>40</v>
      </c>
      <c r="BG9" s="5" t="s">
        <v>41</v>
      </c>
      <c r="BH9" s="5" t="s">
        <v>43</v>
      </c>
      <c r="BI9" s="11"/>
      <c r="BJ9" s="34">
        <f>IFERROR(__xludf.DUMMYFUNCTION("""COMPUTED_VALUE"""),9.0)</f>
        <v>9</v>
      </c>
      <c r="BK9" s="11"/>
      <c r="BL9" s="11">
        <v>8.0</v>
      </c>
      <c r="BM9" s="23">
        <v>8600.0</v>
      </c>
      <c r="BN9" s="23">
        <v>27800.0</v>
      </c>
      <c r="BO9" s="23">
        <v>14300.0</v>
      </c>
      <c r="BP9" s="23">
        <v>45400.0</v>
      </c>
      <c r="BQ9" s="23">
        <v>23800.0</v>
      </c>
      <c r="BR9" s="23">
        <v>75100.0</v>
      </c>
      <c r="BS9" s="11"/>
    </row>
    <row r="10">
      <c r="A10" s="5">
        <v>40.0</v>
      </c>
      <c r="B10" s="1">
        <v>1.4</v>
      </c>
      <c r="C10" s="2"/>
      <c r="D10" s="3">
        <v>9.0</v>
      </c>
      <c r="E10" s="3">
        <v>400.0</v>
      </c>
      <c r="F10" s="3">
        <f t="shared" si="8"/>
        <v>1650</v>
      </c>
      <c r="G10" s="3">
        <f t="shared" si="9"/>
        <v>2641300</v>
      </c>
      <c r="H10" s="15">
        <f t="shared" ref="H10:I10" si="27">F10/$F$71</f>
        <v>0.0006243023894</v>
      </c>
      <c r="I10" s="16">
        <f t="shared" si="27"/>
        <v>0.9993756976</v>
      </c>
      <c r="J10" s="2"/>
      <c r="K10" s="5">
        <v>8.0</v>
      </c>
      <c r="L10" s="5">
        <f t="shared" ref="L10:S10" si="28">MULTIPLY(L2,1.15)</f>
        <v>184</v>
      </c>
      <c r="M10" s="5">
        <f t="shared" si="28"/>
        <v>345</v>
      </c>
      <c r="N10" s="5">
        <f t="shared" si="28"/>
        <v>488.75</v>
      </c>
      <c r="O10" s="5">
        <f t="shared" si="28"/>
        <v>632.5</v>
      </c>
      <c r="P10" s="5">
        <f t="shared" si="28"/>
        <v>902.75</v>
      </c>
      <c r="Q10" s="5">
        <f t="shared" si="28"/>
        <v>1144.25</v>
      </c>
      <c r="R10" s="5">
        <f t="shared" si="28"/>
        <v>1627.25</v>
      </c>
      <c r="S10" s="5">
        <f t="shared" si="28"/>
        <v>3093.5</v>
      </c>
      <c r="T10" s="2"/>
      <c r="U10" s="35">
        <f>IFERROR(__xludf.DUMMYFUNCTION("""COMPUTED_VALUE"""),54.0)</f>
        <v>54</v>
      </c>
      <c r="V10" s="35">
        <f>IFERROR(__xludf.DUMMYFUNCTION("""COMPUTED_VALUE"""),12.0)</f>
        <v>12</v>
      </c>
      <c r="W10" s="35">
        <f>IFERROR(__xludf.DUMMYFUNCTION("""COMPUTED_VALUE"""),29.0)</f>
        <v>29</v>
      </c>
      <c r="X10" s="35">
        <f>IFERROR(__xludf.DUMMYFUNCTION("""COMPUTED_VALUE"""),69.0)</f>
        <v>69</v>
      </c>
      <c r="Y10" s="35">
        <f>IFERROR(__xludf.DUMMYFUNCTION("""COMPUTED_VALUE"""),40.0)</f>
        <v>40</v>
      </c>
      <c r="Z10" s="2"/>
      <c r="AA10" s="5">
        <v>9.0</v>
      </c>
      <c r="AB10" s="3">
        <v>2250.0</v>
      </c>
      <c r="AC10" s="3">
        <f t="shared" si="15"/>
        <v>9000</v>
      </c>
      <c r="AD10" s="3">
        <f t="shared" si="4"/>
        <v>1178750</v>
      </c>
      <c r="AE10" s="3">
        <v>3150.0</v>
      </c>
      <c r="AF10" s="3">
        <f t="shared" si="16"/>
        <v>12600</v>
      </c>
      <c r="AG10" s="3">
        <f t="shared" si="5"/>
        <v>1416610</v>
      </c>
      <c r="AH10" s="3">
        <v>4500.0</v>
      </c>
      <c r="AI10" s="3">
        <f t="shared" si="17"/>
        <v>18000</v>
      </c>
      <c r="AJ10" s="3">
        <f t="shared" si="6"/>
        <v>1774760</v>
      </c>
      <c r="AK10" s="2"/>
      <c r="AL10" s="5">
        <v>9.0</v>
      </c>
      <c r="AM10" s="3">
        <v>220.0</v>
      </c>
      <c r="AN10" s="3">
        <f t="shared" si="18"/>
        <v>740</v>
      </c>
      <c r="AO10" s="5">
        <f t="shared" si="12"/>
        <v>264160</v>
      </c>
      <c r="AP10" s="5">
        <f t="shared" si="7"/>
        <v>3700</v>
      </c>
      <c r="AQ10" s="35">
        <f>IFERROR(__xludf.DUMMYFUNCTION("""COMPUTED_VALUE"""),10.0)</f>
        <v>10</v>
      </c>
      <c r="AR10" s="2"/>
      <c r="AS10" s="1" t="s">
        <v>67</v>
      </c>
      <c r="AT10" s="5">
        <v>6.0</v>
      </c>
      <c r="AU10" s="25" t="s">
        <v>68</v>
      </c>
      <c r="AV10" s="17">
        <v>15.0</v>
      </c>
      <c r="AW10" s="31" t="s">
        <v>69</v>
      </c>
      <c r="AX10" s="27" t="s">
        <v>70</v>
      </c>
      <c r="AY10" s="27">
        <v>5.0</v>
      </c>
      <c r="AZ10" s="27" t="s">
        <v>41</v>
      </c>
      <c r="BA10" s="27">
        <v>4.0</v>
      </c>
      <c r="BB10" s="27" t="s">
        <v>40</v>
      </c>
      <c r="BC10" s="27">
        <v>8.0</v>
      </c>
      <c r="BD10" s="5" t="s">
        <v>42</v>
      </c>
      <c r="BE10" s="5" t="s">
        <v>41</v>
      </c>
      <c r="BF10" s="5" t="s">
        <v>40</v>
      </c>
      <c r="BG10" s="5" t="s">
        <v>41</v>
      </c>
      <c r="BH10" s="5" t="s">
        <v>43</v>
      </c>
      <c r="BI10" s="11"/>
      <c r="BJ10" s="34">
        <f>IFERROR(__xludf.DUMMYFUNCTION("""COMPUTED_VALUE"""),10.0)</f>
        <v>10</v>
      </c>
      <c r="BK10" s="11"/>
      <c r="BL10" s="11">
        <v>9.0</v>
      </c>
      <c r="BM10" s="23">
        <v>10200.0</v>
      </c>
      <c r="BN10" s="23">
        <v>33700.0</v>
      </c>
      <c r="BO10" s="23">
        <v>17100.0</v>
      </c>
      <c r="BP10" s="23">
        <v>54400.0</v>
      </c>
      <c r="BQ10" s="23">
        <v>27800.0</v>
      </c>
      <c r="BR10" s="23">
        <v>87300.0</v>
      </c>
      <c r="BS10" s="11"/>
    </row>
    <row r="11">
      <c r="A11" s="5">
        <v>45.0</v>
      </c>
      <c r="B11" s="1">
        <v>1.45</v>
      </c>
      <c r="C11" s="2"/>
      <c r="D11" s="3">
        <v>10.0</v>
      </c>
      <c r="E11" s="3">
        <v>450.0</v>
      </c>
      <c r="F11" s="3">
        <f t="shared" si="8"/>
        <v>2050</v>
      </c>
      <c r="G11" s="3">
        <f t="shared" si="9"/>
        <v>2640900</v>
      </c>
      <c r="H11" s="15">
        <f t="shared" ref="H11:I11" si="29">F11/$F$71</f>
        <v>0.0007756484232</v>
      </c>
      <c r="I11" s="16">
        <f t="shared" si="29"/>
        <v>0.9992243516</v>
      </c>
      <c r="J11" s="2"/>
      <c r="K11" s="5">
        <v>9.0</v>
      </c>
      <c r="L11" s="5">
        <f t="shared" ref="L11:S11" si="30">MULTIPLY(L2,1.15)</f>
        <v>184</v>
      </c>
      <c r="M11" s="5">
        <f t="shared" si="30"/>
        <v>345</v>
      </c>
      <c r="N11" s="5">
        <f t="shared" si="30"/>
        <v>488.75</v>
      </c>
      <c r="O11" s="5">
        <f t="shared" si="30"/>
        <v>632.5</v>
      </c>
      <c r="P11" s="5">
        <f t="shared" si="30"/>
        <v>902.75</v>
      </c>
      <c r="Q11" s="5">
        <f t="shared" si="30"/>
        <v>1144.25</v>
      </c>
      <c r="R11" s="5">
        <f t="shared" si="30"/>
        <v>1627.25</v>
      </c>
      <c r="S11" s="5">
        <f t="shared" si="30"/>
        <v>3093.5</v>
      </c>
      <c r="T11" s="2"/>
      <c r="U11" s="35">
        <f>IFERROR(__xludf.DUMMYFUNCTION("""COMPUTED_VALUE"""),55.0)</f>
        <v>55</v>
      </c>
      <c r="V11" s="35">
        <f>IFERROR(__xludf.DUMMYFUNCTION("""COMPUTED_VALUE"""),13.0)</f>
        <v>13</v>
      </c>
      <c r="W11" s="35">
        <f>IFERROR(__xludf.DUMMYFUNCTION("""COMPUTED_VALUE"""),30.0)</f>
        <v>30</v>
      </c>
      <c r="X11" s="2"/>
      <c r="Y11" s="35">
        <f>IFERROR(__xludf.DUMMYFUNCTION("""COMPUTED_VALUE"""),41.0)</f>
        <v>41</v>
      </c>
      <c r="Z11" s="2"/>
      <c r="AA11" s="5">
        <v>10.0</v>
      </c>
      <c r="AB11" s="3">
        <v>2500.0</v>
      </c>
      <c r="AC11" s="3">
        <f t="shared" si="15"/>
        <v>11250</v>
      </c>
      <c r="AD11" s="3">
        <f t="shared" si="4"/>
        <v>1176500</v>
      </c>
      <c r="AE11" s="3">
        <v>3500.0</v>
      </c>
      <c r="AF11" s="3">
        <f t="shared" si="16"/>
        <v>15750</v>
      </c>
      <c r="AG11" s="3">
        <f t="shared" si="5"/>
        <v>1413460</v>
      </c>
      <c r="AH11" s="3">
        <v>5000.0</v>
      </c>
      <c r="AI11" s="3">
        <f t="shared" si="17"/>
        <v>22500</v>
      </c>
      <c r="AJ11" s="3">
        <f t="shared" si="6"/>
        <v>1770260</v>
      </c>
      <c r="AK11" s="2"/>
      <c r="AL11" s="5">
        <v>10.0</v>
      </c>
      <c r="AM11" s="3">
        <v>280.0</v>
      </c>
      <c r="AN11" s="3">
        <f t="shared" si="18"/>
        <v>960</v>
      </c>
      <c r="AO11" s="5">
        <f t="shared" si="12"/>
        <v>263940</v>
      </c>
      <c r="AP11" s="5">
        <f t="shared" si="7"/>
        <v>4800</v>
      </c>
      <c r="AQ11" s="35">
        <f>IFERROR(__xludf.DUMMYFUNCTION("""COMPUTED_VALUE"""),11.0)</f>
        <v>11</v>
      </c>
      <c r="AR11" s="2"/>
      <c r="AS11" s="1" t="s">
        <v>71</v>
      </c>
      <c r="AT11" s="5">
        <v>12.0</v>
      </c>
      <c r="AU11" s="25" t="s">
        <v>72</v>
      </c>
      <c r="AV11" s="17">
        <v>8.0</v>
      </c>
      <c r="AW11" s="36" t="s">
        <v>73</v>
      </c>
      <c r="AX11" s="27" t="s">
        <v>70</v>
      </c>
      <c r="AY11" s="27">
        <v>12.0</v>
      </c>
      <c r="AZ11" s="27" t="s">
        <v>41</v>
      </c>
      <c r="BA11" s="27">
        <v>6.0</v>
      </c>
      <c r="BB11" s="27" t="s">
        <v>40</v>
      </c>
      <c r="BC11" s="27">
        <v>12.0</v>
      </c>
      <c r="BD11" s="5" t="s">
        <v>42</v>
      </c>
      <c r="BE11" s="5" t="s">
        <v>41</v>
      </c>
      <c r="BF11" s="5" t="s">
        <v>40</v>
      </c>
      <c r="BG11" s="5" t="s">
        <v>41</v>
      </c>
      <c r="BH11" s="5" t="s">
        <v>43</v>
      </c>
      <c r="BI11" s="11"/>
      <c r="BJ11" s="11"/>
      <c r="BK11" s="11"/>
      <c r="BL11" s="11">
        <v>10.0</v>
      </c>
      <c r="BM11" s="23">
        <v>12000.0</v>
      </c>
      <c r="BN11" s="23">
        <v>40000.0</v>
      </c>
      <c r="BO11" s="23">
        <v>20000.0</v>
      </c>
      <c r="BP11" s="23">
        <v>64000.0</v>
      </c>
      <c r="BQ11" s="23">
        <v>32000.0</v>
      </c>
      <c r="BR11" s="23">
        <v>100000.0</v>
      </c>
      <c r="BS11" s="11"/>
    </row>
    <row r="12">
      <c r="A12" s="5">
        <v>50.0</v>
      </c>
      <c r="B12" s="1">
        <v>1.5</v>
      </c>
      <c r="C12" s="2"/>
      <c r="D12" s="3">
        <v>11.0</v>
      </c>
      <c r="E12" s="3">
        <v>500.0</v>
      </c>
      <c r="F12" s="3">
        <f t="shared" si="8"/>
        <v>2500</v>
      </c>
      <c r="G12" s="3">
        <f t="shared" si="9"/>
        <v>2640450</v>
      </c>
      <c r="H12" s="15">
        <f t="shared" ref="H12:I12" si="31">F12/$F$71</f>
        <v>0.0009459127112</v>
      </c>
      <c r="I12" s="16">
        <f t="shared" si="31"/>
        <v>0.9990540873</v>
      </c>
      <c r="J12" s="2"/>
      <c r="K12" s="5">
        <v>10.0</v>
      </c>
      <c r="L12" s="5">
        <f t="shared" ref="L12:S12" si="32">MULTIPLY(L2,1.15)</f>
        <v>184</v>
      </c>
      <c r="M12" s="5">
        <f t="shared" si="32"/>
        <v>345</v>
      </c>
      <c r="N12" s="5">
        <f t="shared" si="32"/>
        <v>488.75</v>
      </c>
      <c r="O12" s="5">
        <f t="shared" si="32"/>
        <v>632.5</v>
      </c>
      <c r="P12" s="5">
        <f t="shared" si="32"/>
        <v>902.75</v>
      </c>
      <c r="Q12" s="5">
        <f t="shared" si="32"/>
        <v>1144.25</v>
      </c>
      <c r="R12" s="5">
        <f t="shared" si="32"/>
        <v>1627.25</v>
      </c>
      <c r="S12" s="5">
        <f t="shared" si="32"/>
        <v>3093.5</v>
      </c>
      <c r="T12" s="2"/>
      <c r="U12" s="35">
        <f>IFERROR(__xludf.DUMMYFUNCTION("""COMPUTED_VALUE"""),56.0)</f>
        <v>56</v>
      </c>
      <c r="V12" s="35">
        <f>IFERROR(__xludf.DUMMYFUNCTION("""COMPUTED_VALUE"""),14.0)</f>
        <v>14</v>
      </c>
      <c r="W12" s="35">
        <f>IFERROR(__xludf.DUMMYFUNCTION("""COMPUTED_VALUE"""),31.0)</f>
        <v>31</v>
      </c>
      <c r="X12" s="2"/>
      <c r="Y12" s="35">
        <f>IFERROR(__xludf.DUMMYFUNCTION("""COMPUTED_VALUE"""),42.0)</f>
        <v>42</v>
      </c>
      <c r="Z12" s="2"/>
      <c r="AA12" s="5">
        <v>11.0</v>
      </c>
      <c r="AB12" s="3">
        <v>3300.0</v>
      </c>
      <c r="AC12" s="3">
        <f t="shared" si="15"/>
        <v>13750</v>
      </c>
      <c r="AD12" s="3">
        <f t="shared" si="4"/>
        <v>1174000</v>
      </c>
      <c r="AE12" s="3">
        <v>4400.0</v>
      </c>
      <c r="AF12" s="3">
        <f t="shared" si="16"/>
        <v>19250</v>
      </c>
      <c r="AG12" s="3">
        <f t="shared" si="5"/>
        <v>1409960</v>
      </c>
      <c r="AH12" s="3">
        <v>6100.0</v>
      </c>
      <c r="AI12" s="3">
        <f t="shared" si="17"/>
        <v>27500</v>
      </c>
      <c r="AJ12" s="3">
        <f t="shared" si="6"/>
        <v>1765260</v>
      </c>
      <c r="AK12" s="2"/>
      <c r="AL12" s="5">
        <v>11.0</v>
      </c>
      <c r="AM12" s="3">
        <v>320.0</v>
      </c>
      <c r="AN12" s="3">
        <f t="shared" si="18"/>
        <v>1240</v>
      </c>
      <c r="AO12" s="5">
        <f t="shared" si="12"/>
        <v>263660</v>
      </c>
      <c r="AP12" s="5">
        <f t="shared" si="7"/>
        <v>6200</v>
      </c>
      <c r="AQ12" s="35">
        <f>IFERROR(__xludf.DUMMYFUNCTION("""COMPUTED_VALUE"""),12.0)</f>
        <v>12</v>
      </c>
      <c r="AR12" s="2"/>
      <c r="AS12" s="1" t="s">
        <v>74</v>
      </c>
      <c r="AT12" s="5">
        <v>4.0</v>
      </c>
      <c r="AU12" s="25" t="s">
        <v>75</v>
      </c>
      <c r="AV12" s="17">
        <v>15.0</v>
      </c>
      <c r="AW12" s="33" t="s">
        <v>76</v>
      </c>
      <c r="AX12" s="37" t="s">
        <v>70</v>
      </c>
      <c r="AY12" s="38">
        <v>10.0</v>
      </c>
      <c r="AZ12" s="37" t="s">
        <v>40</v>
      </c>
      <c r="BA12" s="38">
        <v>5.0</v>
      </c>
      <c r="BB12" s="38" t="s">
        <v>40</v>
      </c>
      <c r="BC12" s="28">
        <v>10.0</v>
      </c>
      <c r="BD12" s="5" t="s">
        <v>42</v>
      </c>
      <c r="BE12" s="5" t="s">
        <v>41</v>
      </c>
      <c r="BF12" s="5" t="s">
        <v>40</v>
      </c>
      <c r="BG12" s="5" t="s">
        <v>41</v>
      </c>
      <c r="BH12" s="5" t="s">
        <v>43</v>
      </c>
      <c r="BI12" s="2"/>
      <c r="BJ12" s="11" t="s">
        <v>77</v>
      </c>
      <c r="BK12" s="11"/>
      <c r="BL12" s="11"/>
      <c r="BM12" s="2"/>
      <c r="BN12" s="2"/>
      <c r="BO12" s="2"/>
      <c r="BP12" s="2"/>
      <c r="BQ12" s="2"/>
      <c r="BR12" s="2"/>
      <c r="BS12" s="2"/>
    </row>
    <row r="13">
      <c r="A13" s="5">
        <v>55.0</v>
      </c>
      <c r="B13" s="1">
        <v>1.55</v>
      </c>
      <c r="C13" s="2"/>
      <c r="D13" s="3">
        <v>12.0</v>
      </c>
      <c r="E13" s="3">
        <v>550.0</v>
      </c>
      <c r="F13" s="3">
        <f t="shared" si="8"/>
        <v>3000</v>
      </c>
      <c r="G13" s="3">
        <f t="shared" si="9"/>
        <v>2639950</v>
      </c>
      <c r="H13" s="15">
        <f t="shared" ref="H13:I13" si="33">F13/$F$71</f>
        <v>0.001135095253</v>
      </c>
      <c r="I13" s="16">
        <f t="shared" si="33"/>
        <v>0.9988649047</v>
      </c>
      <c r="J13" s="2"/>
      <c r="K13" s="5">
        <v>11.0</v>
      </c>
      <c r="L13" s="5">
        <f t="shared" ref="L13:S13" si="34">MULTIPLY(L2,1.15)</f>
        <v>184</v>
      </c>
      <c r="M13" s="5">
        <f t="shared" si="34"/>
        <v>345</v>
      </c>
      <c r="N13" s="5">
        <f t="shared" si="34"/>
        <v>488.75</v>
      </c>
      <c r="O13" s="5">
        <f t="shared" si="34"/>
        <v>632.5</v>
      </c>
      <c r="P13" s="5">
        <f t="shared" si="34"/>
        <v>902.75</v>
      </c>
      <c r="Q13" s="5">
        <f t="shared" si="34"/>
        <v>1144.25</v>
      </c>
      <c r="R13" s="5">
        <f t="shared" si="34"/>
        <v>1627.25</v>
      </c>
      <c r="S13" s="5">
        <f t="shared" si="34"/>
        <v>3093.5</v>
      </c>
      <c r="T13" s="2"/>
      <c r="U13" s="35">
        <f>IFERROR(__xludf.DUMMYFUNCTION("""COMPUTED_VALUE"""),57.0)</f>
        <v>57</v>
      </c>
      <c r="V13" s="35">
        <f>IFERROR(__xludf.DUMMYFUNCTION("""COMPUTED_VALUE"""),15.0)</f>
        <v>15</v>
      </c>
      <c r="W13" s="35">
        <f>IFERROR(__xludf.DUMMYFUNCTION("""COMPUTED_VALUE"""),32.0)</f>
        <v>32</v>
      </c>
      <c r="X13" s="2"/>
      <c r="Y13" s="35">
        <f>IFERROR(__xludf.DUMMYFUNCTION("""COMPUTED_VALUE"""),43.0)</f>
        <v>43</v>
      </c>
      <c r="Z13" s="2"/>
      <c r="AA13" s="5">
        <v>12.0</v>
      </c>
      <c r="AB13" s="3">
        <v>4200.0</v>
      </c>
      <c r="AC13" s="3">
        <f t="shared" si="15"/>
        <v>17050</v>
      </c>
      <c r="AD13" s="3">
        <f t="shared" si="4"/>
        <v>1170700</v>
      </c>
      <c r="AE13" s="3">
        <v>5400.0</v>
      </c>
      <c r="AF13" s="3">
        <f t="shared" si="16"/>
        <v>23650</v>
      </c>
      <c r="AG13" s="3">
        <f t="shared" si="5"/>
        <v>1405560</v>
      </c>
      <c r="AH13" s="3">
        <v>7200.0</v>
      </c>
      <c r="AI13" s="3">
        <f t="shared" si="17"/>
        <v>33600</v>
      </c>
      <c r="AJ13" s="3">
        <f t="shared" si="6"/>
        <v>1759160</v>
      </c>
      <c r="AK13" s="2"/>
      <c r="AL13" s="5">
        <v>12.0</v>
      </c>
      <c r="AM13" s="3">
        <v>380.0</v>
      </c>
      <c r="AN13" s="3">
        <f t="shared" si="18"/>
        <v>1560</v>
      </c>
      <c r="AO13" s="5">
        <f t="shared" si="12"/>
        <v>263340</v>
      </c>
      <c r="AP13" s="5">
        <f t="shared" si="7"/>
        <v>7800</v>
      </c>
      <c r="AQ13" s="35">
        <f>IFERROR(__xludf.DUMMYFUNCTION("""COMPUTED_VALUE"""),13.0)</f>
        <v>13</v>
      </c>
      <c r="AR13" s="2"/>
      <c r="AS13" s="1" t="s">
        <v>78</v>
      </c>
      <c r="AT13" s="5">
        <v>6.0</v>
      </c>
      <c r="AU13" s="25" t="s">
        <v>79</v>
      </c>
      <c r="AV13" s="17">
        <v>8.0</v>
      </c>
      <c r="AW13" s="33" t="s">
        <v>80</v>
      </c>
      <c r="AX13" s="37" t="s">
        <v>70</v>
      </c>
      <c r="AY13" s="38">
        <v>10.0</v>
      </c>
      <c r="AZ13" s="37" t="s">
        <v>40</v>
      </c>
      <c r="BA13" s="38">
        <v>5.0</v>
      </c>
      <c r="BB13" s="38" t="s">
        <v>41</v>
      </c>
      <c r="BC13" s="28">
        <v>10.0</v>
      </c>
      <c r="BD13" s="5" t="s">
        <v>42</v>
      </c>
      <c r="BE13" s="5" t="s">
        <v>41</v>
      </c>
      <c r="BF13" s="5" t="s">
        <v>40</v>
      </c>
      <c r="BG13" s="5" t="s">
        <v>41</v>
      </c>
      <c r="BH13" s="5" t="s">
        <v>43</v>
      </c>
      <c r="BI13" s="2"/>
      <c r="BJ13" s="6" t="s">
        <v>81</v>
      </c>
      <c r="BK13" s="35">
        <f>VLOOKUP(Artifacts!$Q$21,Artifacts!$B$5:$E$14,4,FALSE)-VLOOKUP(Artifacts!$Q$20,Artifacts!$B$5:$E$14,4,FALSE)</f>
        <v>20000</v>
      </c>
      <c r="BL13" s="2"/>
      <c r="BM13" s="2"/>
      <c r="BN13" s="2"/>
      <c r="BO13" s="2"/>
      <c r="BP13" s="2"/>
      <c r="BQ13" s="2"/>
      <c r="BR13" s="2"/>
      <c r="BS13" s="2"/>
    </row>
    <row r="14">
      <c r="A14" s="5">
        <v>60.0</v>
      </c>
      <c r="B14" s="1">
        <v>1.6</v>
      </c>
      <c r="C14" s="2"/>
      <c r="D14" s="3">
        <v>13.0</v>
      </c>
      <c r="E14" s="3">
        <v>600.0</v>
      </c>
      <c r="F14" s="3">
        <f t="shared" si="8"/>
        <v>3550</v>
      </c>
      <c r="G14" s="3">
        <f t="shared" si="9"/>
        <v>2639400</v>
      </c>
      <c r="H14" s="15">
        <f t="shared" ref="H14:I14" si="35">F14/$F$71</f>
        <v>0.00134319605</v>
      </c>
      <c r="I14" s="16">
        <f t="shared" si="35"/>
        <v>0.998656804</v>
      </c>
      <c r="J14" s="2"/>
      <c r="K14" s="5">
        <v>12.0</v>
      </c>
      <c r="L14" s="5">
        <f t="shared" ref="L14:S14" si="36">MULTIPLY(L2,1.15)</f>
        <v>184</v>
      </c>
      <c r="M14" s="5">
        <f t="shared" si="36"/>
        <v>345</v>
      </c>
      <c r="N14" s="5">
        <f t="shared" si="36"/>
        <v>488.75</v>
      </c>
      <c r="O14" s="5">
        <f t="shared" si="36"/>
        <v>632.5</v>
      </c>
      <c r="P14" s="5">
        <f t="shared" si="36"/>
        <v>902.75</v>
      </c>
      <c r="Q14" s="5">
        <f t="shared" si="36"/>
        <v>1144.25</v>
      </c>
      <c r="R14" s="5">
        <f t="shared" si="36"/>
        <v>1627.25</v>
      </c>
      <c r="S14" s="5">
        <f t="shared" si="36"/>
        <v>3093.5</v>
      </c>
      <c r="T14" s="2"/>
      <c r="U14" s="35">
        <f>IFERROR(__xludf.DUMMYFUNCTION("""COMPUTED_VALUE"""),58.0)</f>
        <v>58</v>
      </c>
      <c r="V14" s="35">
        <f>IFERROR(__xludf.DUMMYFUNCTION("""COMPUTED_VALUE"""),16.0)</f>
        <v>16</v>
      </c>
      <c r="W14" s="35">
        <f>IFERROR(__xludf.DUMMYFUNCTION("""COMPUTED_VALUE"""),33.0)</f>
        <v>33</v>
      </c>
      <c r="X14" s="2"/>
      <c r="Y14" s="35">
        <f>IFERROR(__xludf.DUMMYFUNCTION("""COMPUTED_VALUE"""),44.0)</f>
        <v>44</v>
      </c>
      <c r="Z14" s="2"/>
      <c r="AA14" s="5">
        <v>13.0</v>
      </c>
      <c r="AB14" s="3">
        <v>5200.0</v>
      </c>
      <c r="AC14" s="3">
        <f t="shared" si="15"/>
        <v>21250</v>
      </c>
      <c r="AD14" s="3">
        <f t="shared" si="4"/>
        <v>1166500</v>
      </c>
      <c r="AE14" s="3">
        <v>6500.0</v>
      </c>
      <c r="AF14" s="3">
        <f t="shared" si="16"/>
        <v>29050</v>
      </c>
      <c r="AG14" s="3">
        <f t="shared" si="5"/>
        <v>1400160</v>
      </c>
      <c r="AH14" s="3">
        <v>8500.0</v>
      </c>
      <c r="AI14" s="3">
        <f t="shared" si="17"/>
        <v>40800</v>
      </c>
      <c r="AJ14" s="3">
        <f t="shared" si="6"/>
        <v>1751960</v>
      </c>
      <c r="AK14" s="2"/>
      <c r="AL14" s="5">
        <v>13.0</v>
      </c>
      <c r="AM14" s="3">
        <v>440.0</v>
      </c>
      <c r="AN14" s="3">
        <f t="shared" si="18"/>
        <v>1940</v>
      </c>
      <c r="AO14" s="5">
        <f t="shared" si="12"/>
        <v>262960</v>
      </c>
      <c r="AP14" s="5">
        <f t="shared" si="7"/>
        <v>9700</v>
      </c>
      <c r="AQ14" s="35">
        <f>IFERROR(__xludf.DUMMYFUNCTION("""COMPUTED_VALUE"""),14.0)</f>
        <v>14</v>
      </c>
      <c r="AR14" s="2"/>
      <c r="AS14" s="1" t="s">
        <v>82</v>
      </c>
      <c r="AT14" s="5">
        <v>12.0</v>
      </c>
      <c r="AU14" s="25" t="s">
        <v>83</v>
      </c>
      <c r="AV14" s="17">
        <v>15.0</v>
      </c>
      <c r="AW14" s="31" t="s">
        <v>84</v>
      </c>
      <c r="AX14" s="39" t="s">
        <v>70</v>
      </c>
      <c r="AY14" s="40">
        <v>10.0</v>
      </c>
      <c r="AZ14" s="37" t="s">
        <v>40</v>
      </c>
      <c r="BA14" s="38">
        <v>5.0</v>
      </c>
      <c r="BB14" s="38" t="s">
        <v>41</v>
      </c>
      <c r="BC14" s="28">
        <v>10.0</v>
      </c>
      <c r="BD14" s="5" t="s">
        <v>42</v>
      </c>
      <c r="BE14" s="5" t="s">
        <v>41</v>
      </c>
      <c r="BF14" s="5" t="s">
        <v>40</v>
      </c>
      <c r="BG14" s="5" t="s">
        <v>41</v>
      </c>
      <c r="BH14" s="5" t="s">
        <v>43</v>
      </c>
      <c r="BI14" s="2"/>
      <c r="BJ14" s="6" t="s">
        <v>85</v>
      </c>
      <c r="BK14" s="35">
        <f>VLOOKUP(Artifacts!$Q$21,Artifacts!$H$5:$K$14,4,FALSE) - VLOOKUP(Artifacts!$Q$20,Artifacts!$H$5:$K$14,4,FALSE)</f>
        <v>32000</v>
      </c>
      <c r="BL14" s="2"/>
      <c r="BM14" s="2"/>
      <c r="BN14" s="2"/>
      <c r="BO14" s="2"/>
      <c r="BP14" s="2"/>
      <c r="BQ14" s="2"/>
      <c r="BR14" s="2"/>
      <c r="BS14" s="2"/>
    </row>
    <row r="15">
      <c r="A15" s="5">
        <v>65.0</v>
      </c>
      <c r="B15" s="1">
        <v>1.65</v>
      </c>
      <c r="C15" s="2"/>
      <c r="D15" s="3">
        <v>14.0</v>
      </c>
      <c r="E15" s="3">
        <v>650.0</v>
      </c>
      <c r="F15" s="3">
        <f t="shared" si="8"/>
        <v>4150</v>
      </c>
      <c r="G15" s="3">
        <f t="shared" si="9"/>
        <v>2638800</v>
      </c>
      <c r="H15" s="15">
        <f t="shared" ref="H15:I15" si="37">F15/$F$71</f>
        <v>0.001570215101</v>
      </c>
      <c r="I15" s="16">
        <f t="shared" si="37"/>
        <v>0.9984297849</v>
      </c>
      <c r="J15" s="2"/>
      <c r="K15" s="5">
        <v>13.0</v>
      </c>
      <c r="L15" s="5">
        <f t="shared" ref="L15:S15" si="38">MULTIPLY(L2,1.2)</f>
        <v>192</v>
      </c>
      <c r="M15" s="5">
        <f t="shared" si="38"/>
        <v>360</v>
      </c>
      <c r="N15" s="5">
        <f t="shared" si="38"/>
        <v>510</v>
      </c>
      <c r="O15" s="5">
        <f t="shared" si="38"/>
        <v>660</v>
      </c>
      <c r="P15" s="5">
        <f t="shared" si="38"/>
        <v>942</v>
      </c>
      <c r="Q15" s="5">
        <f t="shared" si="38"/>
        <v>1194</v>
      </c>
      <c r="R15" s="5">
        <f t="shared" si="38"/>
        <v>1698</v>
      </c>
      <c r="S15" s="5">
        <f t="shared" si="38"/>
        <v>3228</v>
      </c>
      <c r="T15" s="2"/>
      <c r="U15" s="35">
        <f>IFERROR(__xludf.DUMMYFUNCTION("""COMPUTED_VALUE"""),59.0)</f>
        <v>59</v>
      </c>
      <c r="V15" s="35">
        <f>IFERROR(__xludf.DUMMYFUNCTION("""COMPUTED_VALUE"""),17.0)</f>
        <v>17</v>
      </c>
      <c r="W15" s="35">
        <f>IFERROR(__xludf.DUMMYFUNCTION("""COMPUTED_VALUE"""),34.0)</f>
        <v>34</v>
      </c>
      <c r="X15" s="2"/>
      <c r="Y15" s="35">
        <f>IFERROR(__xludf.DUMMYFUNCTION("""COMPUTED_VALUE"""),45.0)</f>
        <v>45</v>
      </c>
      <c r="Z15" s="2"/>
      <c r="AA15" s="5">
        <v>14.0</v>
      </c>
      <c r="AB15" s="3">
        <v>6300.0</v>
      </c>
      <c r="AC15" s="3">
        <f t="shared" si="15"/>
        <v>26450</v>
      </c>
      <c r="AD15" s="3">
        <f t="shared" si="4"/>
        <v>1161300</v>
      </c>
      <c r="AE15" s="3">
        <v>7700.0</v>
      </c>
      <c r="AF15" s="3">
        <f t="shared" si="16"/>
        <v>35550</v>
      </c>
      <c r="AG15" s="3">
        <f t="shared" si="5"/>
        <v>1393660</v>
      </c>
      <c r="AH15" s="3">
        <v>9800.0</v>
      </c>
      <c r="AI15" s="3">
        <f t="shared" si="17"/>
        <v>49300</v>
      </c>
      <c r="AJ15" s="3">
        <f t="shared" si="6"/>
        <v>1743460</v>
      </c>
      <c r="AK15" s="2"/>
      <c r="AL15" s="5">
        <v>14.0</v>
      </c>
      <c r="AM15" s="3">
        <v>500.0</v>
      </c>
      <c r="AN15" s="3">
        <f t="shared" si="18"/>
        <v>2380</v>
      </c>
      <c r="AO15" s="5">
        <f t="shared" si="12"/>
        <v>262520</v>
      </c>
      <c r="AP15" s="5">
        <f t="shared" si="7"/>
        <v>11900</v>
      </c>
      <c r="AQ15" s="35">
        <f>IFERROR(__xludf.DUMMYFUNCTION("""COMPUTED_VALUE"""),15.0)</f>
        <v>15</v>
      </c>
      <c r="AR15" s="2"/>
      <c r="AS15" s="1" t="s">
        <v>86</v>
      </c>
      <c r="AT15" s="5">
        <v>8.0</v>
      </c>
      <c r="AU15" s="25" t="s">
        <v>87</v>
      </c>
      <c r="AV15" s="17">
        <v>1900.0</v>
      </c>
      <c r="AW15" s="33" t="s">
        <v>88</v>
      </c>
      <c r="AX15" s="39" t="s">
        <v>70</v>
      </c>
      <c r="AY15" s="40">
        <v>10.0</v>
      </c>
      <c r="AZ15" s="28" t="s">
        <v>40</v>
      </c>
      <c r="BA15" s="28">
        <v>5.0</v>
      </c>
      <c r="BB15" s="28" t="s">
        <v>40</v>
      </c>
      <c r="BC15" s="28">
        <v>10.0</v>
      </c>
      <c r="BD15" s="5" t="s">
        <v>42</v>
      </c>
      <c r="BE15" s="5" t="s">
        <v>41</v>
      </c>
      <c r="BF15" s="5" t="s">
        <v>40</v>
      </c>
      <c r="BG15" s="5" t="s">
        <v>41</v>
      </c>
      <c r="BH15" s="5" t="s">
        <v>43</v>
      </c>
      <c r="BI15" s="2"/>
      <c r="BJ15" s="6" t="s">
        <v>89</v>
      </c>
      <c r="BK15" s="35">
        <f>VLOOKUP(Artifacts!$Q$21,Artifacts!$N$5:$Q$14,4,FALSE) - VLOOKUP(Artifacts!$Q$20,Artifacts!$N$5:$Q$14,4,FALSE)</f>
        <v>48000</v>
      </c>
      <c r="BL15" s="2"/>
      <c r="BM15" s="2"/>
      <c r="BN15" s="2"/>
      <c r="BO15" s="2"/>
      <c r="BP15" s="2"/>
      <c r="BQ15" s="2"/>
      <c r="BR15" s="2"/>
      <c r="BS15" s="2"/>
    </row>
    <row r="16">
      <c r="A16" s="5">
        <v>70.0</v>
      </c>
      <c r="B16" s="1">
        <v>1.7</v>
      </c>
      <c r="C16" s="2"/>
      <c r="D16" s="3">
        <v>15.0</v>
      </c>
      <c r="E16" s="3">
        <v>700.0</v>
      </c>
      <c r="F16" s="3">
        <f t="shared" si="8"/>
        <v>4800</v>
      </c>
      <c r="G16" s="3">
        <f t="shared" si="9"/>
        <v>2638150</v>
      </c>
      <c r="H16" s="15">
        <f t="shared" ref="H16:I16" si="39">F16/$F$71</f>
        <v>0.001816152405</v>
      </c>
      <c r="I16" s="16">
        <f t="shared" si="39"/>
        <v>0.9981838476</v>
      </c>
      <c r="J16" s="2"/>
      <c r="K16" s="5">
        <v>14.0</v>
      </c>
      <c r="L16" s="5">
        <f t="shared" ref="L16:S16" si="40">MULTIPLY(L2,1.2)</f>
        <v>192</v>
      </c>
      <c r="M16" s="5">
        <f t="shared" si="40"/>
        <v>360</v>
      </c>
      <c r="N16" s="5">
        <f t="shared" si="40"/>
        <v>510</v>
      </c>
      <c r="O16" s="5">
        <f t="shared" si="40"/>
        <v>660</v>
      </c>
      <c r="P16" s="5">
        <f t="shared" si="40"/>
        <v>942</v>
      </c>
      <c r="Q16" s="5">
        <f t="shared" si="40"/>
        <v>1194</v>
      </c>
      <c r="R16" s="5">
        <f t="shared" si="40"/>
        <v>1698</v>
      </c>
      <c r="S16" s="5">
        <f t="shared" si="40"/>
        <v>3228</v>
      </c>
      <c r="T16" s="2"/>
      <c r="U16" s="35">
        <f>IFERROR(__xludf.DUMMYFUNCTION("""COMPUTED_VALUE"""),60.0)</f>
        <v>60</v>
      </c>
      <c r="V16" s="35">
        <f>IFERROR(__xludf.DUMMYFUNCTION("""COMPUTED_VALUE"""),18.0)</f>
        <v>18</v>
      </c>
      <c r="W16" s="35">
        <f>IFERROR(__xludf.DUMMYFUNCTION("""COMPUTED_VALUE"""),35.0)</f>
        <v>35</v>
      </c>
      <c r="X16" s="2"/>
      <c r="Y16" s="35">
        <f>IFERROR(__xludf.DUMMYFUNCTION("""COMPUTED_VALUE"""),46.0)</f>
        <v>46</v>
      </c>
      <c r="Z16" s="2"/>
      <c r="AA16" s="5">
        <v>15.0</v>
      </c>
      <c r="AB16" s="3">
        <v>7500.0</v>
      </c>
      <c r="AC16" s="3">
        <f t="shared" si="15"/>
        <v>32750</v>
      </c>
      <c r="AD16" s="3">
        <f t="shared" si="4"/>
        <v>1155000</v>
      </c>
      <c r="AE16" s="3">
        <v>9000.0</v>
      </c>
      <c r="AF16" s="3">
        <f t="shared" si="16"/>
        <v>43250</v>
      </c>
      <c r="AG16" s="3">
        <f t="shared" si="5"/>
        <v>1385960</v>
      </c>
      <c r="AH16" s="3">
        <v>11300.0</v>
      </c>
      <c r="AI16" s="3">
        <f t="shared" si="17"/>
        <v>59100</v>
      </c>
      <c r="AJ16" s="3">
        <f t="shared" si="6"/>
        <v>1733660</v>
      </c>
      <c r="AK16" s="2"/>
      <c r="AL16" s="5">
        <v>15.0</v>
      </c>
      <c r="AM16" s="3">
        <v>640.0</v>
      </c>
      <c r="AN16" s="3">
        <f t="shared" si="18"/>
        <v>2880</v>
      </c>
      <c r="AO16" s="5">
        <f t="shared" si="12"/>
        <v>262020</v>
      </c>
      <c r="AP16" s="5">
        <f t="shared" si="7"/>
        <v>14400</v>
      </c>
      <c r="AQ16" s="35">
        <f>IFERROR(__xludf.DUMMYFUNCTION("""COMPUTED_VALUE"""),16.0)</f>
        <v>16</v>
      </c>
      <c r="AR16" s="2"/>
      <c r="AS16" s="1" t="s">
        <v>90</v>
      </c>
      <c r="AT16" s="5">
        <v>12.0</v>
      </c>
      <c r="AU16" s="25" t="s">
        <v>91</v>
      </c>
      <c r="AV16" s="17">
        <v>2500.0</v>
      </c>
      <c r="AW16" s="31" t="s">
        <v>92</v>
      </c>
      <c r="AX16" s="27" t="s">
        <v>70</v>
      </c>
      <c r="AY16" s="27">
        <v>10.0</v>
      </c>
      <c r="AZ16" s="27" t="s">
        <v>41</v>
      </c>
      <c r="BA16" s="27">
        <v>5.0</v>
      </c>
      <c r="BB16" s="27" t="s">
        <v>40</v>
      </c>
      <c r="BC16" s="27">
        <v>10.0</v>
      </c>
      <c r="BD16" s="5" t="s">
        <v>42</v>
      </c>
      <c r="BE16" s="5" t="s">
        <v>41</v>
      </c>
      <c r="BF16" s="5" t="s">
        <v>40</v>
      </c>
      <c r="BG16" s="5" t="s">
        <v>41</v>
      </c>
      <c r="BH16" s="5" t="s">
        <v>43</v>
      </c>
      <c r="BI16" s="2"/>
      <c r="BJ16" s="2"/>
      <c r="BK16" s="2"/>
      <c r="BL16" s="2"/>
      <c r="BM16" s="2"/>
      <c r="BN16" s="2"/>
      <c r="BO16" s="2"/>
      <c r="BP16" s="2"/>
      <c r="BQ16" s="2"/>
      <c r="BR16" s="2"/>
      <c r="BS16" s="2"/>
    </row>
    <row r="17">
      <c r="A17" s="5">
        <v>75.0</v>
      </c>
      <c r="B17" s="1">
        <v>1.75</v>
      </c>
      <c r="C17" s="2"/>
      <c r="D17" s="3">
        <v>16.0</v>
      </c>
      <c r="E17" s="3">
        <v>750.0</v>
      </c>
      <c r="F17" s="3">
        <f t="shared" si="8"/>
        <v>5500</v>
      </c>
      <c r="G17" s="3">
        <f t="shared" si="9"/>
        <v>2637450</v>
      </c>
      <c r="H17" s="15">
        <f t="shared" ref="H17:I17" si="41">F17/$F$71</f>
        <v>0.002081007965</v>
      </c>
      <c r="I17" s="16">
        <f t="shared" si="41"/>
        <v>0.997918992</v>
      </c>
      <c r="J17" s="2"/>
      <c r="K17" s="5">
        <v>15.0</v>
      </c>
      <c r="L17" s="5">
        <f t="shared" ref="L17:S17" si="42">MULTIPLY(L2,1.2)</f>
        <v>192</v>
      </c>
      <c r="M17" s="5">
        <f t="shared" si="42"/>
        <v>360</v>
      </c>
      <c r="N17" s="5">
        <f t="shared" si="42"/>
        <v>510</v>
      </c>
      <c r="O17" s="5">
        <f t="shared" si="42"/>
        <v>660</v>
      </c>
      <c r="P17" s="5">
        <f t="shared" si="42"/>
        <v>942</v>
      </c>
      <c r="Q17" s="5">
        <f t="shared" si="42"/>
        <v>1194</v>
      </c>
      <c r="R17" s="5">
        <f t="shared" si="42"/>
        <v>1698</v>
      </c>
      <c r="S17" s="5">
        <f t="shared" si="42"/>
        <v>3228</v>
      </c>
      <c r="T17" s="2"/>
      <c r="U17" s="35">
        <f>IFERROR(__xludf.DUMMYFUNCTION("""COMPUTED_VALUE"""),61.0)</f>
        <v>61</v>
      </c>
      <c r="V17" s="35">
        <f>IFERROR(__xludf.DUMMYFUNCTION("""COMPUTED_VALUE"""),19.0)</f>
        <v>19</v>
      </c>
      <c r="W17" s="35">
        <f>IFERROR(__xludf.DUMMYFUNCTION("""COMPUTED_VALUE"""),36.0)</f>
        <v>36</v>
      </c>
      <c r="X17" s="2"/>
      <c r="Y17" s="35">
        <f>IFERROR(__xludf.DUMMYFUNCTION("""COMPUTED_VALUE"""),47.0)</f>
        <v>47</v>
      </c>
      <c r="Z17" s="2"/>
      <c r="AA17" s="5">
        <v>16.0</v>
      </c>
      <c r="AB17" s="3">
        <v>8000.0</v>
      </c>
      <c r="AC17" s="3">
        <f t="shared" si="15"/>
        <v>40250</v>
      </c>
      <c r="AD17" s="3">
        <f t="shared" si="4"/>
        <v>1147500</v>
      </c>
      <c r="AE17" s="3">
        <v>9600.0</v>
      </c>
      <c r="AF17" s="3">
        <f t="shared" si="16"/>
        <v>52250</v>
      </c>
      <c r="AG17" s="3">
        <f t="shared" si="5"/>
        <v>1376960</v>
      </c>
      <c r="AH17" s="3">
        <v>12000.0</v>
      </c>
      <c r="AI17" s="3">
        <f t="shared" si="17"/>
        <v>70400</v>
      </c>
      <c r="AJ17" s="3">
        <f t="shared" si="6"/>
        <v>1722360</v>
      </c>
      <c r="AK17" s="2"/>
      <c r="AL17" s="5">
        <v>16.0</v>
      </c>
      <c r="AM17" s="3">
        <v>700.0</v>
      </c>
      <c r="AN17" s="3">
        <f t="shared" si="18"/>
        <v>3520</v>
      </c>
      <c r="AO17" s="5">
        <f t="shared" si="12"/>
        <v>261380</v>
      </c>
      <c r="AP17" s="5">
        <f t="shared" si="7"/>
        <v>17600</v>
      </c>
      <c r="AQ17" s="35">
        <f>IFERROR(__xludf.DUMMYFUNCTION("""COMPUTED_VALUE"""),17.0)</f>
        <v>17</v>
      </c>
      <c r="AR17" s="2"/>
      <c r="AS17" s="1" t="s">
        <v>93</v>
      </c>
      <c r="AT17" s="5">
        <v>24.0</v>
      </c>
      <c r="AU17" s="25" t="s">
        <v>94</v>
      </c>
      <c r="AV17" s="17">
        <v>8.0</v>
      </c>
      <c r="AW17" s="33" t="s">
        <v>95</v>
      </c>
      <c r="AX17" s="37" t="s">
        <v>56</v>
      </c>
      <c r="AY17" s="38">
        <v>20.0</v>
      </c>
      <c r="AZ17" s="37" t="s">
        <v>40</v>
      </c>
      <c r="BA17" s="38">
        <v>5.0</v>
      </c>
      <c r="BB17" s="38" t="s">
        <v>40</v>
      </c>
      <c r="BC17" s="28">
        <v>10.0</v>
      </c>
      <c r="BD17" s="5" t="s">
        <v>42</v>
      </c>
      <c r="BE17" s="5" t="s">
        <v>41</v>
      </c>
      <c r="BF17" s="5" t="s">
        <v>40</v>
      </c>
      <c r="BG17" s="5" t="s">
        <v>41</v>
      </c>
      <c r="BH17" s="5" t="s">
        <v>43</v>
      </c>
      <c r="BI17" s="2"/>
      <c r="BJ17" s="6"/>
      <c r="BK17" s="2"/>
      <c r="BL17" s="2"/>
      <c r="BM17" s="2"/>
      <c r="BN17" s="2"/>
      <c r="BO17" s="2"/>
      <c r="BP17" s="2"/>
      <c r="BQ17" s="2"/>
      <c r="BR17" s="2"/>
      <c r="BS17" s="2"/>
    </row>
    <row r="18">
      <c r="A18" s="5">
        <v>80.0</v>
      </c>
      <c r="B18" s="1">
        <v>1.8</v>
      </c>
      <c r="C18" s="2"/>
      <c r="D18" s="3">
        <v>17.0</v>
      </c>
      <c r="E18" s="3">
        <v>800.0</v>
      </c>
      <c r="F18" s="3">
        <f t="shared" si="8"/>
        <v>6250</v>
      </c>
      <c r="G18" s="3">
        <f t="shared" si="9"/>
        <v>2636700</v>
      </c>
      <c r="H18" s="15">
        <f t="shared" ref="H18:I18" si="43">F18/$F$71</f>
        <v>0.002364781778</v>
      </c>
      <c r="I18" s="16">
        <f t="shared" si="43"/>
        <v>0.9976352182</v>
      </c>
      <c r="J18" s="2"/>
      <c r="K18" s="5">
        <v>16.0</v>
      </c>
      <c r="L18" s="5">
        <f t="shared" ref="L18:S18" si="44">MULTIPLY(L2,1.2)</f>
        <v>192</v>
      </c>
      <c r="M18" s="5">
        <f t="shared" si="44"/>
        <v>360</v>
      </c>
      <c r="N18" s="5">
        <f t="shared" si="44"/>
        <v>510</v>
      </c>
      <c r="O18" s="5">
        <f t="shared" si="44"/>
        <v>660</v>
      </c>
      <c r="P18" s="5">
        <f t="shared" si="44"/>
        <v>942</v>
      </c>
      <c r="Q18" s="5">
        <f t="shared" si="44"/>
        <v>1194</v>
      </c>
      <c r="R18" s="5">
        <f t="shared" si="44"/>
        <v>1698</v>
      </c>
      <c r="S18" s="5">
        <f t="shared" si="44"/>
        <v>3228</v>
      </c>
      <c r="T18" s="2"/>
      <c r="U18" s="35">
        <f>IFERROR(__xludf.DUMMYFUNCTION("""COMPUTED_VALUE"""),62.0)</f>
        <v>62</v>
      </c>
      <c r="V18" s="35">
        <f>IFERROR(__xludf.DUMMYFUNCTION("""COMPUTED_VALUE"""),20.0)</f>
        <v>20</v>
      </c>
      <c r="W18" s="35">
        <f>IFERROR(__xludf.DUMMYFUNCTION("""COMPUTED_VALUE"""),37.0)</f>
        <v>37</v>
      </c>
      <c r="X18" s="2"/>
      <c r="Y18" s="35">
        <f>IFERROR(__xludf.DUMMYFUNCTION("""COMPUTED_VALUE"""),48.0)</f>
        <v>48</v>
      </c>
      <c r="Z18" s="2"/>
      <c r="AA18" s="5">
        <v>17.0</v>
      </c>
      <c r="AB18" s="3">
        <v>8500.0</v>
      </c>
      <c r="AC18" s="3">
        <f t="shared" si="15"/>
        <v>48250</v>
      </c>
      <c r="AD18" s="3">
        <f t="shared" si="4"/>
        <v>1139500</v>
      </c>
      <c r="AE18" s="3">
        <v>10200.0</v>
      </c>
      <c r="AF18" s="3">
        <f t="shared" si="16"/>
        <v>61850</v>
      </c>
      <c r="AG18" s="3">
        <f t="shared" si="5"/>
        <v>1367360</v>
      </c>
      <c r="AH18" s="3">
        <v>12800.0</v>
      </c>
      <c r="AI18" s="3">
        <f t="shared" si="17"/>
        <v>82400</v>
      </c>
      <c r="AJ18" s="3">
        <f t="shared" si="6"/>
        <v>1710360</v>
      </c>
      <c r="AK18" s="2"/>
      <c r="AL18" s="5">
        <v>17.0</v>
      </c>
      <c r="AM18" s="3">
        <v>780.0</v>
      </c>
      <c r="AN18" s="3">
        <f t="shared" si="18"/>
        <v>4220</v>
      </c>
      <c r="AO18" s="5">
        <f t="shared" si="12"/>
        <v>260680</v>
      </c>
      <c r="AP18" s="5">
        <f t="shared" si="7"/>
        <v>21100</v>
      </c>
      <c r="AQ18" s="35">
        <f>IFERROR(__xludf.DUMMYFUNCTION("""COMPUTED_VALUE"""),18.0)</f>
        <v>18</v>
      </c>
      <c r="AR18" s="2"/>
      <c r="AS18" s="1" t="s">
        <v>96</v>
      </c>
      <c r="AT18" s="5">
        <v>8.0</v>
      </c>
      <c r="AU18" s="41" t="s">
        <v>97</v>
      </c>
      <c r="AV18" s="17">
        <v>15.0</v>
      </c>
      <c r="AW18" s="33" t="s">
        <v>98</v>
      </c>
      <c r="AX18" s="37" t="s">
        <v>99</v>
      </c>
      <c r="AY18" s="38">
        <v>10.0</v>
      </c>
      <c r="AZ18" s="37" t="s">
        <v>41</v>
      </c>
      <c r="BA18" s="38">
        <v>5.0</v>
      </c>
      <c r="BB18" s="38" t="s">
        <v>40</v>
      </c>
      <c r="BC18" s="28">
        <v>10.0</v>
      </c>
      <c r="BD18" s="5" t="s">
        <v>42</v>
      </c>
      <c r="BE18" s="5" t="s">
        <v>41</v>
      </c>
      <c r="BF18" s="5" t="s">
        <v>40</v>
      </c>
      <c r="BG18" s="5" t="s">
        <v>41</v>
      </c>
      <c r="BH18" s="5" t="s">
        <v>43</v>
      </c>
      <c r="BI18" s="2"/>
      <c r="BJ18" s="6"/>
      <c r="BK18" s="2"/>
      <c r="BL18" s="2"/>
      <c r="BM18" s="2"/>
      <c r="BN18" s="2"/>
      <c r="BO18" s="2"/>
      <c r="BP18" s="2"/>
      <c r="BQ18" s="2"/>
      <c r="BR18" s="2"/>
      <c r="BS18" s="2"/>
    </row>
    <row r="19">
      <c r="A19" s="5">
        <v>85.0</v>
      </c>
      <c r="B19" s="1">
        <v>1.85</v>
      </c>
      <c r="C19" s="2"/>
      <c r="D19" s="3">
        <v>18.0</v>
      </c>
      <c r="E19" s="3">
        <v>850.0</v>
      </c>
      <c r="F19" s="3">
        <f t="shared" si="8"/>
        <v>7050</v>
      </c>
      <c r="G19" s="3">
        <f t="shared" si="9"/>
        <v>2635900</v>
      </c>
      <c r="H19" s="15">
        <f t="shared" ref="H19:I19" si="45">F19/$F$71</f>
        <v>0.002667473846</v>
      </c>
      <c r="I19" s="16">
        <f t="shared" si="45"/>
        <v>0.9973325262</v>
      </c>
      <c r="J19" s="2"/>
      <c r="K19" s="5">
        <v>17.0</v>
      </c>
      <c r="L19" s="5">
        <f t="shared" ref="L19:S19" si="46">MULTIPLY(L2,1.2)</f>
        <v>192</v>
      </c>
      <c r="M19" s="5">
        <f t="shared" si="46"/>
        <v>360</v>
      </c>
      <c r="N19" s="5">
        <f t="shared" si="46"/>
        <v>510</v>
      </c>
      <c r="O19" s="5">
        <f t="shared" si="46"/>
        <v>660</v>
      </c>
      <c r="P19" s="5">
        <f t="shared" si="46"/>
        <v>942</v>
      </c>
      <c r="Q19" s="5">
        <f t="shared" si="46"/>
        <v>1194</v>
      </c>
      <c r="R19" s="5">
        <f t="shared" si="46"/>
        <v>1698</v>
      </c>
      <c r="S19" s="5">
        <f t="shared" si="46"/>
        <v>3228</v>
      </c>
      <c r="T19" s="2"/>
      <c r="U19" s="35">
        <f>IFERROR(__xludf.DUMMYFUNCTION("""COMPUTED_VALUE"""),63.0)</f>
        <v>63</v>
      </c>
      <c r="V19" s="35">
        <f>IFERROR(__xludf.DUMMYFUNCTION("""COMPUTED_VALUE"""),21.0)</f>
        <v>21</v>
      </c>
      <c r="W19" s="35">
        <f>IFERROR(__xludf.DUMMYFUNCTION("""COMPUTED_VALUE"""),38.0)</f>
        <v>38</v>
      </c>
      <c r="X19" s="2"/>
      <c r="Y19" s="35">
        <f>IFERROR(__xludf.DUMMYFUNCTION("""COMPUTED_VALUE"""),49.0)</f>
        <v>49</v>
      </c>
      <c r="Z19" s="2"/>
      <c r="AA19" s="5">
        <v>18.0</v>
      </c>
      <c r="AB19" s="3">
        <v>9000.0</v>
      </c>
      <c r="AC19" s="3">
        <f t="shared" si="15"/>
        <v>56750</v>
      </c>
      <c r="AD19" s="3">
        <f t="shared" si="4"/>
        <v>1131000</v>
      </c>
      <c r="AE19" s="3">
        <v>10800.0</v>
      </c>
      <c r="AF19" s="3">
        <f t="shared" si="16"/>
        <v>72050</v>
      </c>
      <c r="AG19" s="3">
        <f t="shared" si="5"/>
        <v>1357160</v>
      </c>
      <c r="AH19" s="3">
        <v>13500.0</v>
      </c>
      <c r="AI19" s="3">
        <f t="shared" si="17"/>
        <v>95200</v>
      </c>
      <c r="AJ19" s="3">
        <f t="shared" si="6"/>
        <v>1697560</v>
      </c>
      <c r="AK19" s="2"/>
      <c r="AL19" s="5">
        <v>18.0</v>
      </c>
      <c r="AM19" s="3">
        <v>860.0</v>
      </c>
      <c r="AN19" s="3">
        <f t="shared" si="18"/>
        <v>5000</v>
      </c>
      <c r="AO19" s="5">
        <f t="shared" si="12"/>
        <v>259900</v>
      </c>
      <c r="AP19" s="5">
        <f t="shared" si="7"/>
        <v>25000</v>
      </c>
      <c r="AQ19" s="35">
        <f>IFERROR(__xludf.DUMMYFUNCTION("""COMPUTED_VALUE"""),19.0)</f>
        <v>19</v>
      </c>
      <c r="AR19" s="2"/>
      <c r="AS19" s="1" t="s">
        <v>100</v>
      </c>
      <c r="AT19" s="5">
        <v>12.0</v>
      </c>
      <c r="AU19" s="41" t="s">
        <v>101</v>
      </c>
      <c r="AV19" s="17">
        <v>8.0</v>
      </c>
      <c r="AW19" s="31" t="s">
        <v>102</v>
      </c>
      <c r="AX19" s="39" t="s">
        <v>103</v>
      </c>
      <c r="AY19" s="40">
        <v>5.0</v>
      </c>
      <c r="AZ19" s="39" t="s">
        <v>41</v>
      </c>
      <c r="BA19" s="40">
        <v>4.0</v>
      </c>
      <c r="BB19" s="40" t="s">
        <v>40</v>
      </c>
      <c r="BC19" s="27">
        <v>8.0</v>
      </c>
      <c r="BD19" s="5" t="s">
        <v>42</v>
      </c>
      <c r="BE19" s="5" t="s">
        <v>41</v>
      </c>
      <c r="BF19" s="5" t="s">
        <v>40</v>
      </c>
      <c r="BG19" s="5" t="s">
        <v>41</v>
      </c>
      <c r="BH19" s="5" t="s">
        <v>43</v>
      </c>
      <c r="BI19" s="2"/>
      <c r="BJ19" s="6"/>
      <c r="BK19" s="2"/>
      <c r="BL19" s="2"/>
      <c r="BM19" s="2"/>
      <c r="BN19" s="2"/>
      <c r="BO19" s="2"/>
      <c r="BP19" s="2"/>
      <c r="BQ19" s="2"/>
      <c r="BR19" s="2"/>
      <c r="BS19" s="2"/>
    </row>
    <row r="20">
      <c r="A20" s="5">
        <v>90.0</v>
      </c>
      <c r="B20" s="1">
        <v>1.9</v>
      </c>
      <c r="C20" s="2"/>
      <c r="D20" s="3">
        <v>19.0</v>
      </c>
      <c r="E20" s="3">
        <v>900.0</v>
      </c>
      <c r="F20" s="3">
        <f t="shared" si="8"/>
        <v>7900</v>
      </c>
      <c r="G20" s="3">
        <f t="shared" si="9"/>
        <v>2635050</v>
      </c>
      <c r="H20" s="15">
        <f t="shared" ref="H20:I20" si="47">F20/$F$71</f>
        <v>0.002989084167</v>
      </c>
      <c r="I20" s="16">
        <f t="shared" si="47"/>
        <v>0.9970109158</v>
      </c>
      <c r="J20" s="2"/>
      <c r="K20" s="5">
        <v>18.0</v>
      </c>
      <c r="L20" s="5">
        <f t="shared" ref="L20:S20" si="48">MULTIPLY(L2,1.25)</f>
        <v>200</v>
      </c>
      <c r="M20" s="5">
        <f t="shared" si="48"/>
        <v>375</v>
      </c>
      <c r="N20" s="5">
        <f t="shared" si="48"/>
        <v>531.25</v>
      </c>
      <c r="O20" s="5">
        <f t="shared" si="48"/>
        <v>687.5</v>
      </c>
      <c r="P20" s="5">
        <f t="shared" si="48"/>
        <v>981.25</v>
      </c>
      <c r="Q20" s="5">
        <f t="shared" si="48"/>
        <v>1243.75</v>
      </c>
      <c r="R20" s="5">
        <f t="shared" si="48"/>
        <v>1768.75</v>
      </c>
      <c r="S20" s="5">
        <f t="shared" si="48"/>
        <v>3362.5</v>
      </c>
      <c r="T20" s="2"/>
      <c r="U20" s="35">
        <f>IFERROR(__xludf.DUMMYFUNCTION("""COMPUTED_VALUE"""),64.0)</f>
        <v>64</v>
      </c>
      <c r="V20" s="35">
        <f>IFERROR(__xludf.DUMMYFUNCTION("""COMPUTED_VALUE"""),22.0)</f>
        <v>22</v>
      </c>
      <c r="W20" s="35">
        <f>IFERROR(__xludf.DUMMYFUNCTION("""COMPUTED_VALUE"""),39.0)</f>
        <v>39</v>
      </c>
      <c r="X20" s="2"/>
      <c r="Y20" s="35">
        <f>IFERROR(__xludf.DUMMYFUNCTION("""COMPUTED_VALUE"""),50.0)</f>
        <v>50</v>
      </c>
      <c r="Z20" s="2"/>
      <c r="AA20" s="5">
        <v>19.0</v>
      </c>
      <c r="AB20" s="3">
        <v>9500.0</v>
      </c>
      <c r="AC20" s="3">
        <f t="shared" si="15"/>
        <v>65750</v>
      </c>
      <c r="AD20" s="3">
        <f t="shared" si="4"/>
        <v>1122000</v>
      </c>
      <c r="AE20" s="3">
        <v>11400.0</v>
      </c>
      <c r="AF20" s="3">
        <f t="shared" si="16"/>
        <v>82850</v>
      </c>
      <c r="AG20" s="3">
        <f t="shared" si="5"/>
        <v>1346360</v>
      </c>
      <c r="AH20" s="3">
        <v>14300.0</v>
      </c>
      <c r="AI20" s="3">
        <f t="shared" si="17"/>
        <v>108700</v>
      </c>
      <c r="AJ20" s="3">
        <f t="shared" si="6"/>
        <v>1684060</v>
      </c>
      <c r="AK20" s="2"/>
      <c r="AL20" s="5">
        <v>19.0</v>
      </c>
      <c r="AM20" s="3">
        <v>960.0</v>
      </c>
      <c r="AN20" s="3">
        <f t="shared" si="18"/>
        <v>5860</v>
      </c>
      <c r="AO20" s="5">
        <f t="shared" si="12"/>
        <v>259040</v>
      </c>
      <c r="AP20" s="5">
        <f t="shared" si="7"/>
        <v>29300</v>
      </c>
      <c r="AQ20" s="35">
        <f>IFERROR(__xludf.DUMMYFUNCTION("""COMPUTED_VALUE"""),20.0)</f>
        <v>20</v>
      </c>
      <c r="AR20" s="2"/>
      <c r="AS20" s="1" t="s">
        <v>104</v>
      </c>
      <c r="AT20" s="5">
        <v>20.0</v>
      </c>
      <c r="AU20" s="41" t="s">
        <v>105</v>
      </c>
      <c r="AV20" s="17">
        <v>15.0</v>
      </c>
      <c r="AW20" s="31" t="s">
        <v>106</v>
      </c>
      <c r="AX20" s="39" t="s">
        <v>103</v>
      </c>
      <c r="AY20" s="40">
        <v>10.0</v>
      </c>
      <c r="AZ20" s="39" t="s">
        <v>41</v>
      </c>
      <c r="BA20" s="40">
        <v>5.0</v>
      </c>
      <c r="BB20" s="40" t="s">
        <v>40</v>
      </c>
      <c r="BC20" s="27">
        <v>10.0</v>
      </c>
      <c r="BD20" s="5" t="s">
        <v>42</v>
      </c>
      <c r="BE20" s="5" t="s">
        <v>41</v>
      </c>
      <c r="BF20" s="5" t="s">
        <v>40</v>
      </c>
      <c r="BG20" s="5" t="s">
        <v>41</v>
      </c>
      <c r="BH20" s="5" t="s">
        <v>43</v>
      </c>
      <c r="BI20" s="2"/>
      <c r="BJ20" s="6"/>
      <c r="BK20" s="2"/>
      <c r="BL20" s="2"/>
      <c r="BM20" s="2"/>
      <c r="BN20" s="2"/>
      <c r="BO20" s="2"/>
      <c r="BP20" s="2"/>
      <c r="BQ20" s="2"/>
      <c r="BR20" s="2"/>
      <c r="BS20" s="2"/>
    </row>
    <row r="21">
      <c r="A21" s="5">
        <v>95.0</v>
      </c>
      <c r="B21" s="1">
        <v>1.95</v>
      </c>
      <c r="C21" s="2"/>
      <c r="D21" s="3">
        <v>20.0</v>
      </c>
      <c r="E21" s="3">
        <v>950.0</v>
      </c>
      <c r="F21" s="3">
        <f t="shared" si="8"/>
        <v>8800</v>
      </c>
      <c r="G21" s="3">
        <f t="shared" si="9"/>
        <v>2634150</v>
      </c>
      <c r="H21" s="15">
        <f t="shared" ref="H21:I21" si="49">F21/$F$71</f>
        <v>0.003329612743</v>
      </c>
      <c r="I21" s="16">
        <f t="shared" si="49"/>
        <v>0.9966703873</v>
      </c>
      <c r="J21" s="2"/>
      <c r="K21" s="5">
        <v>19.0</v>
      </c>
      <c r="L21" s="5">
        <f t="shared" ref="L21:S21" si="50">MULTIPLY(L2,1.25)</f>
        <v>200</v>
      </c>
      <c r="M21" s="5">
        <f t="shared" si="50"/>
        <v>375</v>
      </c>
      <c r="N21" s="5">
        <f t="shared" si="50"/>
        <v>531.25</v>
      </c>
      <c r="O21" s="5">
        <f t="shared" si="50"/>
        <v>687.5</v>
      </c>
      <c r="P21" s="5">
        <f t="shared" si="50"/>
        <v>981.25</v>
      </c>
      <c r="Q21" s="5">
        <f t="shared" si="50"/>
        <v>1243.75</v>
      </c>
      <c r="R21" s="5">
        <f t="shared" si="50"/>
        <v>1768.75</v>
      </c>
      <c r="S21" s="5">
        <f t="shared" si="50"/>
        <v>3362.5</v>
      </c>
      <c r="T21" s="2"/>
      <c r="U21" s="35">
        <f>IFERROR(__xludf.DUMMYFUNCTION("""COMPUTED_VALUE"""),65.0)</f>
        <v>65</v>
      </c>
      <c r="V21" s="35">
        <f>IFERROR(__xludf.DUMMYFUNCTION("""COMPUTED_VALUE"""),23.0)</f>
        <v>23</v>
      </c>
      <c r="W21" s="35">
        <f>IFERROR(__xludf.DUMMYFUNCTION("""COMPUTED_VALUE"""),40.0)</f>
        <v>40</v>
      </c>
      <c r="X21" s="2"/>
      <c r="Y21" s="35">
        <f>IFERROR(__xludf.DUMMYFUNCTION("""COMPUTED_VALUE"""),51.0)</f>
        <v>51</v>
      </c>
      <c r="Z21" s="2"/>
      <c r="AA21" s="5">
        <v>20.0</v>
      </c>
      <c r="AB21" s="3">
        <v>10000.0</v>
      </c>
      <c r="AC21" s="3">
        <f t="shared" si="15"/>
        <v>75250</v>
      </c>
      <c r="AD21" s="3">
        <f t="shared" si="4"/>
        <v>1112500</v>
      </c>
      <c r="AE21" s="3">
        <v>12000.0</v>
      </c>
      <c r="AF21" s="3">
        <f t="shared" si="16"/>
        <v>94250</v>
      </c>
      <c r="AG21" s="3">
        <f t="shared" si="5"/>
        <v>1334960</v>
      </c>
      <c r="AH21" s="3">
        <v>15000.0</v>
      </c>
      <c r="AI21" s="3">
        <f t="shared" si="17"/>
        <v>123000</v>
      </c>
      <c r="AJ21" s="3">
        <f t="shared" si="6"/>
        <v>1669760</v>
      </c>
      <c r="AK21" s="2"/>
      <c r="AL21" s="5">
        <v>20.0</v>
      </c>
      <c r="AM21" s="3">
        <v>1040.0</v>
      </c>
      <c r="AN21" s="3">
        <f t="shared" si="18"/>
        <v>6820</v>
      </c>
      <c r="AO21" s="5">
        <f t="shared" si="12"/>
        <v>258080</v>
      </c>
      <c r="AP21" s="5">
        <f t="shared" si="7"/>
        <v>34100</v>
      </c>
      <c r="AQ21" s="35">
        <f>IFERROR(__xludf.DUMMYFUNCTION("""COMPUTED_VALUE"""),21.0)</f>
        <v>21</v>
      </c>
      <c r="AR21" s="2"/>
      <c r="AS21" s="1" t="s">
        <v>107</v>
      </c>
      <c r="AT21" s="5">
        <v>4.0</v>
      </c>
      <c r="AV21" s="35"/>
      <c r="AW21" s="42" t="s">
        <v>108</v>
      </c>
      <c r="AX21" s="43" t="s">
        <v>99</v>
      </c>
      <c r="AY21" s="43">
        <v>10.0</v>
      </c>
      <c r="AZ21" s="43" t="s">
        <v>40</v>
      </c>
      <c r="BA21" s="43">
        <v>5.0</v>
      </c>
      <c r="BB21" s="43" t="s">
        <v>41</v>
      </c>
      <c r="BC21" s="43">
        <v>10.0</v>
      </c>
      <c r="BD21" s="5" t="s">
        <v>42</v>
      </c>
      <c r="BE21" s="5" t="s">
        <v>41</v>
      </c>
      <c r="BF21" s="5" t="s">
        <v>40</v>
      </c>
      <c r="BG21" s="5" t="s">
        <v>41</v>
      </c>
      <c r="BH21" s="5" t="s">
        <v>43</v>
      </c>
      <c r="BI21" s="2"/>
      <c r="BJ21" s="2"/>
      <c r="BK21" s="2"/>
      <c r="BL21" s="2"/>
      <c r="BM21" s="2"/>
      <c r="BN21" s="2"/>
      <c r="BO21" s="2"/>
      <c r="BP21" s="2"/>
      <c r="BQ21" s="2"/>
      <c r="BR21" s="2"/>
      <c r="BS21" s="2"/>
    </row>
    <row r="22">
      <c r="A22" s="5">
        <v>100.0</v>
      </c>
      <c r="B22" s="1">
        <v>2.0</v>
      </c>
      <c r="C22" s="2"/>
      <c r="D22" s="3">
        <v>21.0</v>
      </c>
      <c r="E22" s="3">
        <v>1000.0</v>
      </c>
      <c r="F22" s="3">
        <f t="shared" si="8"/>
        <v>9750</v>
      </c>
      <c r="G22" s="3">
        <f t="shared" si="9"/>
        <v>2633200</v>
      </c>
      <c r="H22" s="15">
        <f t="shared" ref="H22:I22" si="51">F22/$F$71</f>
        <v>0.003689059574</v>
      </c>
      <c r="I22" s="16">
        <f t="shared" si="51"/>
        <v>0.9963109404</v>
      </c>
      <c r="J22" s="2"/>
      <c r="K22" s="44">
        <v>20.0</v>
      </c>
      <c r="L22" s="44">
        <f t="shared" ref="L22:S22" si="52">MULTIPLY(L2,1.25)</f>
        <v>200</v>
      </c>
      <c r="M22" s="44">
        <f t="shared" si="52"/>
        <v>375</v>
      </c>
      <c r="N22" s="44">
        <f t="shared" si="52"/>
        <v>531.25</v>
      </c>
      <c r="O22" s="44">
        <f t="shared" si="52"/>
        <v>687.5</v>
      </c>
      <c r="P22" s="44">
        <f t="shared" si="52"/>
        <v>981.25</v>
      </c>
      <c r="Q22" s="44">
        <f t="shared" si="52"/>
        <v>1243.75</v>
      </c>
      <c r="R22" s="44">
        <f t="shared" si="52"/>
        <v>1768.75</v>
      </c>
      <c r="S22" s="44">
        <f t="shared" si="52"/>
        <v>3362.5</v>
      </c>
      <c r="T22" s="2"/>
      <c r="U22" s="35">
        <f>IFERROR(__xludf.DUMMYFUNCTION("""COMPUTED_VALUE"""),66.0)</f>
        <v>66</v>
      </c>
      <c r="V22" s="35">
        <f>IFERROR(__xludf.DUMMYFUNCTION("""COMPUTED_VALUE"""),24.0)</f>
        <v>24</v>
      </c>
      <c r="W22" s="35">
        <f>IFERROR(__xludf.DUMMYFUNCTION("""COMPUTED_VALUE"""),41.0)</f>
        <v>41</v>
      </c>
      <c r="X22" s="2"/>
      <c r="Y22" s="35">
        <f>IFERROR(__xludf.DUMMYFUNCTION("""COMPUTED_VALUE"""),52.0)</f>
        <v>52</v>
      </c>
      <c r="Z22" s="2"/>
      <c r="AA22" s="5">
        <v>21.0</v>
      </c>
      <c r="AB22" s="3">
        <v>10500.0</v>
      </c>
      <c r="AC22" s="3">
        <f t="shared" si="15"/>
        <v>85250</v>
      </c>
      <c r="AD22" s="3">
        <f t="shared" si="4"/>
        <v>1102500</v>
      </c>
      <c r="AE22" s="3">
        <v>12600.0</v>
      </c>
      <c r="AF22" s="3">
        <f t="shared" si="16"/>
        <v>106250</v>
      </c>
      <c r="AG22" s="3">
        <f t="shared" si="5"/>
        <v>1322960</v>
      </c>
      <c r="AH22" s="3">
        <v>15800.0</v>
      </c>
      <c r="AI22" s="3">
        <f t="shared" si="17"/>
        <v>138000</v>
      </c>
      <c r="AJ22" s="3">
        <f t="shared" si="6"/>
        <v>1654760</v>
      </c>
      <c r="AK22" s="2"/>
      <c r="AL22" s="5">
        <v>21.0</v>
      </c>
      <c r="AM22" s="3">
        <v>1140.0</v>
      </c>
      <c r="AN22" s="3">
        <f t="shared" si="18"/>
        <v>7860</v>
      </c>
      <c r="AO22" s="5">
        <f t="shared" si="12"/>
        <v>257040</v>
      </c>
      <c r="AP22" s="5">
        <f t="shared" si="7"/>
        <v>39300</v>
      </c>
      <c r="AQ22" s="35">
        <f>IFERROR(__xludf.DUMMYFUNCTION("""COMPUTED_VALUE"""),22.0)</f>
        <v>22</v>
      </c>
      <c r="AR22" s="2"/>
      <c r="AS22" s="1" t="s">
        <v>109</v>
      </c>
      <c r="AT22" s="5">
        <v>6.0</v>
      </c>
      <c r="AV22" s="35"/>
      <c r="AW22" s="45" t="s">
        <v>110</v>
      </c>
      <c r="AX22" s="37" t="s">
        <v>111</v>
      </c>
      <c r="AY22" s="38">
        <v>10.0</v>
      </c>
      <c r="AZ22" s="37" t="s">
        <v>40</v>
      </c>
      <c r="BA22" s="38">
        <v>5.0</v>
      </c>
      <c r="BB22" s="37" t="s">
        <v>39</v>
      </c>
      <c r="BC22" s="38">
        <v>10.0</v>
      </c>
      <c r="BD22" s="5" t="s">
        <v>42</v>
      </c>
      <c r="BE22" s="5" t="s">
        <v>41</v>
      </c>
      <c r="BF22" s="5" t="s">
        <v>40</v>
      </c>
      <c r="BG22" s="5" t="s">
        <v>41</v>
      </c>
      <c r="BH22" s="5" t="s">
        <v>43</v>
      </c>
      <c r="BI22" s="2"/>
      <c r="BJ22" s="2"/>
      <c r="BK22" s="2"/>
      <c r="BL22" s="2"/>
      <c r="BM22" s="2"/>
      <c r="BN22" s="2"/>
      <c r="BO22" s="2"/>
      <c r="BP22" s="2"/>
      <c r="BQ22" s="2"/>
      <c r="BR22" s="2"/>
      <c r="BS22" s="2"/>
    </row>
    <row r="23">
      <c r="A23" s="6" t="s">
        <v>112</v>
      </c>
      <c r="B23" s="46">
        <f>vlookup('Campaign Normal'!$F$2,Range!$A$2:$B$22,2,false)</f>
        <v>1.2</v>
      </c>
      <c r="C23" s="2"/>
      <c r="D23" s="3">
        <v>22.0</v>
      </c>
      <c r="E23" s="3">
        <v>1050.0</v>
      </c>
      <c r="F23" s="3">
        <f t="shared" si="8"/>
        <v>10750</v>
      </c>
      <c r="G23" s="3">
        <f t="shared" si="9"/>
        <v>2632200</v>
      </c>
      <c r="H23" s="15">
        <f t="shared" ref="H23:I23" si="53">F23/$F$71</f>
        <v>0.004067424658</v>
      </c>
      <c r="I23" s="16">
        <f t="shared" si="53"/>
        <v>0.9959325753</v>
      </c>
      <c r="J23" s="2"/>
      <c r="K23" s="47">
        <v>0.0</v>
      </c>
      <c r="L23" s="48">
        <v>30.0</v>
      </c>
      <c r="M23" s="48">
        <v>60.0</v>
      </c>
      <c r="N23" s="48">
        <v>90.0</v>
      </c>
      <c r="O23" s="48">
        <v>120.0</v>
      </c>
      <c r="P23" s="48">
        <v>180.0</v>
      </c>
      <c r="Q23" s="48">
        <v>240.0</v>
      </c>
      <c r="R23" s="48">
        <v>360.0</v>
      </c>
      <c r="S23" s="48">
        <v>720.0</v>
      </c>
      <c r="T23" s="2"/>
      <c r="U23" s="35">
        <f>IFERROR(__xludf.DUMMYFUNCTION("""COMPUTED_VALUE"""),67.0)</f>
        <v>67</v>
      </c>
      <c r="V23" s="35">
        <f>IFERROR(__xludf.DUMMYFUNCTION("""COMPUTED_VALUE"""),25.0)</f>
        <v>25</v>
      </c>
      <c r="W23" s="35">
        <f>IFERROR(__xludf.DUMMYFUNCTION("""COMPUTED_VALUE"""),42.0)</f>
        <v>42</v>
      </c>
      <c r="X23" s="2"/>
      <c r="Y23" s="35">
        <f>IFERROR(__xludf.DUMMYFUNCTION("""COMPUTED_VALUE"""),53.0)</f>
        <v>53</v>
      </c>
      <c r="Z23" s="2"/>
      <c r="AA23" s="5">
        <v>22.0</v>
      </c>
      <c r="AB23" s="3">
        <v>11000.0</v>
      </c>
      <c r="AC23" s="3">
        <f t="shared" si="15"/>
        <v>95750</v>
      </c>
      <c r="AD23" s="3">
        <f t="shared" si="4"/>
        <v>1092000</v>
      </c>
      <c r="AE23" s="3">
        <v>13200.0</v>
      </c>
      <c r="AF23" s="3">
        <f t="shared" si="16"/>
        <v>118850</v>
      </c>
      <c r="AG23" s="3">
        <f t="shared" si="5"/>
        <v>1310360</v>
      </c>
      <c r="AH23" s="3">
        <v>16500.0</v>
      </c>
      <c r="AI23" s="3">
        <f t="shared" si="17"/>
        <v>153800</v>
      </c>
      <c r="AJ23" s="3">
        <f t="shared" si="6"/>
        <v>1638960</v>
      </c>
      <c r="AK23" s="2"/>
      <c r="AL23" s="5">
        <v>22.0</v>
      </c>
      <c r="AM23" s="3">
        <v>1240.0</v>
      </c>
      <c r="AN23" s="3">
        <f t="shared" si="18"/>
        <v>9000</v>
      </c>
      <c r="AO23" s="5">
        <f t="shared" si="12"/>
        <v>255900</v>
      </c>
      <c r="AP23" s="5">
        <f t="shared" si="7"/>
        <v>45000</v>
      </c>
      <c r="AQ23" s="35">
        <f>IFERROR(__xludf.DUMMYFUNCTION("""COMPUTED_VALUE"""),23.0)</f>
        <v>23</v>
      </c>
      <c r="AR23" s="2"/>
      <c r="AS23" s="1" t="s">
        <v>113</v>
      </c>
      <c r="AT23" s="5">
        <v>12.0</v>
      </c>
      <c r="AV23" s="35"/>
      <c r="AW23" s="45" t="s">
        <v>114</v>
      </c>
      <c r="AX23" s="37" t="s">
        <v>99</v>
      </c>
      <c r="AY23" s="38">
        <v>10.0</v>
      </c>
      <c r="AZ23" s="37" t="s">
        <v>41</v>
      </c>
      <c r="BA23" s="38">
        <v>5.0</v>
      </c>
      <c r="BB23" s="37" t="s">
        <v>40</v>
      </c>
      <c r="BC23" s="38">
        <v>10.0</v>
      </c>
      <c r="BD23" s="5" t="s">
        <v>42</v>
      </c>
      <c r="BE23" s="5" t="s">
        <v>41</v>
      </c>
      <c r="BF23" s="5" t="s">
        <v>40</v>
      </c>
      <c r="BG23" s="5" t="s">
        <v>41</v>
      </c>
      <c r="BH23" s="5" t="s">
        <v>43</v>
      </c>
      <c r="BI23" s="2"/>
      <c r="BJ23" s="2"/>
      <c r="BK23" s="2"/>
      <c r="BL23" s="2"/>
      <c r="BM23" s="2"/>
      <c r="BN23" s="2"/>
      <c r="BO23" s="2"/>
      <c r="BP23" s="2"/>
      <c r="BQ23" s="2"/>
      <c r="BR23" s="2"/>
      <c r="BS23" s="2"/>
    </row>
    <row r="24">
      <c r="A24" s="6" t="s">
        <v>115</v>
      </c>
      <c r="B24" s="46">
        <f>vlookup('Campaign Heroic'!$F$2,Range!$A$2:$B$22,2,false)</f>
        <v>1.2</v>
      </c>
      <c r="C24" s="2"/>
      <c r="D24" s="3">
        <v>23.0</v>
      </c>
      <c r="E24" s="3">
        <v>1150.0</v>
      </c>
      <c r="F24" s="3">
        <f t="shared" si="8"/>
        <v>11800</v>
      </c>
      <c r="G24" s="3">
        <f t="shared" si="9"/>
        <v>2631150</v>
      </c>
      <c r="H24" s="15">
        <f t="shared" ref="H24:I24" si="54">F24/$F$71</f>
        <v>0.004464707997</v>
      </c>
      <c r="I24" s="16">
        <f t="shared" si="54"/>
        <v>0.995535292</v>
      </c>
      <c r="J24" s="2"/>
      <c r="K24" s="5">
        <v>1.0</v>
      </c>
      <c r="L24" s="49">
        <v>30.0</v>
      </c>
      <c r="M24" s="49">
        <v>60.0</v>
      </c>
      <c r="N24" s="49">
        <v>90.0</v>
      </c>
      <c r="O24" s="49">
        <v>120.0</v>
      </c>
      <c r="P24" s="49">
        <v>180.0</v>
      </c>
      <c r="Q24" s="49">
        <v>240.0</v>
      </c>
      <c r="R24" s="49">
        <v>360.0</v>
      </c>
      <c r="S24" s="49">
        <v>720.0</v>
      </c>
      <c r="T24" s="2"/>
      <c r="U24" s="35">
        <f>IFERROR(__xludf.DUMMYFUNCTION("""COMPUTED_VALUE"""),68.0)</f>
        <v>68</v>
      </c>
      <c r="V24" s="35">
        <f>IFERROR(__xludf.DUMMYFUNCTION("""COMPUTED_VALUE"""),26.0)</f>
        <v>26</v>
      </c>
      <c r="W24" s="35">
        <f>IFERROR(__xludf.DUMMYFUNCTION("""COMPUTED_VALUE"""),43.0)</f>
        <v>43</v>
      </c>
      <c r="X24" s="2"/>
      <c r="Y24" s="35">
        <f>IFERROR(__xludf.DUMMYFUNCTION("""COMPUTED_VALUE"""),54.0)</f>
        <v>54</v>
      </c>
      <c r="Z24" s="2"/>
      <c r="AA24" s="5">
        <v>23.0</v>
      </c>
      <c r="AB24" s="3">
        <v>11500.0</v>
      </c>
      <c r="AC24" s="3">
        <f t="shared" si="15"/>
        <v>106750</v>
      </c>
      <c r="AD24" s="3">
        <f t="shared" si="4"/>
        <v>1081000</v>
      </c>
      <c r="AE24" s="3">
        <v>13800.0</v>
      </c>
      <c r="AF24" s="3">
        <f t="shared" si="16"/>
        <v>132050</v>
      </c>
      <c r="AG24" s="3">
        <f t="shared" si="5"/>
        <v>1297160</v>
      </c>
      <c r="AH24" s="3">
        <v>17290.0</v>
      </c>
      <c r="AI24" s="3">
        <f t="shared" si="17"/>
        <v>170300</v>
      </c>
      <c r="AJ24" s="3">
        <f t="shared" si="6"/>
        <v>1622460</v>
      </c>
      <c r="AK24" s="2"/>
      <c r="AL24" s="5">
        <v>23.0</v>
      </c>
      <c r="AM24" s="3">
        <v>1340.0</v>
      </c>
      <c r="AN24" s="3">
        <f t="shared" si="18"/>
        <v>10240</v>
      </c>
      <c r="AO24" s="5">
        <f t="shared" si="12"/>
        <v>254660</v>
      </c>
      <c r="AP24" s="5">
        <f t="shared" si="7"/>
        <v>51200</v>
      </c>
      <c r="AQ24" s="35">
        <f>IFERROR(__xludf.DUMMYFUNCTION("""COMPUTED_VALUE"""),24.0)</f>
        <v>24</v>
      </c>
      <c r="AR24" s="2"/>
      <c r="AS24" s="1" t="s">
        <v>116</v>
      </c>
      <c r="AT24" s="5">
        <v>1.0</v>
      </c>
      <c r="AV24" s="35"/>
      <c r="AW24" s="45" t="s">
        <v>117</v>
      </c>
      <c r="AX24" s="37" t="s">
        <v>118</v>
      </c>
      <c r="AY24" s="38">
        <v>10.0</v>
      </c>
      <c r="AZ24" s="37" t="s">
        <v>40</v>
      </c>
      <c r="BA24" s="38">
        <v>10.0</v>
      </c>
      <c r="BB24" s="37" t="s">
        <v>99</v>
      </c>
      <c r="BC24" s="38">
        <v>10.0</v>
      </c>
      <c r="BD24" s="5" t="s">
        <v>42</v>
      </c>
      <c r="BE24" s="5" t="s">
        <v>41</v>
      </c>
      <c r="BF24" s="5" t="s">
        <v>40</v>
      </c>
      <c r="BG24" s="5" t="s">
        <v>41</v>
      </c>
      <c r="BH24" s="5" t="s">
        <v>43</v>
      </c>
      <c r="BI24" s="2"/>
      <c r="BJ24" s="2"/>
      <c r="BK24" s="2"/>
      <c r="BL24" s="2"/>
      <c r="BM24" s="2"/>
      <c r="BN24" s="2"/>
      <c r="BO24" s="2"/>
      <c r="BP24" s="2"/>
      <c r="BQ24" s="2"/>
      <c r="BR24" s="2"/>
      <c r="BS24" s="2"/>
    </row>
    <row r="25">
      <c r="A25" s="6" t="s">
        <v>119</v>
      </c>
      <c r="B25" s="46">
        <f>vlookup(Operations!$G$2,Range!$A$2:$B$22,2,false)</f>
        <v>1</v>
      </c>
      <c r="C25" s="2"/>
      <c r="D25" s="3">
        <v>24.0</v>
      </c>
      <c r="E25" s="3">
        <v>1250.0</v>
      </c>
      <c r="F25" s="3">
        <f t="shared" si="8"/>
        <v>12950</v>
      </c>
      <c r="G25" s="3">
        <f t="shared" si="9"/>
        <v>2630000</v>
      </c>
      <c r="H25" s="15">
        <f t="shared" ref="H25:I25" si="55">F25/$F$71</f>
        <v>0.004899827844</v>
      </c>
      <c r="I25" s="16">
        <f t="shared" si="55"/>
        <v>0.9951001722</v>
      </c>
      <c r="J25" s="2"/>
      <c r="K25" s="5">
        <v>2.0</v>
      </c>
      <c r="L25" s="49">
        <v>30.0</v>
      </c>
      <c r="M25" s="49">
        <v>60.0</v>
      </c>
      <c r="N25" s="49">
        <v>90.0</v>
      </c>
      <c r="O25" s="49">
        <v>120.0</v>
      </c>
      <c r="P25" s="49">
        <v>180.0</v>
      </c>
      <c r="Q25" s="49">
        <v>240.0</v>
      </c>
      <c r="R25" s="49">
        <v>360.0</v>
      </c>
      <c r="S25" s="49">
        <v>720.0</v>
      </c>
      <c r="T25" s="2"/>
      <c r="U25" s="35">
        <f>IFERROR(__xludf.DUMMYFUNCTION("""COMPUTED_VALUE"""),69.0)</f>
        <v>69</v>
      </c>
      <c r="V25" s="35">
        <f>IFERROR(__xludf.DUMMYFUNCTION("""COMPUTED_VALUE"""),27.0)</f>
        <v>27</v>
      </c>
      <c r="W25" s="35">
        <f>IFERROR(__xludf.DUMMYFUNCTION("""COMPUTED_VALUE"""),44.0)</f>
        <v>44</v>
      </c>
      <c r="X25" s="2"/>
      <c r="Y25" s="35">
        <f>IFERROR(__xludf.DUMMYFUNCTION("""COMPUTED_VALUE"""),55.0)</f>
        <v>55</v>
      </c>
      <c r="Z25" s="2"/>
      <c r="AA25" s="5">
        <v>24.0</v>
      </c>
      <c r="AB25" s="3">
        <v>12000.0</v>
      </c>
      <c r="AC25" s="3">
        <f t="shared" si="15"/>
        <v>118250</v>
      </c>
      <c r="AD25" s="3">
        <f t="shared" si="4"/>
        <v>1069500</v>
      </c>
      <c r="AE25" s="3">
        <v>14400.0</v>
      </c>
      <c r="AF25" s="3">
        <f t="shared" si="16"/>
        <v>145850</v>
      </c>
      <c r="AG25" s="3">
        <f t="shared" si="5"/>
        <v>1283360</v>
      </c>
      <c r="AH25" s="3">
        <v>18000.0</v>
      </c>
      <c r="AI25" s="3">
        <f t="shared" si="17"/>
        <v>187590</v>
      </c>
      <c r="AJ25" s="3">
        <f t="shared" si="6"/>
        <v>1605170</v>
      </c>
      <c r="AK25" s="2"/>
      <c r="AL25" s="5">
        <v>24.0</v>
      </c>
      <c r="AM25" s="3">
        <v>1440.0</v>
      </c>
      <c r="AN25" s="3">
        <f t="shared" si="18"/>
        <v>11580</v>
      </c>
      <c r="AO25" s="5">
        <f t="shared" si="12"/>
        <v>253320</v>
      </c>
      <c r="AP25" s="5">
        <f t="shared" si="7"/>
        <v>57900</v>
      </c>
      <c r="AQ25" s="35">
        <f>IFERROR(__xludf.DUMMYFUNCTION("""COMPUTED_VALUE"""),25.0)</f>
        <v>25</v>
      </c>
      <c r="AR25" s="2"/>
      <c r="AS25" s="1" t="s">
        <v>120</v>
      </c>
      <c r="AT25" s="5">
        <v>2.0</v>
      </c>
      <c r="AV25" s="35"/>
      <c r="AW25" s="26" t="s">
        <v>121</v>
      </c>
      <c r="AX25" s="39" t="s">
        <v>118</v>
      </c>
      <c r="AY25" s="38">
        <v>10.0</v>
      </c>
      <c r="AZ25" s="37" t="s">
        <v>40</v>
      </c>
      <c r="BA25" s="38">
        <v>5.0</v>
      </c>
      <c r="BB25" s="39" t="s">
        <v>40</v>
      </c>
      <c r="BC25" s="38">
        <v>10.0</v>
      </c>
      <c r="BD25" s="5" t="s">
        <v>42</v>
      </c>
      <c r="BE25" s="5" t="s">
        <v>41</v>
      </c>
      <c r="BF25" s="5" t="s">
        <v>40</v>
      </c>
      <c r="BG25" s="5" t="s">
        <v>41</v>
      </c>
      <c r="BH25" s="5" t="s">
        <v>43</v>
      </c>
      <c r="BI25" s="2"/>
      <c r="BJ25" s="2"/>
      <c r="BK25" s="2"/>
      <c r="BL25" s="2"/>
      <c r="BM25" s="2"/>
      <c r="BN25" s="2"/>
      <c r="BO25" s="2"/>
      <c r="BP25" s="2"/>
      <c r="BQ25" s="2"/>
      <c r="BR25" s="2"/>
      <c r="BS25" s="2"/>
    </row>
    <row r="26">
      <c r="A26" s="2"/>
      <c r="B26" s="2"/>
      <c r="C26" s="2"/>
      <c r="D26" s="3">
        <v>25.0</v>
      </c>
      <c r="E26" s="3">
        <v>1350.0</v>
      </c>
      <c r="F26" s="3">
        <f t="shared" si="8"/>
        <v>14200</v>
      </c>
      <c r="G26" s="3">
        <f t="shared" si="9"/>
        <v>2628750</v>
      </c>
      <c r="H26" s="15">
        <f t="shared" ref="H26:I26" si="56">F26/$F$71</f>
        <v>0.005372784199</v>
      </c>
      <c r="I26" s="16">
        <f t="shared" si="56"/>
        <v>0.9946272158</v>
      </c>
      <c r="J26" s="2"/>
      <c r="K26" s="5">
        <v>3.0</v>
      </c>
      <c r="L26" s="1">
        <v>28.57</v>
      </c>
      <c r="M26" s="1">
        <v>57.13</v>
      </c>
      <c r="N26" s="49">
        <v>85.0</v>
      </c>
      <c r="O26" s="49">
        <v>114.0</v>
      </c>
      <c r="P26" s="49">
        <v>171.0</v>
      </c>
      <c r="Q26" s="49">
        <v>228.0</v>
      </c>
      <c r="R26" s="49">
        <v>342.0</v>
      </c>
      <c r="S26" s="49">
        <v>685.0</v>
      </c>
      <c r="T26" s="2"/>
      <c r="U26" s="2"/>
      <c r="V26" s="35">
        <f>IFERROR(__xludf.DUMMYFUNCTION("""COMPUTED_VALUE"""),28.0)</f>
        <v>28</v>
      </c>
      <c r="W26" s="35">
        <f>IFERROR(__xludf.DUMMYFUNCTION("""COMPUTED_VALUE"""),45.0)</f>
        <v>45</v>
      </c>
      <c r="X26" s="2"/>
      <c r="Y26" s="35">
        <f>IFERROR(__xludf.DUMMYFUNCTION("""COMPUTED_VALUE"""),56.0)</f>
        <v>56</v>
      </c>
      <c r="Z26" s="2"/>
      <c r="AA26" s="5">
        <v>25.0</v>
      </c>
      <c r="AB26" s="3">
        <v>12500.0</v>
      </c>
      <c r="AC26" s="3">
        <f t="shared" si="15"/>
        <v>130250</v>
      </c>
      <c r="AD26" s="3">
        <f t="shared" si="4"/>
        <v>1057500</v>
      </c>
      <c r="AE26" s="3">
        <v>15000.0</v>
      </c>
      <c r="AF26" s="3">
        <f t="shared" si="16"/>
        <v>160250</v>
      </c>
      <c r="AG26" s="3">
        <f t="shared" si="5"/>
        <v>1268960</v>
      </c>
      <c r="AH26" s="3">
        <v>18790.0</v>
      </c>
      <c r="AI26" s="3">
        <f t="shared" si="17"/>
        <v>205590</v>
      </c>
      <c r="AJ26" s="3">
        <f t="shared" si="6"/>
        <v>1587170</v>
      </c>
      <c r="AK26" s="2"/>
      <c r="AL26" s="5">
        <v>25.0</v>
      </c>
      <c r="AM26" s="3">
        <v>1560.0</v>
      </c>
      <c r="AN26" s="3">
        <f t="shared" si="18"/>
        <v>13020</v>
      </c>
      <c r="AO26" s="5">
        <f t="shared" si="12"/>
        <v>251880</v>
      </c>
      <c r="AP26" s="5">
        <f t="shared" si="7"/>
        <v>65100</v>
      </c>
      <c r="AQ26" s="35">
        <f>IFERROR(__xludf.DUMMYFUNCTION("""COMPUTED_VALUE"""),26.0)</f>
        <v>26</v>
      </c>
      <c r="AR26" s="2"/>
      <c r="AS26" s="1" t="s">
        <v>122</v>
      </c>
      <c r="AT26" s="5">
        <v>4.0</v>
      </c>
      <c r="AV26" s="35"/>
      <c r="AW26" s="33" t="s">
        <v>123</v>
      </c>
      <c r="AX26" s="38" t="s">
        <v>99</v>
      </c>
      <c r="AY26" s="38">
        <v>10.0</v>
      </c>
      <c r="AZ26" s="38" t="s">
        <v>40</v>
      </c>
      <c r="BA26" s="38">
        <v>5.0</v>
      </c>
      <c r="BB26" s="38" t="s">
        <v>41</v>
      </c>
      <c r="BC26" s="38">
        <v>10.0</v>
      </c>
      <c r="BD26" s="5" t="s">
        <v>42</v>
      </c>
      <c r="BE26" s="5" t="s">
        <v>41</v>
      </c>
      <c r="BF26" s="5" t="s">
        <v>40</v>
      </c>
      <c r="BG26" s="5" t="s">
        <v>41</v>
      </c>
      <c r="BH26" s="5" t="s">
        <v>43</v>
      </c>
      <c r="BI26" s="2"/>
      <c r="BJ26" s="2"/>
      <c r="BK26" s="2"/>
      <c r="BL26" s="2"/>
      <c r="BM26" s="2"/>
      <c r="BN26" s="2"/>
      <c r="BO26" s="2"/>
      <c r="BP26" s="2"/>
      <c r="BQ26" s="2"/>
      <c r="BR26" s="2"/>
      <c r="BS26" s="2"/>
    </row>
    <row r="27">
      <c r="A27" s="2"/>
      <c r="B27" s="2"/>
      <c r="C27" s="2"/>
      <c r="D27" s="3">
        <v>26.0</v>
      </c>
      <c r="E27" s="3">
        <v>1450.0</v>
      </c>
      <c r="F27" s="3">
        <f t="shared" si="8"/>
        <v>15550</v>
      </c>
      <c r="G27" s="3">
        <f t="shared" si="9"/>
        <v>2627400</v>
      </c>
      <c r="H27" s="15">
        <f t="shared" ref="H27:I27" si="57">F27/$F$71</f>
        <v>0.005883577064</v>
      </c>
      <c r="I27" s="16">
        <f t="shared" si="57"/>
        <v>0.9941164229</v>
      </c>
      <c r="J27" s="2"/>
      <c r="K27" s="5">
        <v>4.0</v>
      </c>
      <c r="L27" s="1">
        <v>28.57</v>
      </c>
      <c r="M27" s="1">
        <v>57.13</v>
      </c>
      <c r="N27" s="49">
        <v>85.0</v>
      </c>
      <c r="O27" s="49">
        <v>114.0</v>
      </c>
      <c r="P27" s="49">
        <v>171.0</v>
      </c>
      <c r="Q27" s="49">
        <v>228.0</v>
      </c>
      <c r="R27" s="49">
        <v>342.0</v>
      </c>
      <c r="S27" s="49">
        <v>685.0</v>
      </c>
      <c r="T27" s="2"/>
      <c r="U27" s="2"/>
      <c r="V27" s="35">
        <f>IFERROR(__xludf.DUMMYFUNCTION("""COMPUTED_VALUE"""),29.0)</f>
        <v>29</v>
      </c>
      <c r="W27" s="35">
        <f>IFERROR(__xludf.DUMMYFUNCTION("""COMPUTED_VALUE"""),46.0)</f>
        <v>46</v>
      </c>
      <c r="X27" s="2"/>
      <c r="Y27" s="35">
        <f>IFERROR(__xludf.DUMMYFUNCTION("""COMPUTED_VALUE"""),57.0)</f>
        <v>57</v>
      </c>
      <c r="Z27" s="2"/>
      <c r="AA27" s="5">
        <v>26.0</v>
      </c>
      <c r="AB27" s="3">
        <v>13000.0</v>
      </c>
      <c r="AC27" s="3">
        <f t="shared" si="15"/>
        <v>142750</v>
      </c>
      <c r="AD27" s="3">
        <f t="shared" si="4"/>
        <v>1045000</v>
      </c>
      <c r="AE27" s="3">
        <v>15600.0</v>
      </c>
      <c r="AF27" s="3">
        <f t="shared" si="16"/>
        <v>175250</v>
      </c>
      <c r="AG27" s="3">
        <f t="shared" si="5"/>
        <v>1253960</v>
      </c>
      <c r="AH27" s="3">
        <v>19500.0</v>
      </c>
      <c r="AI27" s="3">
        <f t="shared" si="17"/>
        <v>224380</v>
      </c>
      <c r="AJ27" s="3">
        <f t="shared" si="6"/>
        <v>1568380</v>
      </c>
      <c r="AK27" s="2"/>
      <c r="AL27" s="5">
        <v>26.0</v>
      </c>
      <c r="AM27" s="3">
        <v>1660.0</v>
      </c>
      <c r="AN27" s="3">
        <f t="shared" si="18"/>
        <v>14580</v>
      </c>
      <c r="AO27" s="5">
        <f t="shared" si="12"/>
        <v>250320</v>
      </c>
      <c r="AP27" s="5">
        <f t="shared" si="7"/>
        <v>72900</v>
      </c>
      <c r="AQ27" s="35">
        <f>IFERROR(__xludf.DUMMYFUNCTION("""COMPUTED_VALUE"""),27.0)</f>
        <v>27</v>
      </c>
      <c r="AR27" s="2"/>
      <c r="AS27" s="1" t="s">
        <v>124</v>
      </c>
      <c r="AT27" s="5">
        <v>5.0</v>
      </c>
      <c r="AV27" s="35"/>
      <c r="AW27" s="31" t="s">
        <v>125</v>
      </c>
      <c r="AX27" s="40" t="s">
        <v>118</v>
      </c>
      <c r="AY27" s="40">
        <v>5.0</v>
      </c>
      <c r="AZ27" s="38" t="s">
        <v>40</v>
      </c>
      <c r="BA27" s="38">
        <v>4.0</v>
      </c>
      <c r="BB27" s="40" t="s">
        <v>40</v>
      </c>
      <c r="BC27" s="38">
        <v>8.0</v>
      </c>
      <c r="BD27" s="5" t="s">
        <v>42</v>
      </c>
      <c r="BE27" s="5" t="s">
        <v>41</v>
      </c>
      <c r="BF27" s="5" t="s">
        <v>40</v>
      </c>
      <c r="BG27" s="5" t="s">
        <v>41</v>
      </c>
      <c r="BH27" s="5" t="s">
        <v>43</v>
      </c>
      <c r="BI27" s="2"/>
      <c r="BJ27" s="2"/>
      <c r="BK27" s="2"/>
      <c r="BL27" s="2"/>
      <c r="BM27" s="2"/>
      <c r="BN27" s="2"/>
      <c r="BO27" s="2"/>
      <c r="BP27" s="2"/>
      <c r="BQ27" s="2"/>
      <c r="BR27" s="2"/>
      <c r="BS27" s="2"/>
    </row>
    <row r="28">
      <c r="A28" s="2"/>
      <c r="B28" s="2"/>
      <c r="C28" s="2"/>
      <c r="D28" s="3">
        <v>27.0</v>
      </c>
      <c r="E28" s="3">
        <v>1550.0</v>
      </c>
      <c r="F28" s="3">
        <f t="shared" si="8"/>
        <v>17000</v>
      </c>
      <c r="G28" s="3">
        <f t="shared" si="9"/>
        <v>2625950</v>
      </c>
      <c r="H28" s="15">
        <f t="shared" ref="H28:I28" si="58">F28/$F$71</f>
        <v>0.006432206436</v>
      </c>
      <c r="I28" s="16">
        <f t="shared" si="58"/>
        <v>0.9935677936</v>
      </c>
      <c r="J28" s="2"/>
      <c r="K28" s="5">
        <v>5.0</v>
      </c>
      <c r="L28" s="1">
        <v>28.57</v>
      </c>
      <c r="M28" s="1">
        <v>57.13</v>
      </c>
      <c r="N28" s="49">
        <v>85.0</v>
      </c>
      <c r="O28" s="49">
        <v>114.0</v>
      </c>
      <c r="P28" s="49">
        <v>171.0</v>
      </c>
      <c r="Q28" s="49">
        <v>228.0</v>
      </c>
      <c r="R28" s="49">
        <v>342.0</v>
      </c>
      <c r="S28" s="49">
        <v>685.0</v>
      </c>
      <c r="T28" s="2"/>
      <c r="U28" s="2"/>
      <c r="V28" s="35">
        <f>IFERROR(__xludf.DUMMYFUNCTION("""COMPUTED_VALUE"""),30.0)</f>
        <v>30</v>
      </c>
      <c r="W28" s="35">
        <f>IFERROR(__xludf.DUMMYFUNCTION("""COMPUTED_VALUE"""),47.0)</f>
        <v>47</v>
      </c>
      <c r="X28" s="2"/>
      <c r="Y28" s="35">
        <f>IFERROR(__xludf.DUMMYFUNCTION("""COMPUTED_VALUE"""),58.0)</f>
        <v>58</v>
      </c>
      <c r="Z28" s="2"/>
      <c r="AA28" s="5">
        <v>27.0</v>
      </c>
      <c r="AB28" s="3">
        <v>13500.0</v>
      </c>
      <c r="AC28" s="3">
        <f t="shared" si="15"/>
        <v>155750</v>
      </c>
      <c r="AD28" s="3">
        <f t="shared" si="4"/>
        <v>1032000</v>
      </c>
      <c r="AE28" s="3">
        <v>16200.0</v>
      </c>
      <c r="AF28" s="3">
        <f t="shared" si="16"/>
        <v>190850</v>
      </c>
      <c r="AG28" s="3">
        <f t="shared" si="5"/>
        <v>1238360</v>
      </c>
      <c r="AH28" s="3">
        <v>20290.0</v>
      </c>
      <c r="AI28" s="3">
        <f t="shared" si="17"/>
        <v>243880</v>
      </c>
      <c r="AJ28" s="3">
        <f t="shared" si="6"/>
        <v>1548880</v>
      </c>
      <c r="AK28" s="2"/>
      <c r="AL28" s="5">
        <v>27.0</v>
      </c>
      <c r="AM28" s="3">
        <v>1780.0</v>
      </c>
      <c r="AN28" s="3">
        <f t="shared" si="18"/>
        <v>16240</v>
      </c>
      <c r="AO28" s="5">
        <f t="shared" si="12"/>
        <v>248660</v>
      </c>
      <c r="AP28" s="5">
        <f t="shared" si="7"/>
        <v>81200</v>
      </c>
      <c r="AQ28" s="35">
        <f>IFERROR(__xludf.DUMMYFUNCTION("""COMPUTED_VALUE"""),28.0)</f>
        <v>28</v>
      </c>
      <c r="AR28" s="2"/>
      <c r="AS28" s="1" t="s">
        <v>126</v>
      </c>
      <c r="AT28" s="5">
        <v>10.0</v>
      </c>
      <c r="AV28" s="35"/>
      <c r="AW28" s="50" t="s">
        <v>127</v>
      </c>
      <c r="AX28" s="38" t="s">
        <v>118</v>
      </c>
      <c r="AY28" s="38">
        <v>10.0</v>
      </c>
      <c r="AZ28" s="38" t="s">
        <v>40</v>
      </c>
      <c r="BA28" s="38">
        <v>5.0</v>
      </c>
      <c r="BB28" s="38" t="s">
        <v>41</v>
      </c>
      <c r="BC28" s="38">
        <v>10.0</v>
      </c>
      <c r="BD28" s="5" t="s">
        <v>42</v>
      </c>
      <c r="BE28" s="5" t="s">
        <v>41</v>
      </c>
      <c r="BF28" s="5" t="s">
        <v>40</v>
      </c>
      <c r="BG28" s="5" t="s">
        <v>41</v>
      </c>
      <c r="BH28" s="5" t="s">
        <v>43</v>
      </c>
      <c r="BI28" s="2"/>
      <c r="BJ28" s="2"/>
      <c r="BK28" s="2"/>
      <c r="BL28" s="2"/>
      <c r="BM28" s="2"/>
      <c r="BN28" s="2"/>
      <c r="BO28" s="2"/>
      <c r="BP28" s="2"/>
      <c r="BQ28" s="2"/>
      <c r="BR28" s="2"/>
      <c r="BS28" s="2"/>
    </row>
    <row r="29">
      <c r="A29" s="2"/>
      <c r="B29" s="2"/>
      <c r="C29" s="2"/>
      <c r="D29" s="3">
        <v>28.0</v>
      </c>
      <c r="E29" s="3">
        <v>1650.0</v>
      </c>
      <c r="F29" s="3">
        <f t="shared" si="8"/>
        <v>18550</v>
      </c>
      <c r="G29" s="3">
        <f t="shared" si="9"/>
        <v>2624400</v>
      </c>
      <c r="H29" s="15">
        <f t="shared" ref="H29:I29" si="59">F29/$F$71</f>
        <v>0.007018672317</v>
      </c>
      <c r="I29" s="16">
        <f t="shared" si="59"/>
        <v>0.9929813277</v>
      </c>
      <c r="J29" s="2"/>
      <c r="K29" s="5">
        <v>6.0</v>
      </c>
      <c r="L29" s="49">
        <v>27.27</v>
      </c>
      <c r="M29" s="49">
        <v>54.53</v>
      </c>
      <c r="N29" s="49">
        <v>81.0</v>
      </c>
      <c r="O29" s="49">
        <v>109.0</v>
      </c>
      <c r="P29" s="49">
        <v>163.0</v>
      </c>
      <c r="Q29" s="49">
        <v>218.0</v>
      </c>
      <c r="R29" s="49">
        <v>327.0</v>
      </c>
      <c r="S29" s="49">
        <v>654.0</v>
      </c>
      <c r="T29" s="2"/>
      <c r="U29" s="2"/>
      <c r="V29" s="35">
        <f>IFERROR(__xludf.DUMMYFUNCTION("""COMPUTED_VALUE"""),31.0)</f>
        <v>31</v>
      </c>
      <c r="W29" s="35">
        <f>IFERROR(__xludf.DUMMYFUNCTION("""COMPUTED_VALUE"""),48.0)</f>
        <v>48</v>
      </c>
      <c r="X29" s="2"/>
      <c r="Y29" s="35">
        <f>IFERROR(__xludf.DUMMYFUNCTION("""COMPUTED_VALUE"""),59.0)</f>
        <v>59</v>
      </c>
      <c r="Z29" s="2"/>
      <c r="AA29" s="5">
        <v>28.0</v>
      </c>
      <c r="AB29" s="3">
        <v>14000.0</v>
      </c>
      <c r="AC29" s="3">
        <f t="shared" si="15"/>
        <v>169250</v>
      </c>
      <c r="AD29" s="3">
        <f t="shared" si="4"/>
        <v>1018500</v>
      </c>
      <c r="AE29" s="3">
        <v>16800.0</v>
      </c>
      <c r="AF29" s="3">
        <f t="shared" si="16"/>
        <v>207050</v>
      </c>
      <c r="AG29" s="3">
        <f t="shared" si="5"/>
        <v>1222160</v>
      </c>
      <c r="AH29" s="3">
        <v>21000.0</v>
      </c>
      <c r="AI29" s="3">
        <f t="shared" si="17"/>
        <v>264170</v>
      </c>
      <c r="AJ29" s="3">
        <f t="shared" si="6"/>
        <v>1528590</v>
      </c>
      <c r="AK29" s="2"/>
      <c r="AL29" s="5">
        <v>28.0</v>
      </c>
      <c r="AM29" s="3">
        <v>1900.0</v>
      </c>
      <c r="AN29" s="3">
        <f t="shared" si="18"/>
        <v>18020</v>
      </c>
      <c r="AO29" s="5">
        <f t="shared" si="12"/>
        <v>246880</v>
      </c>
      <c r="AP29" s="5">
        <f t="shared" si="7"/>
        <v>90100</v>
      </c>
      <c r="AQ29" s="35">
        <f>IFERROR(__xludf.DUMMYFUNCTION("""COMPUTED_VALUE"""),29.0)</f>
        <v>29</v>
      </c>
      <c r="AR29" s="2"/>
      <c r="AS29" s="1" t="s">
        <v>128</v>
      </c>
      <c r="AT29" s="5">
        <v>20.0</v>
      </c>
      <c r="AV29" s="35"/>
      <c r="AW29" s="36" t="s">
        <v>129</v>
      </c>
      <c r="AX29" s="40" t="s">
        <v>118</v>
      </c>
      <c r="AY29" s="40">
        <v>10.0</v>
      </c>
      <c r="AZ29" s="38" t="s">
        <v>40</v>
      </c>
      <c r="BA29" s="38">
        <v>5.0</v>
      </c>
      <c r="BB29" s="40" t="s">
        <v>40</v>
      </c>
      <c r="BC29" s="38">
        <v>10.0</v>
      </c>
      <c r="BD29" s="5" t="s">
        <v>42</v>
      </c>
      <c r="BE29" s="5" t="s">
        <v>41</v>
      </c>
      <c r="BF29" s="5" t="s">
        <v>40</v>
      </c>
      <c r="BG29" s="5" t="s">
        <v>41</v>
      </c>
      <c r="BH29" s="5" t="s">
        <v>43</v>
      </c>
      <c r="BI29" s="2"/>
      <c r="BJ29" s="2"/>
      <c r="BK29" s="2"/>
      <c r="BL29" s="2"/>
      <c r="BM29" s="2"/>
      <c r="BN29" s="2"/>
      <c r="BO29" s="2"/>
      <c r="BP29" s="2"/>
      <c r="BQ29" s="2"/>
      <c r="BR29" s="2"/>
      <c r="BS29" s="2"/>
    </row>
    <row r="30">
      <c r="A30" s="2"/>
      <c r="B30" s="2"/>
      <c r="C30" s="2"/>
      <c r="D30" s="3">
        <v>29.0</v>
      </c>
      <c r="E30" s="3">
        <v>1850.0</v>
      </c>
      <c r="F30" s="3">
        <f t="shared" si="8"/>
        <v>20200</v>
      </c>
      <c r="G30" s="3">
        <f t="shared" si="9"/>
        <v>2622750</v>
      </c>
      <c r="H30" s="15">
        <f t="shared" ref="H30:I30" si="60">F30/$F$71</f>
        <v>0.007642974706</v>
      </c>
      <c r="I30" s="16">
        <f t="shared" si="60"/>
        <v>0.9923570253</v>
      </c>
      <c r="J30" s="2"/>
      <c r="K30" s="5">
        <v>7.0</v>
      </c>
      <c r="L30" s="49">
        <v>27.27</v>
      </c>
      <c r="M30" s="49">
        <v>54.53</v>
      </c>
      <c r="N30" s="49">
        <v>81.0</v>
      </c>
      <c r="O30" s="49">
        <v>109.0</v>
      </c>
      <c r="P30" s="49">
        <v>163.0</v>
      </c>
      <c r="Q30" s="49">
        <v>218.0</v>
      </c>
      <c r="R30" s="49">
        <v>327.0</v>
      </c>
      <c r="S30" s="49">
        <v>654.0</v>
      </c>
      <c r="T30" s="2"/>
      <c r="U30" s="2"/>
      <c r="V30" s="35">
        <f>IFERROR(__xludf.DUMMYFUNCTION("""COMPUTED_VALUE"""),32.0)</f>
        <v>32</v>
      </c>
      <c r="W30" s="35">
        <f>IFERROR(__xludf.DUMMYFUNCTION("""COMPUTED_VALUE"""),49.0)</f>
        <v>49</v>
      </c>
      <c r="X30" s="2"/>
      <c r="Y30" s="2">
        <f>IFERROR(__xludf.DUMMYFUNCTION("""COMPUTED_VALUE"""),60.0)</f>
        <v>60</v>
      </c>
      <c r="Z30" s="2"/>
      <c r="AA30" s="5">
        <v>29.0</v>
      </c>
      <c r="AB30" s="3">
        <v>14500.0</v>
      </c>
      <c r="AC30" s="3">
        <f t="shared" si="15"/>
        <v>183250</v>
      </c>
      <c r="AD30" s="3">
        <f t="shared" si="4"/>
        <v>1004500</v>
      </c>
      <c r="AE30" s="3">
        <v>17400.0</v>
      </c>
      <c r="AF30" s="3">
        <f t="shared" si="16"/>
        <v>223850</v>
      </c>
      <c r="AG30" s="3">
        <f t="shared" si="5"/>
        <v>1205360</v>
      </c>
      <c r="AH30" s="3">
        <v>21790.0</v>
      </c>
      <c r="AI30" s="3">
        <f t="shared" si="17"/>
        <v>285170</v>
      </c>
      <c r="AJ30" s="3">
        <f t="shared" si="6"/>
        <v>1507590</v>
      </c>
      <c r="AK30" s="2"/>
      <c r="AL30" s="5">
        <v>29.0</v>
      </c>
      <c r="AM30" s="3">
        <v>2040.0</v>
      </c>
      <c r="AN30" s="3">
        <f t="shared" si="18"/>
        <v>19920</v>
      </c>
      <c r="AO30" s="5">
        <f t="shared" si="12"/>
        <v>244980</v>
      </c>
      <c r="AP30" s="5">
        <f t="shared" si="7"/>
        <v>99600</v>
      </c>
      <c r="AQ30" s="35">
        <f>IFERROR(__xludf.DUMMYFUNCTION("""COMPUTED_VALUE"""),30.0)</f>
        <v>30</v>
      </c>
      <c r="AR30" s="2"/>
      <c r="AS30" s="1" t="s">
        <v>130</v>
      </c>
      <c r="AT30" s="5">
        <v>4.0</v>
      </c>
      <c r="AV30" s="35"/>
      <c r="AW30" s="33" t="s">
        <v>131</v>
      </c>
      <c r="AX30" s="28" t="s">
        <v>111</v>
      </c>
      <c r="AY30" s="28">
        <v>5.0</v>
      </c>
      <c r="AZ30" s="28" t="s">
        <v>40</v>
      </c>
      <c r="BA30" s="28">
        <v>5.0</v>
      </c>
      <c r="BB30" s="28" t="s">
        <v>41</v>
      </c>
      <c r="BC30" s="28">
        <v>10.0</v>
      </c>
      <c r="BD30" s="5" t="s">
        <v>42</v>
      </c>
      <c r="BE30" s="5" t="s">
        <v>41</v>
      </c>
      <c r="BF30" s="5" t="s">
        <v>40</v>
      </c>
      <c r="BG30" s="5" t="s">
        <v>41</v>
      </c>
      <c r="BH30" s="5" t="s">
        <v>43</v>
      </c>
      <c r="BI30" s="2"/>
      <c r="BJ30" s="2"/>
      <c r="BK30" s="2"/>
      <c r="BL30" s="2"/>
      <c r="BM30" s="2"/>
      <c r="BN30" s="2"/>
      <c r="BO30" s="2"/>
      <c r="BP30" s="2"/>
      <c r="BQ30" s="2"/>
      <c r="BR30" s="2"/>
      <c r="BS30" s="2"/>
    </row>
    <row r="31">
      <c r="A31" s="6"/>
      <c r="B31" s="2"/>
      <c r="C31" s="2"/>
      <c r="D31" s="3">
        <v>30.0</v>
      </c>
      <c r="E31" s="3">
        <v>2150.0</v>
      </c>
      <c r="F31" s="3">
        <f t="shared" si="8"/>
        <v>22050</v>
      </c>
      <c r="G31" s="3">
        <f t="shared" si="9"/>
        <v>2620900</v>
      </c>
      <c r="H31" s="15">
        <f t="shared" ref="H31:I31" si="61">F31/$F$71</f>
        <v>0.008342950113</v>
      </c>
      <c r="I31" s="16">
        <f t="shared" si="61"/>
        <v>0.9916570499</v>
      </c>
      <c r="J31" s="2"/>
      <c r="K31" s="5">
        <v>8.0</v>
      </c>
      <c r="L31" s="49">
        <v>27.27</v>
      </c>
      <c r="M31" s="49">
        <v>54.53</v>
      </c>
      <c r="N31" s="49">
        <v>81.0</v>
      </c>
      <c r="O31" s="49">
        <v>109.0</v>
      </c>
      <c r="P31" s="49">
        <v>163.0</v>
      </c>
      <c r="Q31" s="49">
        <v>218.0</v>
      </c>
      <c r="R31" s="49">
        <v>327.0</v>
      </c>
      <c r="S31" s="49">
        <v>654.0</v>
      </c>
      <c r="T31" s="2"/>
      <c r="U31" s="2"/>
      <c r="V31" s="35">
        <f>IFERROR(__xludf.DUMMYFUNCTION("""COMPUTED_VALUE"""),33.0)</f>
        <v>33</v>
      </c>
      <c r="W31" s="35">
        <f>IFERROR(__xludf.DUMMYFUNCTION("""COMPUTED_VALUE"""),50.0)</f>
        <v>50</v>
      </c>
      <c r="X31" s="2"/>
      <c r="Y31" s="35">
        <f>IFERROR(__xludf.DUMMYFUNCTION("""COMPUTED_VALUE"""),61.0)</f>
        <v>61</v>
      </c>
      <c r="Z31" s="2"/>
      <c r="AA31" s="5">
        <v>30.0</v>
      </c>
      <c r="AB31" s="3">
        <v>15000.0</v>
      </c>
      <c r="AC31" s="3">
        <f t="shared" si="15"/>
        <v>197750</v>
      </c>
      <c r="AD31" s="3">
        <f t="shared" si="4"/>
        <v>990000</v>
      </c>
      <c r="AE31" s="3">
        <v>18000.0</v>
      </c>
      <c r="AF31" s="3">
        <f t="shared" si="16"/>
        <v>241250</v>
      </c>
      <c r="AG31" s="3">
        <f t="shared" si="5"/>
        <v>1187960</v>
      </c>
      <c r="AH31" s="3">
        <v>22500.0</v>
      </c>
      <c r="AI31" s="3">
        <f t="shared" si="17"/>
        <v>306960</v>
      </c>
      <c r="AJ31" s="3">
        <f t="shared" si="6"/>
        <v>1485800</v>
      </c>
      <c r="AK31" s="2"/>
      <c r="AL31" s="5">
        <v>30.0</v>
      </c>
      <c r="AM31" s="3">
        <v>2160.0</v>
      </c>
      <c r="AN31" s="3">
        <f t="shared" si="18"/>
        <v>21960</v>
      </c>
      <c r="AO31" s="5">
        <f t="shared" si="12"/>
        <v>242940</v>
      </c>
      <c r="AP31" s="5">
        <f t="shared" si="7"/>
        <v>109800</v>
      </c>
      <c r="AQ31" s="35">
        <f>IFERROR(__xludf.DUMMYFUNCTION("""COMPUTED_VALUE"""),31.0)</f>
        <v>31</v>
      </c>
      <c r="AR31" s="2"/>
      <c r="AS31" s="1" t="s">
        <v>132</v>
      </c>
      <c r="AT31" s="5">
        <v>6.0</v>
      </c>
      <c r="AV31" s="35"/>
      <c r="AW31" s="31" t="s">
        <v>133</v>
      </c>
      <c r="AX31" s="27" t="s">
        <v>63</v>
      </c>
      <c r="AY31" s="27">
        <v>5.0</v>
      </c>
      <c r="AZ31" s="27" t="s">
        <v>41</v>
      </c>
      <c r="BA31" s="28">
        <v>4.0</v>
      </c>
      <c r="BB31" s="28" t="s">
        <v>41</v>
      </c>
      <c r="BC31" s="28">
        <v>8.0</v>
      </c>
      <c r="BD31" s="5" t="s">
        <v>42</v>
      </c>
      <c r="BE31" s="5" t="s">
        <v>41</v>
      </c>
      <c r="BF31" s="5" t="s">
        <v>40</v>
      </c>
      <c r="BG31" s="5" t="s">
        <v>41</v>
      </c>
      <c r="BH31" s="5" t="s">
        <v>43</v>
      </c>
      <c r="BI31" s="2"/>
      <c r="BJ31" s="2"/>
      <c r="BK31" s="2"/>
      <c r="BL31" s="2"/>
      <c r="BM31" s="2"/>
      <c r="BN31" s="2"/>
      <c r="BO31" s="2"/>
      <c r="BP31" s="2"/>
      <c r="BQ31" s="2"/>
      <c r="BR31" s="2"/>
      <c r="BS31" s="2"/>
    </row>
    <row r="32">
      <c r="A32" s="6"/>
      <c r="B32" s="2"/>
      <c r="C32" s="2"/>
      <c r="D32" s="3">
        <v>31.0</v>
      </c>
      <c r="E32" s="3">
        <v>2550.0</v>
      </c>
      <c r="F32" s="3">
        <f t="shared" si="8"/>
        <v>24200</v>
      </c>
      <c r="G32" s="3">
        <f t="shared" si="9"/>
        <v>2618750</v>
      </c>
      <c r="H32" s="15">
        <f t="shared" ref="H32:I32" si="62">F32/$F$71</f>
        <v>0.009156435044</v>
      </c>
      <c r="I32" s="16">
        <f t="shared" si="62"/>
        <v>0.990843565</v>
      </c>
      <c r="J32" s="2"/>
      <c r="K32" s="5">
        <v>9.0</v>
      </c>
      <c r="L32" s="49">
        <v>26.08</v>
      </c>
      <c r="M32" s="49">
        <v>52.17</v>
      </c>
      <c r="N32" s="49">
        <v>78.0</v>
      </c>
      <c r="O32" s="49">
        <v>104.0</v>
      </c>
      <c r="P32" s="49">
        <v>156.0</v>
      </c>
      <c r="Q32" s="49">
        <v>208.0</v>
      </c>
      <c r="R32" s="49">
        <v>313.0</v>
      </c>
      <c r="S32" s="49">
        <v>626.0</v>
      </c>
      <c r="T32" s="2"/>
      <c r="U32" s="2"/>
      <c r="V32" s="35">
        <f>IFERROR(__xludf.DUMMYFUNCTION("""COMPUTED_VALUE"""),34.0)</f>
        <v>34</v>
      </c>
      <c r="W32" s="35">
        <f>IFERROR(__xludf.DUMMYFUNCTION("""COMPUTED_VALUE"""),51.0)</f>
        <v>51</v>
      </c>
      <c r="X32" s="2"/>
      <c r="Y32" s="2">
        <f>IFERROR(__xludf.DUMMYFUNCTION("""COMPUTED_VALUE"""),62.0)</f>
        <v>62</v>
      </c>
      <c r="Z32" s="2"/>
      <c r="AA32" s="5">
        <v>31.0</v>
      </c>
      <c r="AB32" s="3">
        <v>15500.0</v>
      </c>
      <c r="AC32" s="3">
        <f t="shared" si="15"/>
        <v>212750</v>
      </c>
      <c r="AD32" s="3">
        <f t="shared" si="4"/>
        <v>975000</v>
      </c>
      <c r="AE32" s="3">
        <v>18600.0</v>
      </c>
      <c r="AF32" s="3">
        <f t="shared" si="16"/>
        <v>259250</v>
      </c>
      <c r="AG32" s="3">
        <f t="shared" si="5"/>
        <v>1169960</v>
      </c>
      <c r="AH32" s="3">
        <v>23290.0</v>
      </c>
      <c r="AI32" s="3">
        <f t="shared" si="17"/>
        <v>329460</v>
      </c>
      <c r="AJ32" s="3">
        <f t="shared" si="6"/>
        <v>1463300</v>
      </c>
      <c r="AK32" s="2"/>
      <c r="AL32" s="5">
        <v>31.0</v>
      </c>
      <c r="AM32" s="3">
        <v>2300.0</v>
      </c>
      <c r="AN32" s="3">
        <f t="shared" si="18"/>
        <v>24120</v>
      </c>
      <c r="AO32" s="5">
        <f t="shared" si="12"/>
        <v>240780</v>
      </c>
      <c r="AP32" s="5">
        <f t="shared" si="7"/>
        <v>120600</v>
      </c>
      <c r="AQ32" s="35">
        <f>IFERROR(__xludf.DUMMYFUNCTION("""COMPUTED_VALUE"""),32.0)</f>
        <v>32</v>
      </c>
      <c r="AR32" s="2"/>
      <c r="AS32" s="1" t="s">
        <v>134</v>
      </c>
      <c r="AT32" s="5">
        <v>12.0</v>
      </c>
      <c r="AV32" s="35"/>
      <c r="AW32" s="31" t="s">
        <v>135</v>
      </c>
      <c r="AX32" s="27" t="s">
        <v>118</v>
      </c>
      <c r="AY32" s="27">
        <v>10.0</v>
      </c>
      <c r="AZ32" s="27" t="s">
        <v>41</v>
      </c>
      <c r="BA32" s="28">
        <v>5.0</v>
      </c>
      <c r="BB32" s="28" t="s">
        <v>41</v>
      </c>
      <c r="BC32" s="28">
        <v>10.0</v>
      </c>
      <c r="BD32" s="5" t="s">
        <v>42</v>
      </c>
      <c r="BE32" s="5" t="s">
        <v>41</v>
      </c>
      <c r="BF32" s="5" t="s">
        <v>40</v>
      </c>
      <c r="BG32" s="5" t="s">
        <v>41</v>
      </c>
      <c r="BH32" s="5" t="s">
        <v>43</v>
      </c>
      <c r="BI32" s="2"/>
      <c r="BJ32" s="2"/>
      <c r="BK32" s="2"/>
      <c r="BL32" s="2"/>
      <c r="BM32" s="2"/>
      <c r="BN32" s="2"/>
      <c r="BO32" s="2"/>
      <c r="BP32" s="2"/>
      <c r="BQ32" s="2"/>
      <c r="BR32" s="2"/>
      <c r="BS32" s="2"/>
    </row>
    <row r="33">
      <c r="A33" s="6"/>
      <c r="B33" s="2"/>
      <c r="C33" s="2"/>
      <c r="D33" s="3">
        <v>32.0</v>
      </c>
      <c r="E33" s="3">
        <v>3050.0</v>
      </c>
      <c r="F33" s="3">
        <f t="shared" si="8"/>
        <v>26750</v>
      </c>
      <c r="G33" s="3">
        <f t="shared" si="9"/>
        <v>2616200</v>
      </c>
      <c r="H33" s="15">
        <f t="shared" ref="H33:I33" si="63">F33/$F$71</f>
        <v>0.01012126601</v>
      </c>
      <c r="I33" s="16">
        <f t="shared" si="63"/>
        <v>0.989878734</v>
      </c>
      <c r="J33" s="2"/>
      <c r="K33" s="5">
        <v>10.0</v>
      </c>
      <c r="L33" s="49">
        <v>26.08</v>
      </c>
      <c r="M33" s="49">
        <v>52.17</v>
      </c>
      <c r="N33" s="49">
        <v>78.0</v>
      </c>
      <c r="O33" s="49">
        <v>104.0</v>
      </c>
      <c r="P33" s="49">
        <v>156.0</v>
      </c>
      <c r="Q33" s="49">
        <v>208.0</v>
      </c>
      <c r="R33" s="49">
        <v>313.0</v>
      </c>
      <c r="S33" s="49">
        <v>626.0</v>
      </c>
      <c r="T33" s="2"/>
      <c r="U33" s="2"/>
      <c r="V33" s="35">
        <f>IFERROR(__xludf.DUMMYFUNCTION("""COMPUTED_VALUE"""),35.0)</f>
        <v>35</v>
      </c>
      <c r="W33" s="35">
        <f>IFERROR(__xludf.DUMMYFUNCTION("""COMPUTED_VALUE"""),52.0)</f>
        <v>52</v>
      </c>
      <c r="X33" s="2"/>
      <c r="Y33" s="35">
        <f>IFERROR(__xludf.DUMMYFUNCTION("""COMPUTED_VALUE"""),63.0)</f>
        <v>63</v>
      </c>
      <c r="Z33" s="2"/>
      <c r="AA33" s="5">
        <v>32.0</v>
      </c>
      <c r="AB33" s="3">
        <v>16000.0</v>
      </c>
      <c r="AC33" s="3">
        <f t="shared" si="15"/>
        <v>228250</v>
      </c>
      <c r="AD33" s="3">
        <f t="shared" si="4"/>
        <v>959500</v>
      </c>
      <c r="AE33" s="3">
        <v>19200.0</v>
      </c>
      <c r="AF33" s="3">
        <f t="shared" si="16"/>
        <v>277850</v>
      </c>
      <c r="AG33" s="3">
        <f t="shared" si="5"/>
        <v>1151360</v>
      </c>
      <c r="AH33" s="3">
        <v>24000.0</v>
      </c>
      <c r="AI33" s="3">
        <f t="shared" si="17"/>
        <v>352750</v>
      </c>
      <c r="AJ33" s="3">
        <f t="shared" si="6"/>
        <v>1440010</v>
      </c>
      <c r="AK33" s="2"/>
      <c r="AL33" s="5">
        <v>32.0</v>
      </c>
      <c r="AM33" s="3">
        <v>2440.0</v>
      </c>
      <c r="AN33" s="3">
        <f t="shared" si="18"/>
        <v>26420</v>
      </c>
      <c r="AO33" s="5">
        <f t="shared" si="12"/>
        <v>238480</v>
      </c>
      <c r="AP33" s="5">
        <f t="shared" si="7"/>
        <v>132100</v>
      </c>
      <c r="AQ33" s="35">
        <f>IFERROR(__xludf.DUMMYFUNCTION("""COMPUTED_VALUE"""),33.0)</f>
        <v>33</v>
      </c>
      <c r="AR33" s="2"/>
      <c r="AS33" s="2"/>
      <c r="AT33" s="35"/>
      <c r="AV33" s="35"/>
      <c r="AW33" s="36" t="s">
        <v>136</v>
      </c>
      <c r="AX33" s="27" t="s">
        <v>63</v>
      </c>
      <c r="AY33" s="27">
        <v>10.0</v>
      </c>
      <c r="AZ33" s="27" t="s">
        <v>41</v>
      </c>
      <c r="BA33" s="28">
        <v>5.0</v>
      </c>
      <c r="BB33" s="28" t="s">
        <v>41</v>
      </c>
      <c r="BC33" s="28">
        <v>10.0</v>
      </c>
      <c r="BD33" s="5" t="s">
        <v>42</v>
      </c>
      <c r="BE33" s="5" t="s">
        <v>41</v>
      </c>
      <c r="BF33" s="5" t="s">
        <v>40</v>
      </c>
      <c r="BG33" s="5" t="s">
        <v>41</v>
      </c>
      <c r="BH33" s="5" t="s">
        <v>43</v>
      </c>
      <c r="BI33" s="2"/>
      <c r="BJ33" s="2"/>
      <c r="BK33" s="2"/>
      <c r="BL33" s="2"/>
      <c r="BM33" s="2"/>
      <c r="BN33" s="2"/>
      <c r="BO33" s="2"/>
      <c r="BP33" s="2"/>
      <c r="BQ33" s="2"/>
      <c r="BR33" s="2"/>
      <c r="BS33" s="2"/>
    </row>
    <row r="34">
      <c r="A34" s="6"/>
      <c r="B34" s="2"/>
      <c r="C34" s="2"/>
      <c r="D34" s="3">
        <v>33.0</v>
      </c>
      <c r="E34" s="3">
        <v>3750.0</v>
      </c>
      <c r="F34" s="3">
        <f t="shared" si="8"/>
        <v>29800</v>
      </c>
      <c r="G34" s="3">
        <f t="shared" si="9"/>
        <v>2613150</v>
      </c>
      <c r="H34" s="15">
        <f t="shared" ref="H34:I34" si="64">F34/$F$71</f>
        <v>0.01127527952</v>
      </c>
      <c r="I34" s="16">
        <f t="shared" si="64"/>
        <v>0.9887247205</v>
      </c>
      <c r="J34" s="2"/>
      <c r="K34" s="5">
        <v>11.0</v>
      </c>
      <c r="L34" s="49">
        <v>26.08</v>
      </c>
      <c r="M34" s="49">
        <v>52.17</v>
      </c>
      <c r="N34" s="49">
        <v>78.0</v>
      </c>
      <c r="O34" s="49">
        <v>104.0</v>
      </c>
      <c r="P34" s="49">
        <v>156.0</v>
      </c>
      <c r="Q34" s="49">
        <v>208.0</v>
      </c>
      <c r="R34" s="49">
        <v>313.0</v>
      </c>
      <c r="S34" s="49">
        <v>626.0</v>
      </c>
      <c r="T34" s="2"/>
      <c r="U34" s="2"/>
      <c r="V34" s="35">
        <f>IFERROR(__xludf.DUMMYFUNCTION("""COMPUTED_VALUE"""),36.0)</f>
        <v>36</v>
      </c>
      <c r="W34" s="35">
        <f>IFERROR(__xludf.DUMMYFUNCTION("""COMPUTED_VALUE"""),53.0)</f>
        <v>53</v>
      </c>
      <c r="X34" s="2"/>
      <c r="Y34" s="2">
        <f>IFERROR(__xludf.DUMMYFUNCTION("""COMPUTED_VALUE"""),64.0)</f>
        <v>64</v>
      </c>
      <c r="Z34" s="2"/>
      <c r="AA34" s="5">
        <v>33.0</v>
      </c>
      <c r="AB34" s="3">
        <v>16500.0</v>
      </c>
      <c r="AC34" s="3">
        <f t="shared" si="15"/>
        <v>244250</v>
      </c>
      <c r="AD34" s="3">
        <f t="shared" si="4"/>
        <v>943500</v>
      </c>
      <c r="AE34" s="3">
        <v>19800.0</v>
      </c>
      <c r="AF34" s="3">
        <f t="shared" si="16"/>
        <v>297050</v>
      </c>
      <c r="AG34" s="3">
        <f t="shared" si="5"/>
        <v>1132160</v>
      </c>
      <c r="AH34" s="3">
        <v>24790.0</v>
      </c>
      <c r="AI34" s="3">
        <f t="shared" si="17"/>
        <v>376750</v>
      </c>
      <c r="AJ34" s="3">
        <f t="shared" si="6"/>
        <v>1416010</v>
      </c>
      <c r="AK34" s="2"/>
      <c r="AL34" s="5">
        <v>33.0</v>
      </c>
      <c r="AM34" s="3">
        <v>2580.0</v>
      </c>
      <c r="AN34" s="3">
        <f t="shared" si="18"/>
        <v>28860</v>
      </c>
      <c r="AO34" s="5">
        <f t="shared" si="12"/>
        <v>236040</v>
      </c>
      <c r="AP34" s="5">
        <f t="shared" si="7"/>
        <v>144300</v>
      </c>
      <c r="AQ34" s="35">
        <f>IFERROR(__xludf.DUMMYFUNCTION("""COMPUTED_VALUE"""),34.0)</f>
        <v>34</v>
      </c>
      <c r="AR34" s="2"/>
      <c r="AS34" s="2"/>
      <c r="AT34" s="35"/>
      <c r="AV34" s="35"/>
      <c r="AW34" s="33" t="s">
        <v>137</v>
      </c>
      <c r="AX34" s="28" t="s">
        <v>63</v>
      </c>
      <c r="AY34" s="28">
        <v>12.0</v>
      </c>
      <c r="AZ34" s="28" t="s">
        <v>41</v>
      </c>
      <c r="BA34" s="28">
        <v>6.0</v>
      </c>
      <c r="BB34" s="28" t="s">
        <v>41</v>
      </c>
      <c r="BC34" s="28">
        <v>12.0</v>
      </c>
      <c r="BD34" s="5" t="s">
        <v>42</v>
      </c>
      <c r="BE34" s="5" t="s">
        <v>41</v>
      </c>
      <c r="BF34" s="5" t="s">
        <v>40</v>
      </c>
      <c r="BG34" s="5" t="s">
        <v>41</v>
      </c>
      <c r="BH34" s="5" t="s">
        <v>43</v>
      </c>
      <c r="BI34" s="2"/>
      <c r="BJ34" s="2"/>
      <c r="BK34" s="2"/>
      <c r="BL34" s="2"/>
      <c r="BM34" s="2"/>
      <c r="BN34" s="2"/>
      <c r="BO34" s="2"/>
      <c r="BP34" s="2"/>
      <c r="BQ34" s="2"/>
      <c r="BR34" s="2"/>
      <c r="BS34" s="2"/>
    </row>
    <row r="35">
      <c r="A35" s="6"/>
      <c r="B35" s="2"/>
      <c r="C35" s="2"/>
      <c r="D35" s="3">
        <v>34.0</v>
      </c>
      <c r="E35" s="3">
        <v>4750.0</v>
      </c>
      <c r="F35" s="3">
        <f t="shared" si="8"/>
        <v>33550</v>
      </c>
      <c r="G35" s="3">
        <f t="shared" si="9"/>
        <v>2609400</v>
      </c>
      <c r="H35" s="15">
        <f t="shared" ref="H35:I35" si="65">F35/$F$71</f>
        <v>0.01269414858</v>
      </c>
      <c r="I35" s="16">
        <f t="shared" si="65"/>
        <v>0.9873058514</v>
      </c>
      <c r="J35" s="2"/>
      <c r="K35" s="5">
        <v>12.0</v>
      </c>
      <c r="L35" s="49">
        <v>26.08</v>
      </c>
      <c r="M35" s="49">
        <v>52.17</v>
      </c>
      <c r="N35" s="49">
        <v>78.0</v>
      </c>
      <c r="O35" s="49">
        <v>104.0</v>
      </c>
      <c r="P35" s="49">
        <v>156.0</v>
      </c>
      <c r="Q35" s="49">
        <v>208.0</v>
      </c>
      <c r="R35" s="49">
        <v>313.0</v>
      </c>
      <c r="S35" s="49">
        <v>626.0</v>
      </c>
      <c r="T35" s="2"/>
      <c r="U35" s="2"/>
      <c r="V35" s="35">
        <f>IFERROR(__xludf.DUMMYFUNCTION("""COMPUTED_VALUE"""),37.0)</f>
        <v>37</v>
      </c>
      <c r="W35" s="35">
        <f>IFERROR(__xludf.DUMMYFUNCTION("""COMPUTED_VALUE"""),54.0)</f>
        <v>54</v>
      </c>
      <c r="X35" s="2"/>
      <c r="Y35" s="35">
        <f>IFERROR(__xludf.DUMMYFUNCTION("""COMPUTED_VALUE"""),65.0)</f>
        <v>65</v>
      </c>
      <c r="Z35" s="2"/>
      <c r="AA35" s="5">
        <v>34.0</v>
      </c>
      <c r="AB35" s="3">
        <v>17000.0</v>
      </c>
      <c r="AC35" s="3">
        <f t="shared" si="15"/>
        <v>260750</v>
      </c>
      <c r="AD35" s="3">
        <f t="shared" si="4"/>
        <v>927000</v>
      </c>
      <c r="AE35" s="3">
        <v>20400.0</v>
      </c>
      <c r="AF35" s="3">
        <f t="shared" si="16"/>
        <v>316850</v>
      </c>
      <c r="AG35" s="3">
        <f t="shared" si="5"/>
        <v>1112360</v>
      </c>
      <c r="AH35" s="3">
        <v>25500.0</v>
      </c>
      <c r="AI35" s="3">
        <f t="shared" si="17"/>
        <v>401540</v>
      </c>
      <c r="AJ35" s="3">
        <f t="shared" si="6"/>
        <v>1391220</v>
      </c>
      <c r="AK35" s="2"/>
      <c r="AL35" s="5">
        <v>34.0</v>
      </c>
      <c r="AM35" s="3">
        <v>2720.0</v>
      </c>
      <c r="AN35" s="3">
        <f t="shared" si="18"/>
        <v>31440</v>
      </c>
      <c r="AO35" s="5">
        <f t="shared" si="12"/>
        <v>233460</v>
      </c>
      <c r="AP35" s="5">
        <f t="shared" si="7"/>
        <v>157200</v>
      </c>
      <c r="AQ35" s="35">
        <f>IFERROR(__xludf.DUMMYFUNCTION("""COMPUTED_VALUE"""),35.0)</f>
        <v>35</v>
      </c>
      <c r="AR35" s="2"/>
      <c r="AS35" s="2"/>
      <c r="AT35" s="35"/>
      <c r="AV35" s="35"/>
      <c r="AW35" s="31" t="s">
        <v>138</v>
      </c>
      <c r="AX35" s="27" t="s">
        <v>70</v>
      </c>
      <c r="AY35" s="27">
        <v>5.0</v>
      </c>
      <c r="AZ35" s="28" t="s">
        <v>40</v>
      </c>
      <c r="BA35" s="28">
        <v>4.0</v>
      </c>
      <c r="BB35" s="27" t="s">
        <v>40</v>
      </c>
      <c r="BC35" s="28">
        <v>8.0</v>
      </c>
      <c r="BD35" s="5" t="s">
        <v>42</v>
      </c>
      <c r="BE35" s="5" t="s">
        <v>41</v>
      </c>
      <c r="BF35" s="5" t="s">
        <v>40</v>
      </c>
      <c r="BG35" s="5" t="s">
        <v>41</v>
      </c>
      <c r="BH35" s="5" t="s">
        <v>43</v>
      </c>
      <c r="BI35" s="2"/>
      <c r="BJ35" s="2"/>
      <c r="BK35" s="2"/>
      <c r="BL35" s="2"/>
      <c r="BM35" s="2"/>
      <c r="BN35" s="2"/>
      <c r="BO35" s="2"/>
      <c r="BP35" s="2"/>
      <c r="BQ35" s="2"/>
      <c r="BR35" s="2"/>
      <c r="BS35" s="2"/>
    </row>
    <row r="36">
      <c r="A36" s="6"/>
      <c r="B36" s="2"/>
      <c r="C36" s="2"/>
      <c r="D36" s="3">
        <v>35.0</v>
      </c>
      <c r="E36" s="3">
        <v>5950.0</v>
      </c>
      <c r="F36" s="3">
        <f t="shared" si="8"/>
        <v>38300</v>
      </c>
      <c r="G36" s="3">
        <f t="shared" si="9"/>
        <v>2604650</v>
      </c>
      <c r="H36" s="15">
        <f t="shared" ref="H36:I36" si="66">F36/$F$71</f>
        <v>0.01449138274</v>
      </c>
      <c r="I36" s="16">
        <f t="shared" si="66"/>
        <v>0.9855086173</v>
      </c>
      <c r="J36" s="2"/>
      <c r="K36" s="5">
        <v>13.0</v>
      </c>
      <c r="L36" s="49">
        <v>26.08</v>
      </c>
      <c r="M36" s="49">
        <v>52.17</v>
      </c>
      <c r="N36" s="49">
        <v>78.0</v>
      </c>
      <c r="O36" s="49">
        <v>104.0</v>
      </c>
      <c r="P36" s="49">
        <v>156.0</v>
      </c>
      <c r="Q36" s="49">
        <v>208.0</v>
      </c>
      <c r="R36" s="49">
        <v>313.0</v>
      </c>
      <c r="S36" s="49">
        <v>626.0</v>
      </c>
      <c r="T36" s="2"/>
      <c r="U36" s="2"/>
      <c r="V36" s="35">
        <f>IFERROR(__xludf.DUMMYFUNCTION("""COMPUTED_VALUE"""),38.0)</f>
        <v>38</v>
      </c>
      <c r="W36" s="35">
        <f>IFERROR(__xludf.DUMMYFUNCTION("""COMPUTED_VALUE"""),55.0)</f>
        <v>55</v>
      </c>
      <c r="X36" s="2"/>
      <c r="Y36" s="2">
        <f>IFERROR(__xludf.DUMMYFUNCTION("""COMPUTED_VALUE"""),66.0)</f>
        <v>66</v>
      </c>
      <c r="Z36" s="2"/>
      <c r="AA36" s="5">
        <v>35.0</v>
      </c>
      <c r="AB36" s="3">
        <v>17500.0</v>
      </c>
      <c r="AC36" s="3">
        <f t="shared" si="15"/>
        <v>277750</v>
      </c>
      <c r="AD36" s="3">
        <f t="shared" si="4"/>
        <v>910000</v>
      </c>
      <c r="AE36" s="3">
        <v>21000.0</v>
      </c>
      <c r="AF36" s="3">
        <f t="shared" si="16"/>
        <v>337250</v>
      </c>
      <c r="AG36" s="3">
        <f t="shared" si="5"/>
        <v>1091960</v>
      </c>
      <c r="AH36" s="3">
        <v>26290.0</v>
      </c>
      <c r="AI36" s="3">
        <f t="shared" si="17"/>
        <v>427040</v>
      </c>
      <c r="AJ36" s="3">
        <f t="shared" si="6"/>
        <v>1365720</v>
      </c>
      <c r="AK36" s="2"/>
      <c r="AL36" s="5">
        <v>35.0</v>
      </c>
      <c r="AM36" s="3">
        <v>2880.0</v>
      </c>
      <c r="AN36" s="3">
        <f t="shared" si="18"/>
        <v>34160</v>
      </c>
      <c r="AO36" s="5">
        <f t="shared" si="12"/>
        <v>230740</v>
      </c>
      <c r="AP36" s="5">
        <f t="shared" si="7"/>
        <v>170800</v>
      </c>
      <c r="AQ36" s="35">
        <f>IFERROR(__xludf.DUMMYFUNCTION("""COMPUTED_VALUE"""),36.0)</f>
        <v>36</v>
      </c>
      <c r="AR36" s="2"/>
      <c r="AS36" s="2"/>
      <c r="AT36" s="35"/>
      <c r="AV36" s="35"/>
      <c r="AW36" s="50" t="s">
        <v>139</v>
      </c>
      <c r="AX36" s="28" t="s">
        <v>40</v>
      </c>
      <c r="AY36" s="28">
        <v>5.0</v>
      </c>
      <c r="AZ36" s="28" t="s">
        <v>41</v>
      </c>
      <c r="BA36" s="28">
        <v>10.0</v>
      </c>
      <c r="BB36" s="28" t="s">
        <v>111</v>
      </c>
      <c r="BC36" s="28">
        <v>10.0</v>
      </c>
      <c r="BD36" s="5" t="s">
        <v>42</v>
      </c>
      <c r="BE36" s="5" t="s">
        <v>41</v>
      </c>
      <c r="BF36" s="5" t="s">
        <v>40</v>
      </c>
      <c r="BG36" s="5" t="s">
        <v>41</v>
      </c>
      <c r="BH36" s="5" t="s">
        <v>43</v>
      </c>
      <c r="BI36" s="2"/>
      <c r="BJ36" s="2"/>
      <c r="BK36" s="2"/>
      <c r="BL36" s="2"/>
      <c r="BM36" s="2"/>
      <c r="BN36" s="2"/>
      <c r="BO36" s="2"/>
      <c r="BP36" s="2"/>
      <c r="BQ36" s="2"/>
      <c r="BR36" s="2"/>
      <c r="BS36" s="2"/>
    </row>
    <row r="37">
      <c r="A37" s="6"/>
      <c r="B37" s="2"/>
      <c r="C37" s="2"/>
      <c r="D37" s="3">
        <v>36.0</v>
      </c>
      <c r="E37" s="3">
        <v>7450.0</v>
      </c>
      <c r="F37" s="3">
        <f t="shared" si="8"/>
        <v>44250</v>
      </c>
      <c r="G37" s="3">
        <f t="shared" si="9"/>
        <v>2598700</v>
      </c>
      <c r="H37" s="15">
        <f t="shared" ref="H37:I37" si="67">F37/$F$71</f>
        <v>0.01674265499</v>
      </c>
      <c r="I37" s="16">
        <f t="shared" si="67"/>
        <v>0.983257345</v>
      </c>
      <c r="J37" s="2"/>
      <c r="K37" s="5">
        <v>14.0</v>
      </c>
      <c r="L37" s="49">
        <v>25.0</v>
      </c>
      <c r="M37" s="49">
        <v>50.0</v>
      </c>
      <c r="N37" s="49">
        <v>74.0</v>
      </c>
      <c r="O37" s="49">
        <v>99.0</v>
      </c>
      <c r="P37" s="49">
        <v>149.0</v>
      </c>
      <c r="Q37" s="49">
        <v>199.0</v>
      </c>
      <c r="R37" s="49">
        <v>299.0</v>
      </c>
      <c r="S37" s="49">
        <v>599.0</v>
      </c>
      <c r="T37" s="2"/>
      <c r="U37" s="2"/>
      <c r="V37" s="35">
        <f>IFERROR(__xludf.DUMMYFUNCTION("""COMPUTED_VALUE"""),39.0)</f>
        <v>39</v>
      </c>
      <c r="W37" s="35">
        <f>IFERROR(__xludf.DUMMYFUNCTION("""COMPUTED_VALUE"""),56.0)</f>
        <v>56</v>
      </c>
      <c r="X37" s="2"/>
      <c r="Y37" s="35">
        <f>IFERROR(__xludf.DUMMYFUNCTION("""COMPUTED_VALUE"""),67.0)</f>
        <v>67</v>
      </c>
      <c r="Z37" s="2"/>
      <c r="AA37" s="5">
        <v>36.0</v>
      </c>
      <c r="AB37" s="3">
        <v>18000.0</v>
      </c>
      <c r="AC37" s="3">
        <f t="shared" si="15"/>
        <v>295250</v>
      </c>
      <c r="AD37" s="3">
        <f t="shared" si="4"/>
        <v>892500</v>
      </c>
      <c r="AE37" s="3">
        <v>21600.0</v>
      </c>
      <c r="AF37" s="3">
        <f t="shared" si="16"/>
        <v>358250</v>
      </c>
      <c r="AG37" s="3">
        <f t="shared" si="5"/>
        <v>1070960</v>
      </c>
      <c r="AH37" s="3">
        <v>27000.0</v>
      </c>
      <c r="AI37" s="3">
        <f t="shared" si="17"/>
        <v>453330</v>
      </c>
      <c r="AJ37" s="3">
        <f t="shared" si="6"/>
        <v>1339430</v>
      </c>
      <c r="AK37" s="2"/>
      <c r="AL37" s="5">
        <v>36.0</v>
      </c>
      <c r="AM37" s="3">
        <v>3020.0</v>
      </c>
      <c r="AN37" s="3">
        <f t="shared" si="18"/>
        <v>37040</v>
      </c>
      <c r="AO37" s="5">
        <f t="shared" si="12"/>
        <v>227860</v>
      </c>
      <c r="AP37" s="5">
        <f t="shared" si="7"/>
        <v>185200</v>
      </c>
      <c r="AQ37" s="35">
        <f>IFERROR(__xludf.DUMMYFUNCTION("""COMPUTED_VALUE"""),37.0)</f>
        <v>37</v>
      </c>
      <c r="AR37" s="2"/>
      <c r="AS37" s="2"/>
      <c r="AT37" s="35"/>
      <c r="AV37" s="35"/>
      <c r="AW37" s="31" t="s">
        <v>140</v>
      </c>
      <c r="AX37" s="40" t="s">
        <v>99</v>
      </c>
      <c r="AY37" s="40">
        <v>5.0</v>
      </c>
      <c r="AZ37" s="38" t="s">
        <v>40</v>
      </c>
      <c r="BA37" s="38">
        <v>4.0</v>
      </c>
      <c r="BB37" s="38" t="s">
        <v>41</v>
      </c>
      <c r="BC37" s="28">
        <v>8.0</v>
      </c>
      <c r="BD37" s="5" t="s">
        <v>42</v>
      </c>
      <c r="BE37" s="5" t="s">
        <v>41</v>
      </c>
      <c r="BF37" s="5" t="s">
        <v>40</v>
      </c>
      <c r="BG37" s="5" t="s">
        <v>41</v>
      </c>
      <c r="BH37" s="5" t="s">
        <v>43</v>
      </c>
      <c r="BI37" s="2"/>
      <c r="BJ37" s="2"/>
      <c r="BK37" s="2"/>
      <c r="BL37" s="2"/>
      <c r="BM37" s="2"/>
      <c r="BN37" s="2"/>
      <c r="BO37" s="2"/>
      <c r="BP37" s="2"/>
      <c r="BQ37" s="2"/>
      <c r="BR37" s="2"/>
      <c r="BS37" s="2"/>
    </row>
    <row r="38">
      <c r="A38" s="6"/>
      <c r="B38" s="2"/>
      <c r="C38" s="2"/>
      <c r="D38" s="3">
        <v>37.0</v>
      </c>
      <c r="E38" s="3">
        <v>9250.0</v>
      </c>
      <c r="F38" s="3">
        <f t="shared" si="8"/>
        <v>51700</v>
      </c>
      <c r="G38" s="3">
        <f t="shared" si="9"/>
        <v>2591250</v>
      </c>
      <c r="H38" s="15">
        <f t="shared" ref="H38:I38" si="68">F38/$F$71</f>
        <v>0.01956147487</v>
      </c>
      <c r="I38" s="16">
        <f t="shared" si="68"/>
        <v>0.9804385251</v>
      </c>
      <c r="J38" s="2"/>
      <c r="K38" s="5">
        <v>15.0</v>
      </c>
      <c r="L38" s="49">
        <v>25.0</v>
      </c>
      <c r="M38" s="49">
        <v>50.0</v>
      </c>
      <c r="N38" s="49">
        <v>74.0</v>
      </c>
      <c r="O38" s="49">
        <v>99.0</v>
      </c>
      <c r="P38" s="49">
        <v>149.0</v>
      </c>
      <c r="Q38" s="49">
        <v>199.0</v>
      </c>
      <c r="R38" s="49">
        <v>299.0</v>
      </c>
      <c r="S38" s="49">
        <v>599.0</v>
      </c>
      <c r="T38" s="2"/>
      <c r="U38" s="2"/>
      <c r="V38" s="35">
        <f>IFERROR(__xludf.DUMMYFUNCTION("""COMPUTED_VALUE"""),40.0)</f>
        <v>40</v>
      </c>
      <c r="W38" s="35">
        <f>IFERROR(__xludf.DUMMYFUNCTION("""COMPUTED_VALUE"""),57.0)</f>
        <v>57</v>
      </c>
      <c r="X38" s="2"/>
      <c r="Y38" s="2">
        <f>IFERROR(__xludf.DUMMYFUNCTION("""COMPUTED_VALUE"""),68.0)</f>
        <v>68</v>
      </c>
      <c r="Z38" s="2"/>
      <c r="AA38" s="5">
        <v>37.0</v>
      </c>
      <c r="AB38" s="3">
        <v>18500.0</v>
      </c>
      <c r="AC38" s="3">
        <f t="shared" si="15"/>
        <v>313250</v>
      </c>
      <c r="AD38" s="3">
        <f t="shared" si="4"/>
        <v>874500</v>
      </c>
      <c r="AE38" s="3">
        <v>22200.0</v>
      </c>
      <c r="AF38" s="3">
        <f t="shared" si="16"/>
        <v>379850</v>
      </c>
      <c r="AG38" s="3">
        <f t="shared" si="5"/>
        <v>1049360</v>
      </c>
      <c r="AH38" s="3">
        <v>27790.0</v>
      </c>
      <c r="AI38" s="3">
        <f t="shared" si="17"/>
        <v>480330</v>
      </c>
      <c r="AJ38" s="3">
        <f t="shared" si="6"/>
        <v>1312430</v>
      </c>
      <c r="AK38" s="2"/>
      <c r="AL38" s="5">
        <v>37.0</v>
      </c>
      <c r="AM38" s="3">
        <v>3180.0</v>
      </c>
      <c r="AN38" s="3">
        <f t="shared" si="18"/>
        <v>40060</v>
      </c>
      <c r="AO38" s="5">
        <f t="shared" si="12"/>
        <v>224840</v>
      </c>
      <c r="AP38" s="5">
        <f t="shared" si="7"/>
        <v>200300</v>
      </c>
      <c r="AQ38" s="35">
        <f>IFERROR(__xludf.DUMMYFUNCTION("""COMPUTED_VALUE"""),38.0)</f>
        <v>38</v>
      </c>
      <c r="AR38" s="2"/>
      <c r="AS38" s="2"/>
      <c r="AT38" s="35"/>
      <c r="AV38" s="35"/>
      <c r="AW38" s="36" t="s">
        <v>141</v>
      </c>
      <c r="AX38" s="40" t="s">
        <v>99</v>
      </c>
      <c r="AY38" s="40">
        <v>10.0</v>
      </c>
      <c r="AZ38" s="38" t="s">
        <v>40</v>
      </c>
      <c r="BA38" s="38">
        <v>5.0</v>
      </c>
      <c r="BB38" s="38" t="s">
        <v>41</v>
      </c>
      <c r="BC38" s="28">
        <v>10.0</v>
      </c>
      <c r="BD38" s="5" t="s">
        <v>42</v>
      </c>
      <c r="BE38" s="5" t="s">
        <v>41</v>
      </c>
      <c r="BF38" s="5" t="s">
        <v>40</v>
      </c>
      <c r="BG38" s="5" t="s">
        <v>41</v>
      </c>
      <c r="BH38" s="5" t="s">
        <v>43</v>
      </c>
      <c r="BI38" s="2"/>
      <c r="BJ38" s="2"/>
      <c r="BK38" s="2"/>
      <c r="BL38" s="2"/>
      <c r="BM38" s="2"/>
      <c r="BN38" s="2"/>
      <c r="BO38" s="2"/>
      <c r="BP38" s="2"/>
      <c r="BQ38" s="2"/>
      <c r="BR38" s="2"/>
      <c r="BS38" s="2"/>
    </row>
    <row r="39">
      <c r="A39" s="6"/>
      <c r="B39" s="2"/>
      <c r="C39" s="2"/>
      <c r="D39" s="3">
        <v>38.0</v>
      </c>
      <c r="E39" s="3">
        <v>11250.0</v>
      </c>
      <c r="F39" s="3">
        <f t="shared" si="8"/>
        <v>60950</v>
      </c>
      <c r="G39" s="3">
        <f t="shared" si="9"/>
        <v>2582000</v>
      </c>
      <c r="H39" s="15">
        <f t="shared" ref="H39:I39" si="69">F39/$F$71</f>
        <v>0.0230613519</v>
      </c>
      <c r="I39" s="16">
        <f t="shared" si="69"/>
        <v>0.9769386481</v>
      </c>
      <c r="J39" s="2"/>
      <c r="K39" s="5">
        <v>16.0</v>
      </c>
      <c r="L39" s="49">
        <v>25.0</v>
      </c>
      <c r="M39" s="49">
        <v>50.0</v>
      </c>
      <c r="N39" s="49">
        <v>74.0</v>
      </c>
      <c r="O39" s="49">
        <v>99.0</v>
      </c>
      <c r="P39" s="49">
        <v>149.0</v>
      </c>
      <c r="Q39" s="49">
        <v>199.0</v>
      </c>
      <c r="R39" s="49">
        <v>299.0</v>
      </c>
      <c r="S39" s="49">
        <v>599.0</v>
      </c>
      <c r="T39" s="2"/>
      <c r="U39" s="2"/>
      <c r="V39" s="35">
        <f>IFERROR(__xludf.DUMMYFUNCTION("""COMPUTED_VALUE"""),41.0)</f>
        <v>41</v>
      </c>
      <c r="W39" s="35">
        <f>IFERROR(__xludf.DUMMYFUNCTION("""COMPUTED_VALUE"""),58.0)</f>
        <v>58</v>
      </c>
      <c r="X39" s="2"/>
      <c r="Y39" s="35">
        <f>IFERROR(__xludf.DUMMYFUNCTION("""COMPUTED_VALUE"""),69.0)</f>
        <v>69</v>
      </c>
      <c r="Z39" s="2"/>
      <c r="AA39" s="5">
        <v>38.0</v>
      </c>
      <c r="AB39" s="3">
        <v>19000.0</v>
      </c>
      <c r="AC39" s="3">
        <f t="shared" si="15"/>
        <v>331750</v>
      </c>
      <c r="AD39" s="3">
        <f t="shared" si="4"/>
        <v>856000</v>
      </c>
      <c r="AE39" s="3">
        <v>22800.0</v>
      </c>
      <c r="AF39" s="3">
        <f t="shared" si="16"/>
        <v>402050</v>
      </c>
      <c r="AG39" s="3">
        <f t="shared" si="5"/>
        <v>1027160</v>
      </c>
      <c r="AH39" s="3">
        <v>28500.0</v>
      </c>
      <c r="AI39" s="3">
        <f t="shared" si="17"/>
        <v>508120</v>
      </c>
      <c r="AJ39" s="3">
        <f t="shared" si="6"/>
        <v>1284640</v>
      </c>
      <c r="AK39" s="2"/>
      <c r="AL39" s="5">
        <v>38.0</v>
      </c>
      <c r="AM39" s="3">
        <v>3340.0</v>
      </c>
      <c r="AN39" s="3">
        <f t="shared" si="18"/>
        <v>43240</v>
      </c>
      <c r="AO39" s="5">
        <f t="shared" si="12"/>
        <v>221660</v>
      </c>
      <c r="AP39" s="5">
        <f t="shared" si="7"/>
        <v>216200</v>
      </c>
      <c r="AQ39" s="35">
        <f>IFERROR(__xludf.DUMMYFUNCTION("""COMPUTED_VALUE"""),39.0)</f>
        <v>39</v>
      </c>
      <c r="AR39" s="2"/>
      <c r="AS39" s="2"/>
      <c r="AT39" s="35"/>
      <c r="AV39" s="35"/>
      <c r="AW39" s="33" t="s">
        <v>142</v>
      </c>
      <c r="AX39" s="28" t="s">
        <v>70</v>
      </c>
      <c r="AY39" s="28">
        <v>10.0</v>
      </c>
      <c r="AZ39" s="28" t="s">
        <v>41</v>
      </c>
      <c r="BA39" s="28">
        <v>5.0</v>
      </c>
      <c r="BB39" s="28" t="s">
        <v>40</v>
      </c>
      <c r="BC39" s="28">
        <v>10.0</v>
      </c>
      <c r="BD39" s="5" t="s">
        <v>42</v>
      </c>
      <c r="BE39" s="5" t="s">
        <v>41</v>
      </c>
      <c r="BF39" s="5" t="s">
        <v>40</v>
      </c>
      <c r="BG39" s="5" t="s">
        <v>41</v>
      </c>
      <c r="BH39" s="5" t="s">
        <v>43</v>
      </c>
      <c r="BI39" s="2"/>
      <c r="BJ39" s="2"/>
      <c r="BK39" s="2"/>
      <c r="BL39" s="2"/>
      <c r="BM39" s="2"/>
      <c r="BN39" s="2"/>
      <c r="BO39" s="2"/>
      <c r="BP39" s="2"/>
      <c r="BQ39" s="2"/>
      <c r="BR39" s="2"/>
      <c r="BS39" s="2"/>
    </row>
    <row r="40">
      <c r="A40" s="6"/>
      <c r="B40" s="2"/>
      <c r="C40" s="2"/>
      <c r="D40" s="3">
        <v>39.0</v>
      </c>
      <c r="E40" s="3">
        <v>13250.0</v>
      </c>
      <c r="F40" s="3">
        <f t="shared" si="8"/>
        <v>72200</v>
      </c>
      <c r="G40" s="3">
        <f t="shared" si="9"/>
        <v>2570750</v>
      </c>
      <c r="H40" s="15">
        <f t="shared" ref="H40:I40" si="70">F40/$F$71</f>
        <v>0.0273179591</v>
      </c>
      <c r="I40" s="16">
        <f t="shared" si="70"/>
        <v>0.9726820409</v>
      </c>
      <c r="J40" s="2"/>
      <c r="K40" s="5">
        <v>17.0</v>
      </c>
      <c r="L40" s="49">
        <v>25.0</v>
      </c>
      <c r="M40" s="49">
        <v>50.0</v>
      </c>
      <c r="N40" s="49">
        <v>74.0</v>
      </c>
      <c r="O40" s="49">
        <v>99.0</v>
      </c>
      <c r="P40" s="49">
        <v>149.0</v>
      </c>
      <c r="Q40" s="49">
        <v>199.0</v>
      </c>
      <c r="R40" s="49">
        <v>299.0</v>
      </c>
      <c r="S40" s="49">
        <v>599.0</v>
      </c>
      <c r="T40" s="2"/>
      <c r="U40" s="2"/>
      <c r="V40" s="35">
        <f>IFERROR(__xludf.DUMMYFUNCTION("""COMPUTED_VALUE"""),42.0)</f>
        <v>42</v>
      </c>
      <c r="W40" s="35">
        <f>IFERROR(__xludf.DUMMYFUNCTION("""COMPUTED_VALUE"""),59.0)</f>
        <v>59</v>
      </c>
      <c r="X40" s="2"/>
      <c r="Y40" s="2"/>
      <c r="Z40" s="2"/>
      <c r="AA40" s="5">
        <v>39.0</v>
      </c>
      <c r="AB40" s="3">
        <v>19500.0</v>
      </c>
      <c r="AC40" s="3">
        <f t="shared" si="15"/>
        <v>350750</v>
      </c>
      <c r="AD40" s="3">
        <f t="shared" si="4"/>
        <v>837000</v>
      </c>
      <c r="AE40" s="3">
        <v>23400.0</v>
      </c>
      <c r="AF40" s="3">
        <f t="shared" si="16"/>
        <v>424850</v>
      </c>
      <c r="AG40" s="3">
        <f t="shared" si="5"/>
        <v>1004360</v>
      </c>
      <c r="AH40" s="3">
        <v>29290.0</v>
      </c>
      <c r="AI40" s="3">
        <f t="shared" si="17"/>
        <v>536620</v>
      </c>
      <c r="AJ40" s="3">
        <f t="shared" si="6"/>
        <v>1256140</v>
      </c>
      <c r="AK40" s="2"/>
      <c r="AL40" s="5">
        <v>39.0</v>
      </c>
      <c r="AM40" s="3">
        <v>3520.0</v>
      </c>
      <c r="AN40" s="3">
        <f t="shared" si="18"/>
        <v>46580</v>
      </c>
      <c r="AO40" s="5">
        <f t="shared" si="12"/>
        <v>218320</v>
      </c>
      <c r="AP40" s="5">
        <f t="shared" si="7"/>
        <v>232900</v>
      </c>
      <c r="AQ40" s="35">
        <f>IFERROR(__xludf.DUMMYFUNCTION("""COMPUTED_VALUE"""),40.0)</f>
        <v>40</v>
      </c>
      <c r="AR40" s="2"/>
      <c r="AS40" s="2"/>
      <c r="AT40" s="35"/>
      <c r="AV40" s="35"/>
      <c r="AW40" s="33" t="s">
        <v>143</v>
      </c>
      <c r="AX40" s="28" t="s">
        <v>99</v>
      </c>
      <c r="AY40" s="28">
        <v>10.0</v>
      </c>
      <c r="AZ40" s="28" t="s">
        <v>41</v>
      </c>
      <c r="BA40" s="28">
        <v>5.0</v>
      </c>
      <c r="BB40" s="28" t="s">
        <v>40</v>
      </c>
      <c r="BC40" s="28">
        <v>10.0</v>
      </c>
      <c r="BD40" s="5" t="s">
        <v>42</v>
      </c>
      <c r="BE40" s="5" t="s">
        <v>41</v>
      </c>
      <c r="BF40" s="5" t="s">
        <v>40</v>
      </c>
      <c r="BG40" s="5" t="s">
        <v>41</v>
      </c>
      <c r="BH40" s="5" t="s">
        <v>43</v>
      </c>
      <c r="BI40" s="2"/>
      <c r="BJ40" s="2"/>
      <c r="BK40" s="2"/>
      <c r="BL40" s="2"/>
      <c r="BM40" s="2"/>
      <c r="BN40" s="2"/>
      <c r="BO40" s="2"/>
      <c r="BP40" s="2"/>
      <c r="BQ40" s="2"/>
      <c r="BR40" s="2"/>
      <c r="BS40" s="2"/>
    </row>
    <row r="41">
      <c r="A41" s="6"/>
      <c r="B41" s="2"/>
      <c r="C41" s="2"/>
      <c r="D41" s="3">
        <v>40.0</v>
      </c>
      <c r="E41" s="3">
        <v>15250.0</v>
      </c>
      <c r="F41" s="3">
        <f t="shared" si="8"/>
        <v>85450</v>
      </c>
      <c r="G41" s="3">
        <f t="shared" si="9"/>
        <v>2557500</v>
      </c>
      <c r="H41" s="15">
        <f t="shared" ref="H41:I41" si="71">F41/$F$71</f>
        <v>0.03233129647</v>
      </c>
      <c r="I41" s="16">
        <f t="shared" si="71"/>
        <v>0.9676687035</v>
      </c>
      <c r="J41" s="2"/>
      <c r="K41" s="5">
        <v>18.0</v>
      </c>
      <c r="L41" s="49">
        <v>25.0</v>
      </c>
      <c r="M41" s="49">
        <v>50.0</v>
      </c>
      <c r="N41" s="49">
        <v>74.0</v>
      </c>
      <c r="O41" s="49">
        <v>99.0</v>
      </c>
      <c r="P41" s="49">
        <v>149.0</v>
      </c>
      <c r="Q41" s="49">
        <v>199.0</v>
      </c>
      <c r="R41" s="49">
        <v>299.0</v>
      </c>
      <c r="S41" s="49">
        <v>599.0</v>
      </c>
      <c r="T41" s="2"/>
      <c r="U41" s="2"/>
      <c r="V41" s="35">
        <f>IFERROR(__xludf.DUMMYFUNCTION("""COMPUTED_VALUE"""),43.0)</f>
        <v>43</v>
      </c>
      <c r="W41" s="2">
        <f>IFERROR(__xludf.DUMMYFUNCTION("""COMPUTED_VALUE"""),60.0)</f>
        <v>60</v>
      </c>
      <c r="X41" s="2"/>
      <c r="Y41" s="2"/>
      <c r="Z41" s="2"/>
      <c r="AA41" s="5">
        <v>40.0</v>
      </c>
      <c r="AB41" s="3">
        <v>20000.0</v>
      </c>
      <c r="AC41" s="3">
        <f t="shared" si="15"/>
        <v>370250</v>
      </c>
      <c r="AD41" s="3">
        <f t="shared" si="4"/>
        <v>817500</v>
      </c>
      <c r="AE41" s="3">
        <v>24000.0</v>
      </c>
      <c r="AF41" s="3">
        <f t="shared" si="16"/>
        <v>448250</v>
      </c>
      <c r="AG41" s="3">
        <f t="shared" si="5"/>
        <v>980960</v>
      </c>
      <c r="AH41" s="3">
        <v>30000.0</v>
      </c>
      <c r="AI41" s="3">
        <f t="shared" si="17"/>
        <v>565910</v>
      </c>
      <c r="AJ41" s="3">
        <f t="shared" si="6"/>
        <v>1226850</v>
      </c>
      <c r="AK41" s="2"/>
      <c r="AL41" s="5">
        <v>40.0</v>
      </c>
      <c r="AM41" s="3">
        <v>4000.0</v>
      </c>
      <c r="AN41" s="3">
        <f t="shared" si="18"/>
        <v>50100</v>
      </c>
      <c r="AO41" s="5">
        <f t="shared" si="12"/>
        <v>214800</v>
      </c>
      <c r="AP41" s="5">
        <f t="shared" si="7"/>
        <v>250500</v>
      </c>
      <c r="AQ41" s="35">
        <f>IFERROR(__xludf.DUMMYFUNCTION("""COMPUTED_VALUE"""),41.0)</f>
        <v>41</v>
      </c>
      <c r="AR41" s="2"/>
      <c r="AS41" s="2"/>
      <c r="AT41" s="35"/>
      <c r="AV41" s="35"/>
      <c r="AW41" s="31" t="s">
        <v>144</v>
      </c>
      <c r="AX41" s="27" t="s">
        <v>39</v>
      </c>
      <c r="AY41" s="27">
        <v>5.0</v>
      </c>
      <c r="AZ41" s="27" t="s">
        <v>41</v>
      </c>
      <c r="BA41" s="28">
        <v>4.0</v>
      </c>
      <c r="BB41" s="28" t="s">
        <v>41</v>
      </c>
      <c r="BC41" s="28">
        <v>8.0</v>
      </c>
      <c r="BD41" s="5" t="s">
        <v>42</v>
      </c>
      <c r="BE41" s="5" t="s">
        <v>41</v>
      </c>
      <c r="BF41" s="5" t="s">
        <v>40</v>
      </c>
      <c r="BG41" s="5" t="s">
        <v>41</v>
      </c>
      <c r="BH41" s="5" t="s">
        <v>43</v>
      </c>
      <c r="BI41" s="2"/>
      <c r="BJ41" s="2"/>
      <c r="BK41" s="2"/>
      <c r="BL41" s="2"/>
      <c r="BM41" s="2"/>
      <c r="BN41" s="2"/>
      <c r="BO41" s="2"/>
      <c r="BP41" s="2"/>
      <c r="BQ41" s="2"/>
      <c r="BR41" s="2"/>
      <c r="BS41" s="2"/>
    </row>
    <row r="42">
      <c r="A42" s="6"/>
      <c r="B42" s="2"/>
      <c r="C42" s="2"/>
      <c r="D42" s="3">
        <v>41.0</v>
      </c>
      <c r="E42" s="3">
        <v>17250.0</v>
      </c>
      <c r="F42" s="3">
        <f t="shared" si="8"/>
        <v>100700</v>
      </c>
      <c r="G42" s="3">
        <f t="shared" si="9"/>
        <v>2542250</v>
      </c>
      <c r="H42" s="15">
        <f t="shared" ref="H42:I42" si="72">F42/$F$71</f>
        <v>0.03810136401</v>
      </c>
      <c r="I42" s="16">
        <f t="shared" si="72"/>
        <v>0.961898636</v>
      </c>
      <c r="J42" s="2"/>
      <c r="K42" s="5">
        <v>19.0</v>
      </c>
      <c r="L42" s="49">
        <v>25.0</v>
      </c>
      <c r="M42" s="49">
        <v>50.0</v>
      </c>
      <c r="N42" s="49">
        <v>74.0</v>
      </c>
      <c r="O42" s="49">
        <v>99.0</v>
      </c>
      <c r="P42" s="49">
        <v>149.0</v>
      </c>
      <c r="Q42" s="49">
        <v>199.0</v>
      </c>
      <c r="R42" s="49">
        <v>299.0</v>
      </c>
      <c r="S42" s="49">
        <v>599.0</v>
      </c>
      <c r="T42" s="2"/>
      <c r="U42" s="2"/>
      <c r="V42" s="35">
        <f>IFERROR(__xludf.DUMMYFUNCTION("""COMPUTED_VALUE"""),44.0)</f>
        <v>44</v>
      </c>
      <c r="W42" s="35">
        <f>IFERROR(__xludf.DUMMYFUNCTION("""COMPUTED_VALUE"""),61.0)</f>
        <v>61</v>
      </c>
      <c r="X42" s="2"/>
      <c r="Y42" s="2"/>
      <c r="Z42" s="2"/>
      <c r="AA42" s="5">
        <v>41.0</v>
      </c>
      <c r="AB42" s="3">
        <v>20500.0</v>
      </c>
      <c r="AC42" s="3">
        <f t="shared" si="15"/>
        <v>390250</v>
      </c>
      <c r="AD42" s="3">
        <f t="shared" si="4"/>
        <v>797500</v>
      </c>
      <c r="AE42" s="3">
        <v>24600.0</v>
      </c>
      <c r="AF42" s="3">
        <f t="shared" si="16"/>
        <v>472250</v>
      </c>
      <c r="AG42" s="3">
        <f t="shared" si="5"/>
        <v>956960</v>
      </c>
      <c r="AH42" s="3">
        <v>30790.0</v>
      </c>
      <c r="AI42" s="3">
        <f t="shared" si="17"/>
        <v>595910</v>
      </c>
      <c r="AJ42" s="3">
        <f t="shared" si="6"/>
        <v>1196850</v>
      </c>
      <c r="AK42" s="2"/>
      <c r="AL42" s="5">
        <v>41.0</v>
      </c>
      <c r="AM42" s="3">
        <v>4180.0</v>
      </c>
      <c r="AN42" s="3">
        <f t="shared" si="18"/>
        <v>54100</v>
      </c>
      <c r="AO42" s="5">
        <f t="shared" si="12"/>
        <v>210800</v>
      </c>
      <c r="AP42" s="5">
        <f t="shared" si="7"/>
        <v>270500</v>
      </c>
      <c r="AQ42" s="35">
        <f>IFERROR(__xludf.DUMMYFUNCTION("""COMPUTED_VALUE"""),42.0)</f>
        <v>42</v>
      </c>
      <c r="AR42" s="2"/>
      <c r="AS42" s="2"/>
      <c r="AT42" s="35"/>
      <c r="AV42" s="35"/>
      <c r="AW42" s="50" t="s">
        <v>145</v>
      </c>
      <c r="AX42" s="28" t="s">
        <v>39</v>
      </c>
      <c r="AY42" s="28">
        <v>10.0</v>
      </c>
      <c r="AZ42" s="28" t="s">
        <v>41</v>
      </c>
      <c r="BA42" s="28">
        <v>6.0</v>
      </c>
      <c r="BB42" s="28" t="s">
        <v>41</v>
      </c>
      <c r="BC42" s="28">
        <v>12.0</v>
      </c>
      <c r="BD42" s="5" t="s">
        <v>42</v>
      </c>
      <c r="BE42" s="5" t="s">
        <v>41</v>
      </c>
      <c r="BF42" s="5" t="s">
        <v>40</v>
      </c>
      <c r="BG42" s="5" t="s">
        <v>41</v>
      </c>
      <c r="BH42" s="5" t="s">
        <v>43</v>
      </c>
      <c r="BI42" s="2"/>
      <c r="BJ42" s="2"/>
      <c r="BK42" s="2"/>
      <c r="BL42" s="2"/>
      <c r="BM42" s="2"/>
      <c r="BN42" s="2"/>
      <c r="BO42" s="2"/>
      <c r="BP42" s="2"/>
      <c r="BQ42" s="2"/>
      <c r="BR42" s="2"/>
      <c r="BS42" s="2"/>
    </row>
    <row r="43">
      <c r="A43" s="6"/>
      <c r="B43" s="2"/>
      <c r="C43" s="2"/>
      <c r="D43" s="3">
        <v>42.0</v>
      </c>
      <c r="E43" s="3">
        <v>19250.0</v>
      </c>
      <c r="F43" s="3">
        <f t="shared" si="8"/>
        <v>117950</v>
      </c>
      <c r="G43" s="3">
        <f t="shared" si="9"/>
        <v>2525000</v>
      </c>
      <c r="H43" s="15">
        <f t="shared" ref="H43:I43" si="73">F43/$F$71</f>
        <v>0.04462816171</v>
      </c>
      <c r="I43" s="16">
        <f t="shared" si="73"/>
        <v>0.9553718383</v>
      </c>
      <c r="J43" s="2"/>
      <c r="K43" s="44">
        <v>20.0</v>
      </c>
      <c r="L43" s="51">
        <v>25.0</v>
      </c>
      <c r="M43" s="51">
        <v>50.0</v>
      </c>
      <c r="N43" s="51">
        <v>74.0</v>
      </c>
      <c r="O43" s="51">
        <v>99.0</v>
      </c>
      <c r="P43" s="51">
        <v>149.0</v>
      </c>
      <c r="Q43" s="51">
        <v>199.0</v>
      </c>
      <c r="R43" s="51">
        <v>299.0</v>
      </c>
      <c r="S43" s="51">
        <v>599.0</v>
      </c>
      <c r="T43" s="2"/>
      <c r="U43" s="2"/>
      <c r="V43" s="35">
        <f>IFERROR(__xludf.DUMMYFUNCTION("""COMPUTED_VALUE"""),45.0)</f>
        <v>45</v>
      </c>
      <c r="W43" s="2">
        <f>IFERROR(__xludf.DUMMYFUNCTION("""COMPUTED_VALUE"""),62.0)</f>
        <v>62</v>
      </c>
      <c r="X43" s="2"/>
      <c r="Y43" s="2"/>
      <c r="Z43" s="2"/>
      <c r="AA43" s="5">
        <v>42.0</v>
      </c>
      <c r="AB43" s="3">
        <v>21000.0</v>
      </c>
      <c r="AC43" s="3">
        <f t="shared" si="15"/>
        <v>410750</v>
      </c>
      <c r="AD43" s="3">
        <f t="shared" si="4"/>
        <v>777000</v>
      </c>
      <c r="AE43" s="3">
        <v>25200.0</v>
      </c>
      <c r="AF43" s="3">
        <f t="shared" si="16"/>
        <v>496850</v>
      </c>
      <c r="AG43" s="3">
        <f t="shared" si="5"/>
        <v>932360</v>
      </c>
      <c r="AH43" s="3">
        <v>31500.0</v>
      </c>
      <c r="AI43" s="3">
        <f t="shared" si="17"/>
        <v>626700</v>
      </c>
      <c r="AJ43" s="3">
        <f t="shared" si="6"/>
        <v>1166060</v>
      </c>
      <c r="AK43" s="2"/>
      <c r="AL43" s="5">
        <v>42.0</v>
      </c>
      <c r="AM43" s="3">
        <v>4360.0</v>
      </c>
      <c r="AN43" s="3">
        <f t="shared" si="18"/>
        <v>58280</v>
      </c>
      <c r="AO43" s="5">
        <f t="shared" si="12"/>
        <v>206620</v>
      </c>
      <c r="AP43" s="5">
        <f t="shared" si="7"/>
        <v>291400</v>
      </c>
      <c r="AQ43" s="35">
        <f>IFERROR(__xludf.DUMMYFUNCTION("""COMPUTED_VALUE"""),43.0)</f>
        <v>43</v>
      </c>
      <c r="AR43" s="2"/>
      <c r="AS43" s="2"/>
      <c r="AT43" s="35"/>
      <c r="AV43" s="35"/>
      <c r="AW43" s="36" t="s">
        <v>146</v>
      </c>
      <c r="AX43" s="27" t="s">
        <v>39</v>
      </c>
      <c r="AY43" s="27">
        <v>10.0</v>
      </c>
      <c r="AZ43" s="27" t="s">
        <v>41</v>
      </c>
      <c r="BA43" s="28">
        <v>5.0</v>
      </c>
      <c r="BB43" s="28" t="s">
        <v>41</v>
      </c>
      <c r="BC43" s="28">
        <v>10.0</v>
      </c>
      <c r="BD43" s="5" t="s">
        <v>42</v>
      </c>
      <c r="BE43" s="5" t="s">
        <v>41</v>
      </c>
      <c r="BF43" s="5" t="s">
        <v>40</v>
      </c>
      <c r="BG43" s="5" t="s">
        <v>41</v>
      </c>
      <c r="BH43" s="5" t="s">
        <v>43</v>
      </c>
      <c r="BI43" s="2"/>
      <c r="BJ43" s="2"/>
      <c r="BK43" s="2"/>
      <c r="BL43" s="2"/>
      <c r="BM43" s="2"/>
      <c r="BN43" s="2"/>
      <c r="BO43" s="2"/>
      <c r="BP43" s="2"/>
      <c r="BQ43" s="2"/>
      <c r="BR43" s="2"/>
      <c r="BS43" s="2"/>
    </row>
    <row r="44">
      <c r="A44" s="6"/>
      <c r="B44" s="2"/>
      <c r="C44" s="2"/>
      <c r="D44" s="3">
        <v>43.0</v>
      </c>
      <c r="E44" s="3">
        <v>21250.0</v>
      </c>
      <c r="F44" s="3">
        <f t="shared" si="8"/>
        <v>137200</v>
      </c>
      <c r="G44" s="3">
        <f t="shared" si="9"/>
        <v>2505750</v>
      </c>
      <c r="H44" s="15">
        <f t="shared" ref="H44:I44" si="74">F44/$F$71</f>
        <v>0.05191168959</v>
      </c>
      <c r="I44" s="16">
        <f t="shared" si="74"/>
        <v>0.9480883104</v>
      </c>
      <c r="J44" s="2"/>
      <c r="K44" s="47">
        <v>0.0</v>
      </c>
      <c r="L44" s="47">
        <v>260.0</v>
      </c>
      <c r="M44" s="47">
        <v>500.0</v>
      </c>
      <c r="N44" s="47">
        <v>715.0</v>
      </c>
      <c r="O44" s="47">
        <v>950.0</v>
      </c>
      <c r="P44" s="47">
        <v>1355.0</v>
      </c>
      <c r="Q44" s="47">
        <v>1715.0</v>
      </c>
      <c r="R44" s="47">
        <v>2445.0</v>
      </c>
      <c r="S44" s="47">
        <v>4645.0</v>
      </c>
      <c r="T44" s="2"/>
      <c r="U44" s="2"/>
      <c r="V44" s="35">
        <f>IFERROR(__xludf.DUMMYFUNCTION("""COMPUTED_VALUE"""),46.0)</f>
        <v>46</v>
      </c>
      <c r="W44" s="35">
        <f>IFERROR(__xludf.DUMMYFUNCTION("""COMPUTED_VALUE"""),63.0)</f>
        <v>63</v>
      </c>
      <c r="X44" s="2"/>
      <c r="Y44" s="2"/>
      <c r="Z44" s="2"/>
      <c r="AA44" s="5">
        <v>43.0</v>
      </c>
      <c r="AB44" s="3">
        <v>21500.0</v>
      </c>
      <c r="AC44" s="3">
        <f t="shared" si="15"/>
        <v>431750</v>
      </c>
      <c r="AD44" s="3">
        <f t="shared" si="4"/>
        <v>756000</v>
      </c>
      <c r="AE44" s="3">
        <v>25800.0</v>
      </c>
      <c r="AF44" s="3">
        <f t="shared" si="16"/>
        <v>522050</v>
      </c>
      <c r="AG44" s="3">
        <f t="shared" si="5"/>
        <v>907160</v>
      </c>
      <c r="AH44" s="3">
        <v>32290.0</v>
      </c>
      <c r="AI44" s="3">
        <f t="shared" si="17"/>
        <v>658200</v>
      </c>
      <c r="AJ44" s="3">
        <f t="shared" si="6"/>
        <v>1134560</v>
      </c>
      <c r="AK44" s="2"/>
      <c r="AL44" s="5">
        <v>43.0</v>
      </c>
      <c r="AM44" s="3">
        <v>4560.0</v>
      </c>
      <c r="AN44" s="3">
        <f t="shared" si="18"/>
        <v>62640</v>
      </c>
      <c r="AO44" s="5">
        <f t="shared" si="12"/>
        <v>202260</v>
      </c>
      <c r="AP44" s="5">
        <f t="shared" si="7"/>
        <v>313200</v>
      </c>
      <c r="AQ44" s="35">
        <f>IFERROR(__xludf.DUMMYFUNCTION("""COMPUTED_VALUE"""),44.0)</f>
        <v>44</v>
      </c>
      <c r="AR44" s="2"/>
      <c r="AS44" s="2"/>
      <c r="AT44" s="35"/>
      <c r="AV44" s="35"/>
      <c r="AW44" s="31" t="s">
        <v>147</v>
      </c>
      <c r="AX44" s="27" t="s">
        <v>70</v>
      </c>
      <c r="AY44" s="27">
        <v>5.0</v>
      </c>
      <c r="AZ44" s="28" t="s">
        <v>40</v>
      </c>
      <c r="BA44" s="28">
        <v>4.0</v>
      </c>
      <c r="BB44" s="28" t="s">
        <v>41</v>
      </c>
      <c r="BC44" s="28">
        <v>8.0</v>
      </c>
      <c r="BD44" s="5" t="s">
        <v>42</v>
      </c>
      <c r="BE44" s="5" t="s">
        <v>41</v>
      </c>
      <c r="BF44" s="5" t="s">
        <v>40</v>
      </c>
      <c r="BG44" s="5" t="s">
        <v>41</v>
      </c>
      <c r="BH44" s="5" t="s">
        <v>43</v>
      </c>
      <c r="BI44" s="2"/>
      <c r="BJ44" s="2"/>
      <c r="BK44" s="2"/>
      <c r="BL44" s="2"/>
      <c r="BM44" s="2"/>
      <c r="BN44" s="2"/>
      <c r="BO44" s="2"/>
      <c r="BP44" s="2"/>
      <c r="BQ44" s="2"/>
      <c r="BR44" s="2"/>
      <c r="BS44" s="2"/>
    </row>
    <row r="45">
      <c r="A45" s="6"/>
      <c r="B45" s="2"/>
      <c r="C45" s="2"/>
      <c r="D45" s="3">
        <v>44.0</v>
      </c>
      <c r="E45" s="3">
        <v>23250.0</v>
      </c>
      <c r="F45" s="3">
        <f t="shared" si="8"/>
        <v>158450</v>
      </c>
      <c r="G45" s="3">
        <f t="shared" si="9"/>
        <v>2484500</v>
      </c>
      <c r="H45" s="15">
        <f t="shared" ref="H45:I45" si="75">F45/$F$71</f>
        <v>0.05995194763</v>
      </c>
      <c r="I45" s="16">
        <f t="shared" si="75"/>
        <v>0.9400480524</v>
      </c>
      <c r="J45" s="2"/>
      <c r="K45" s="5">
        <v>1.0</v>
      </c>
      <c r="L45" s="5">
        <f t="shared" ref="L45:Q45" si="76">MULTIPLY(L44,1)</f>
        <v>260</v>
      </c>
      <c r="M45" s="5">
        <f t="shared" si="76"/>
        <v>500</v>
      </c>
      <c r="N45" s="5">
        <f t="shared" si="76"/>
        <v>715</v>
      </c>
      <c r="O45" s="5">
        <f t="shared" si="76"/>
        <v>950</v>
      </c>
      <c r="P45" s="5">
        <f t="shared" si="76"/>
        <v>1355</v>
      </c>
      <c r="Q45" s="5">
        <f t="shared" si="76"/>
        <v>1715</v>
      </c>
      <c r="R45" s="5">
        <v>2445.0</v>
      </c>
      <c r="S45" s="5">
        <f>MULTIPLY(S44,1)</f>
        <v>4645</v>
      </c>
      <c r="T45" s="2"/>
      <c r="U45" s="2"/>
      <c r="V45" s="35">
        <f>IFERROR(__xludf.DUMMYFUNCTION("""COMPUTED_VALUE"""),47.0)</f>
        <v>47</v>
      </c>
      <c r="W45" s="2">
        <f>IFERROR(__xludf.DUMMYFUNCTION("""COMPUTED_VALUE"""),64.0)</f>
        <v>64</v>
      </c>
      <c r="X45" s="2"/>
      <c r="Y45" s="2"/>
      <c r="Z45" s="2"/>
      <c r="AA45" s="5">
        <v>44.0</v>
      </c>
      <c r="AB45" s="3">
        <v>22000.0</v>
      </c>
      <c r="AC45" s="3">
        <f t="shared" si="15"/>
        <v>453250</v>
      </c>
      <c r="AD45" s="3">
        <f t="shared" si="4"/>
        <v>734500</v>
      </c>
      <c r="AE45" s="3">
        <v>26400.0</v>
      </c>
      <c r="AF45" s="3">
        <f t="shared" si="16"/>
        <v>547850</v>
      </c>
      <c r="AG45" s="3">
        <f t="shared" si="5"/>
        <v>881360</v>
      </c>
      <c r="AH45" s="3">
        <v>33000.0</v>
      </c>
      <c r="AI45" s="3">
        <f t="shared" si="17"/>
        <v>690490</v>
      </c>
      <c r="AJ45" s="3">
        <f t="shared" si="6"/>
        <v>1102270</v>
      </c>
      <c r="AK45" s="2"/>
      <c r="AL45" s="5">
        <v>44.0</v>
      </c>
      <c r="AM45" s="3">
        <v>4760.0</v>
      </c>
      <c r="AN45" s="3">
        <f t="shared" si="18"/>
        <v>67200</v>
      </c>
      <c r="AO45" s="5">
        <f t="shared" si="12"/>
        <v>197700</v>
      </c>
      <c r="AP45" s="5">
        <f t="shared" si="7"/>
        <v>336000</v>
      </c>
      <c r="AQ45" s="35">
        <f>IFERROR(__xludf.DUMMYFUNCTION("""COMPUTED_VALUE"""),45.0)</f>
        <v>45</v>
      </c>
      <c r="AR45" s="2"/>
      <c r="AS45" s="2"/>
      <c r="AT45" s="35"/>
      <c r="AV45" s="35"/>
      <c r="AW45" s="31" t="s">
        <v>148</v>
      </c>
      <c r="AX45" s="27" t="s">
        <v>70</v>
      </c>
      <c r="AY45" s="27">
        <v>10.0</v>
      </c>
      <c r="AZ45" s="28" t="s">
        <v>40</v>
      </c>
      <c r="BA45" s="28">
        <v>5.0</v>
      </c>
      <c r="BB45" s="28" t="s">
        <v>41</v>
      </c>
      <c r="BC45" s="28">
        <v>10.0</v>
      </c>
      <c r="BD45" s="5" t="s">
        <v>42</v>
      </c>
      <c r="BE45" s="5" t="s">
        <v>41</v>
      </c>
      <c r="BF45" s="5" t="s">
        <v>40</v>
      </c>
      <c r="BG45" s="5" t="s">
        <v>41</v>
      </c>
      <c r="BH45" s="5" t="s">
        <v>43</v>
      </c>
      <c r="BI45" s="2"/>
      <c r="BJ45" s="2"/>
      <c r="BK45" s="2"/>
      <c r="BL45" s="2"/>
      <c r="BM45" s="2"/>
      <c r="BN45" s="2"/>
      <c r="BO45" s="2"/>
      <c r="BP45" s="2"/>
      <c r="BQ45" s="2"/>
      <c r="BR45" s="2"/>
      <c r="BS45" s="2"/>
    </row>
    <row r="46">
      <c r="A46" s="6"/>
      <c r="B46" s="2"/>
      <c r="C46" s="2"/>
      <c r="D46" s="3">
        <v>45.0</v>
      </c>
      <c r="E46" s="3">
        <v>25250.0</v>
      </c>
      <c r="F46" s="3">
        <f t="shared" si="8"/>
        <v>181700</v>
      </c>
      <c r="G46" s="3">
        <f t="shared" si="9"/>
        <v>2461250</v>
      </c>
      <c r="H46" s="15">
        <f t="shared" ref="H46:I46" si="77">F46/$F$71</f>
        <v>0.06874893585</v>
      </c>
      <c r="I46" s="16">
        <f t="shared" si="77"/>
        <v>0.9312510642</v>
      </c>
      <c r="J46" s="2"/>
      <c r="K46" s="5">
        <v>2.0</v>
      </c>
      <c r="L46" s="5">
        <f t="shared" ref="L46:S46" si="78">MULTIPLY(L44,1.05)</f>
        <v>273</v>
      </c>
      <c r="M46" s="5">
        <f t="shared" si="78"/>
        <v>525</v>
      </c>
      <c r="N46" s="5">
        <f t="shared" si="78"/>
        <v>750.75</v>
      </c>
      <c r="O46" s="5">
        <f t="shared" si="78"/>
        <v>997.5</v>
      </c>
      <c r="P46" s="5">
        <f t="shared" si="78"/>
        <v>1422.75</v>
      </c>
      <c r="Q46" s="5">
        <f t="shared" si="78"/>
        <v>1800.75</v>
      </c>
      <c r="R46" s="5">
        <f t="shared" si="78"/>
        <v>2567.25</v>
      </c>
      <c r="S46" s="5">
        <f t="shared" si="78"/>
        <v>4877.25</v>
      </c>
      <c r="T46" s="2"/>
      <c r="U46" s="2"/>
      <c r="V46" s="35">
        <f>IFERROR(__xludf.DUMMYFUNCTION("""COMPUTED_VALUE"""),48.0)</f>
        <v>48</v>
      </c>
      <c r="W46" s="35">
        <f>IFERROR(__xludf.DUMMYFUNCTION("""COMPUTED_VALUE"""),65.0)</f>
        <v>65</v>
      </c>
      <c r="X46" s="2"/>
      <c r="Y46" s="2"/>
      <c r="Z46" s="2"/>
      <c r="AA46" s="5">
        <v>45.0</v>
      </c>
      <c r="AB46" s="3">
        <v>22500.0</v>
      </c>
      <c r="AC46" s="3">
        <f t="shared" si="15"/>
        <v>475250</v>
      </c>
      <c r="AD46" s="3">
        <f t="shared" si="4"/>
        <v>712500</v>
      </c>
      <c r="AE46" s="3">
        <v>27000.0</v>
      </c>
      <c r="AF46" s="3">
        <f t="shared" si="16"/>
        <v>574250</v>
      </c>
      <c r="AG46" s="3">
        <f t="shared" si="5"/>
        <v>854960</v>
      </c>
      <c r="AH46" s="3">
        <v>33790.0</v>
      </c>
      <c r="AI46" s="3">
        <f t="shared" si="17"/>
        <v>723490</v>
      </c>
      <c r="AJ46" s="3">
        <f t="shared" si="6"/>
        <v>1069270</v>
      </c>
      <c r="AK46" s="2"/>
      <c r="AL46" s="5">
        <v>45.0</v>
      </c>
      <c r="AM46" s="3">
        <v>4940.0</v>
      </c>
      <c r="AN46" s="3">
        <f t="shared" si="18"/>
        <v>71960</v>
      </c>
      <c r="AO46" s="5">
        <f t="shared" si="12"/>
        <v>192940</v>
      </c>
      <c r="AP46" s="5">
        <f t="shared" si="7"/>
        <v>359800</v>
      </c>
      <c r="AQ46" s="35">
        <f>IFERROR(__xludf.DUMMYFUNCTION("""COMPUTED_VALUE"""),46.0)</f>
        <v>46</v>
      </c>
      <c r="AR46" s="2"/>
      <c r="AS46" s="2"/>
      <c r="AT46" s="35"/>
      <c r="AV46" s="35"/>
      <c r="AW46" s="31" t="s">
        <v>149</v>
      </c>
      <c r="AX46" s="27" t="s">
        <v>70</v>
      </c>
      <c r="AY46" s="27">
        <v>10.0</v>
      </c>
      <c r="AZ46" s="28" t="s">
        <v>40</v>
      </c>
      <c r="BA46" s="28">
        <v>5.0</v>
      </c>
      <c r="BB46" s="28" t="s">
        <v>41</v>
      </c>
      <c r="BC46" s="28">
        <v>10.0</v>
      </c>
      <c r="BD46" s="5" t="s">
        <v>42</v>
      </c>
      <c r="BE46" s="5" t="s">
        <v>41</v>
      </c>
      <c r="BF46" s="5" t="s">
        <v>40</v>
      </c>
      <c r="BG46" s="5" t="s">
        <v>41</v>
      </c>
      <c r="BH46" s="5" t="s">
        <v>43</v>
      </c>
      <c r="BI46" s="2"/>
      <c r="BJ46" s="2"/>
      <c r="BK46" s="2"/>
      <c r="BL46" s="2"/>
      <c r="BM46" s="2"/>
      <c r="BN46" s="2"/>
      <c r="BO46" s="2"/>
      <c r="BP46" s="2"/>
      <c r="BQ46" s="2"/>
      <c r="BR46" s="2"/>
      <c r="BS46" s="2"/>
    </row>
    <row r="47">
      <c r="A47" s="6"/>
      <c r="B47" s="2"/>
      <c r="C47" s="2"/>
      <c r="D47" s="3">
        <v>46.0</v>
      </c>
      <c r="E47" s="3">
        <v>27250.0</v>
      </c>
      <c r="F47" s="3">
        <f t="shared" si="8"/>
        <v>206950</v>
      </c>
      <c r="G47" s="3">
        <f t="shared" si="9"/>
        <v>2436000</v>
      </c>
      <c r="H47" s="15">
        <f t="shared" ref="H47:I47" si="79">F47/$F$71</f>
        <v>0.07830265423</v>
      </c>
      <c r="I47" s="16">
        <f t="shared" si="79"/>
        <v>0.9216973458</v>
      </c>
      <c r="J47" s="2"/>
      <c r="K47" s="5">
        <v>3.0</v>
      </c>
      <c r="L47" s="5">
        <f t="shared" ref="L47:S47" si="80">MULTIPLY(L44,1.05)</f>
        <v>273</v>
      </c>
      <c r="M47" s="5">
        <f t="shared" si="80"/>
        <v>525</v>
      </c>
      <c r="N47" s="5">
        <f t="shared" si="80"/>
        <v>750.75</v>
      </c>
      <c r="O47" s="5">
        <f t="shared" si="80"/>
        <v>997.5</v>
      </c>
      <c r="P47" s="5">
        <f t="shared" si="80"/>
        <v>1422.75</v>
      </c>
      <c r="Q47" s="5">
        <f t="shared" si="80"/>
        <v>1800.75</v>
      </c>
      <c r="R47" s="5">
        <f t="shared" si="80"/>
        <v>2567.25</v>
      </c>
      <c r="S47" s="5">
        <f t="shared" si="80"/>
        <v>4877.25</v>
      </c>
      <c r="T47" s="2"/>
      <c r="U47" s="2"/>
      <c r="V47" s="35">
        <f>IFERROR(__xludf.DUMMYFUNCTION("""COMPUTED_VALUE"""),49.0)</f>
        <v>49</v>
      </c>
      <c r="W47" s="2">
        <f>IFERROR(__xludf.DUMMYFUNCTION("""COMPUTED_VALUE"""),66.0)</f>
        <v>66</v>
      </c>
      <c r="X47" s="2"/>
      <c r="Y47" s="2"/>
      <c r="Z47" s="2"/>
      <c r="AA47" s="5">
        <v>46.0</v>
      </c>
      <c r="AB47" s="3">
        <v>23000.0</v>
      </c>
      <c r="AC47" s="3">
        <f t="shared" si="15"/>
        <v>497750</v>
      </c>
      <c r="AD47" s="3">
        <f t="shared" si="4"/>
        <v>690000</v>
      </c>
      <c r="AE47" s="3">
        <v>27600.0</v>
      </c>
      <c r="AF47" s="3">
        <f t="shared" si="16"/>
        <v>601250</v>
      </c>
      <c r="AG47" s="3">
        <f t="shared" si="5"/>
        <v>827960</v>
      </c>
      <c r="AH47" s="3">
        <v>34500.0</v>
      </c>
      <c r="AI47" s="3">
        <f t="shared" si="17"/>
        <v>757280</v>
      </c>
      <c r="AJ47" s="3">
        <f t="shared" si="6"/>
        <v>1035480</v>
      </c>
      <c r="AK47" s="2"/>
      <c r="AL47" s="5">
        <v>46.0</v>
      </c>
      <c r="AM47" s="3">
        <v>5160.0</v>
      </c>
      <c r="AN47" s="3">
        <f t="shared" si="18"/>
        <v>76900</v>
      </c>
      <c r="AO47" s="5">
        <f t="shared" si="12"/>
        <v>188000</v>
      </c>
      <c r="AP47" s="5">
        <f t="shared" si="7"/>
        <v>384500</v>
      </c>
      <c r="AQ47" s="35">
        <f>IFERROR(__xludf.DUMMYFUNCTION("""COMPUTED_VALUE"""),47.0)</f>
        <v>47</v>
      </c>
      <c r="AR47" s="2"/>
      <c r="AS47" s="2"/>
      <c r="AT47" s="35"/>
      <c r="AV47" s="35"/>
      <c r="AW47" s="31" t="s">
        <v>150</v>
      </c>
      <c r="AX47" s="39" t="s">
        <v>99</v>
      </c>
      <c r="AY47" s="40">
        <v>5.0</v>
      </c>
      <c r="AZ47" s="39" t="s">
        <v>41</v>
      </c>
      <c r="BA47" s="38">
        <v>4.0</v>
      </c>
      <c r="BB47" s="37" t="s">
        <v>41</v>
      </c>
      <c r="BC47" s="28">
        <v>8.0</v>
      </c>
      <c r="BD47" s="5" t="s">
        <v>42</v>
      </c>
      <c r="BE47" s="5" t="s">
        <v>41</v>
      </c>
      <c r="BF47" s="5" t="s">
        <v>40</v>
      </c>
      <c r="BG47" s="5" t="s">
        <v>41</v>
      </c>
      <c r="BH47" s="5" t="s">
        <v>43</v>
      </c>
      <c r="BI47" s="2"/>
      <c r="BJ47" s="2"/>
      <c r="BK47" s="2"/>
      <c r="BL47" s="2"/>
      <c r="BM47" s="2"/>
      <c r="BN47" s="2"/>
      <c r="BO47" s="2"/>
      <c r="BP47" s="2"/>
      <c r="BQ47" s="2"/>
      <c r="BR47" s="2"/>
      <c r="BS47" s="2"/>
    </row>
    <row r="48">
      <c r="A48" s="6"/>
      <c r="B48" s="2"/>
      <c r="C48" s="2"/>
      <c r="D48" s="3">
        <v>47.0</v>
      </c>
      <c r="E48" s="3">
        <v>29250.0</v>
      </c>
      <c r="F48" s="3">
        <f t="shared" si="8"/>
        <v>234200</v>
      </c>
      <c r="G48" s="3">
        <f t="shared" si="9"/>
        <v>2408750</v>
      </c>
      <c r="H48" s="15">
        <f t="shared" ref="H48:I48" si="81">F48/$F$71</f>
        <v>0.08861310278</v>
      </c>
      <c r="I48" s="16">
        <f t="shared" si="81"/>
        <v>0.9113868972</v>
      </c>
      <c r="J48" s="2"/>
      <c r="K48" s="5">
        <v>4.0</v>
      </c>
      <c r="L48" s="5">
        <f t="shared" ref="L48:S48" si="82">MULTIPLY(L44,1.1)</f>
        <v>286</v>
      </c>
      <c r="M48" s="5">
        <f t="shared" si="82"/>
        <v>550</v>
      </c>
      <c r="N48" s="5">
        <f t="shared" si="82"/>
        <v>786.5</v>
      </c>
      <c r="O48" s="5">
        <f t="shared" si="82"/>
        <v>1045</v>
      </c>
      <c r="P48" s="5">
        <f t="shared" si="82"/>
        <v>1490.5</v>
      </c>
      <c r="Q48" s="5">
        <f t="shared" si="82"/>
        <v>1886.5</v>
      </c>
      <c r="R48" s="5">
        <f t="shared" si="82"/>
        <v>2689.5</v>
      </c>
      <c r="S48" s="5">
        <f t="shared" si="82"/>
        <v>5109.5</v>
      </c>
      <c r="T48" s="2"/>
      <c r="U48" s="2"/>
      <c r="V48" s="35">
        <f>IFERROR(__xludf.DUMMYFUNCTION("""COMPUTED_VALUE"""),50.0)</f>
        <v>50</v>
      </c>
      <c r="W48" s="35">
        <f>IFERROR(__xludf.DUMMYFUNCTION("""COMPUTED_VALUE"""),67.0)</f>
        <v>67</v>
      </c>
      <c r="X48" s="2"/>
      <c r="Y48" s="2"/>
      <c r="Z48" s="2"/>
      <c r="AA48" s="5">
        <v>47.0</v>
      </c>
      <c r="AB48" s="3">
        <v>23500.0</v>
      </c>
      <c r="AC48" s="3">
        <f t="shared" si="15"/>
        <v>520750</v>
      </c>
      <c r="AD48" s="3">
        <f t="shared" si="4"/>
        <v>667000</v>
      </c>
      <c r="AE48" s="3">
        <v>28200.0</v>
      </c>
      <c r="AF48" s="3">
        <f t="shared" si="16"/>
        <v>628850</v>
      </c>
      <c r="AG48" s="3">
        <f t="shared" si="5"/>
        <v>800360</v>
      </c>
      <c r="AH48" s="3">
        <v>35290.0</v>
      </c>
      <c r="AI48" s="3">
        <f t="shared" si="17"/>
        <v>791780</v>
      </c>
      <c r="AJ48" s="3">
        <f t="shared" si="6"/>
        <v>1000980</v>
      </c>
      <c r="AK48" s="2"/>
      <c r="AL48" s="5">
        <v>47.0</v>
      </c>
      <c r="AM48" s="3">
        <v>5360.0</v>
      </c>
      <c r="AN48" s="3">
        <f t="shared" si="18"/>
        <v>82060</v>
      </c>
      <c r="AO48" s="5">
        <f t="shared" si="12"/>
        <v>182840</v>
      </c>
      <c r="AP48" s="5">
        <f t="shared" si="7"/>
        <v>410300</v>
      </c>
      <c r="AQ48" s="35">
        <f>IFERROR(__xludf.DUMMYFUNCTION("""COMPUTED_VALUE"""),48.0)</f>
        <v>48</v>
      </c>
      <c r="AR48" s="2"/>
      <c r="AS48" s="2"/>
      <c r="AT48" s="35"/>
      <c r="AV48" s="35"/>
      <c r="AW48" s="36" t="s">
        <v>151</v>
      </c>
      <c r="AX48" s="39" t="s">
        <v>99</v>
      </c>
      <c r="AY48" s="40">
        <v>10.0</v>
      </c>
      <c r="AZ48" s="39" t="s">
        <v>41</v>
      </c>
      <c r="BA48" s="38">
        <v>5.0</v>
      </c>
      <c r="BB48" s="37" t="s">
        <v>41</v>
      </c>
      <c r="BC48" s="28">
        <v>10.0</v>
      </c>
      <c r="BD48" s="5" t="s">
        <v>42</v>
      </c>
      <c r="BE48" s="5" t="s">
        <v>41</v>
      </c>
      <c r="BF48" s="5" t="s">
        <v>40</v>
      </c>
      <c r="BG48" s="5" t="s">
        <v>41</v>
      </c>
      <c r="BH48" s="5" t="s">
        <v>43</v>
      </c>
      <c r="BI48" s="2"/>
      <c r="BJ48" s="2"/>
      <c r="BK48" s="2"/>
      <c r="BL48" s="2"/>
      <c r="BM48" s="2"/>
      <c r="BN48" s="2"/>
      <c r="BO48" s="2"/>
      <c r="BP48" s="2"/>
      <c r="BQ48" s="2"/>
      <c r="BR48" s="2"/>
      <c r="BS48" s="2"/>
    </row>
    <row r="49">
      <c r="A49" s="6"/>
      <c r="B49" s="2"/>
      <c r="C49" s="2"/>
      <c r="D49" s="3">
        <v>48.0</v>
      </c>
      <c r="E49" s="3">
        <v>31250.0</v>
      </c>
      <c r="F49" s="3">
        <f t="shared" si="8"/>
        <v>263450</v>
      </c>
      <c r="G49" s="3">
        <f t="shared" si="9"/>
        <v>2379500</v>
      </c>
      <c r="H49" s="15">
        <f t="shared" ref="H49:I49" si="83">F49/$F$71</f>
        <v>0.0996802815</v>
      </c>
      <c r="I49" s="16">
        <f t="shared" si="83"/>
        <v>0.9003197185</v>
      </c>
      <c r="J49" s="2"/>
      <c r="K49" s="5">
        <v>5.0</v>
      </c>
      <c r="L49" s="5">
        <f t="shared" ref="L49:S49" si="84">MULTIPLY(L44,1.1)</f>
        <v>286</v>
      </c>
      <c r="M49" s="5">
        <f t="shared" si="84"/>
        <v>550</v>
      </c>
      <c r="N49" s="5">
        <f t="shared" si="84"/>
        <v>786.5</v>
      </c>
      <c r="O49" s="5">
        <f t="shared" si="84"/>
        <v>1045</v>
      </c>
      <c r="P49" s="5">
        <f t="shared" si="84"/>
        <v>1490.5</v>
      </c>
      <c r="Q49" s="5">
        <f t="shared" si="84"/>
        <v>1886.5</v>
      </c>
      <c r="R49" s="5">
        <f t="shared" si="84"/>
        <v>2689.5</v>
      </c>
      <c r="S49" s="5">
        <f t="shared" si="84"/>
        <v>5109.5</v>
      </c>
      <c r="T49" s="2"/>
      <c r="U49" s="2"/>
      <c r="V49" s="35">
        <f>IFERROR(__xludf.DUMMYFUNCTION("""COMPUTED_VALUE"""),51.0)</f>
        <v>51</v>
      </c>
      <c r="W49" s="2">
        <f>IFERROR(__xludf.DUMMYFUNCTION("""COMPUTED_VALUE"""),68.0)</f>
        <v>68</v>
      </c>
      <c r="X49" s="2"/>
      <c r="Y49" s="2"/>
      <c r="Z49" s="2"/>
      <c r="AA49" s="5">
        <v>48.0</v>
      </c>
      <c r="AB49" s="3">
        <v>24000.0</v>
      </c>
      <c r="AC49" s="3">
        <f t="shared" si="15"/>
        <v>544250</v>
      </c>
      <c r="AD49" s="3">
        <f t="shared" si="4"/>
        <v>643500</v>
      </c>
      <c r="AE49" s="3">
        <v>28800.0</v>
      </c>
      <c r="AF49" s="3">
        <f t="shared" si="16"/>
        <v>657050</v>
      </c>
      <c r="AG49" s="3">
        <f t="shared" si="5"/>
        <v>772160</v>
      </c>
      <c r="AH49" s="3">
        <v>36000.0</v>
      </c>
      <c r="AI49" s="3">
        <f t="shared" si="17"/>
        <v>827070</v>
      </c>
      <c r="AJ49" s="3">
        <f t="shared" si="6"/>
        <v>965690</v>
      </c>
      <c r="AK49" s="2"/>
      <c r="AL49" s="5">
        <v>48.0</v>
      </c>
      <c r="AM49" s="3">
        <v>5560.0</v>
      </c>
      <c r="AN49" s="3">
        <f t="shared" si="18"/>
        <v>87420</v>
      </c>
      <c r="AO49" s="5">
        <f t="shared" si="12"/>
        <v>177480</v>
      </c>
      <c r="AP49" s="5">
        <f t="shared" si="7"/>
        <v>437100</v>
      </c>
      <c r="AQ49" s="35">
        <f>IFERROR(__xludf.DUMMYFUNCTION("""COMPUTED_VALUE"""),49.0)</f>
        <v>49</v>
      </c>
      <c r="AR49" s="2"/>
      <c r="AS49" s="2"/>
      <c r="AT49" s="35"/>
      <c r="AV49" s="35"/>
      <c r="AW49" s="42" t="s">
        <v>152</v>
      </c>
      <c r="AX49" s="43" t="s">
        <v>99</v>
      </c>
      <c r="AY49" s="43">
        <v>10.0</v>
      </c>
      <c r="AZ49" s="43" t="s">
        <v>41</v>
      </c>
      <c r="BA49" s="43">
        <v>5.0</v>
      </c>
      <c r="BB49" s="43" t="s">
        <v>41</v>
      </c>
      <c r="BC49" s="43">
        <v>10.0</v>
      </c>
      <c r="BD49" s="5" t="s">
        <v>42</v>
      </c>
      <c r="BE49" s="5" t="s">
        <v>41</v>
      </c>
      <c r="BF49" s="5" t="s">
        <v>40</v>
      </c>
      <c r="BG49" s="5" t="s">
        <v>41</v>
      </c>
      <c r="BH49" s="5" t="s">
        <v>43</v>
      </c>
      <c r="BI49" s="2"/>
      <c r="BJ49" s="2"/>
      <c r="BK49" s="2"/>
      <c r="BL49" s="2"/>
      <c r="BM49" s="2"/>
      <c r="BN49" s="2"/>
      <c r="BO49" s="2"/>
      <c r="BP49" s="2"/>
      <c r="BQ49" s="2"/>
      <c r="BR49" s="2"/>
      <c r="BS49" s="2"/>
    </row>
    <row r="50">
      <c r="A50" s="6"/>
      <c r="B50" s="2"/>
      <c r="C50" s="2"/>
      <c r="D50" s="3">
        <v>49.0</v>
      </c>
      <c r="E50" s="3">
        <v>33250.0</v>
      </c>
      <c r="F50" s="3">
        <f t="shared" si="8"/>
        <v>294700</v>
      </c>
      <c r="G50" s="3">
        <f t="shared" si="9"/>
        <v>2348250</v>
      </c>
      <c r="H50" s="15">
        <f t="shared" ref="H50:I50" si="85">F50/$F$71</f>
        <v>0.1115041904</v>
      </c>
      <c r="I50" s="16">
        <f t="shared" si="85"/>
        <v>0.8884958096</v>
      </c>
      <c r="J50" s="2"/>
      <c r="K50" s="5">
        <v>6.0</v>
      </c>
      <c r="L50" s="5">
        <f t="shared" ref="L50:S50" si="86">MULTIPLY(L44,1.1)</f>
        <v>286</v>
      </c>
      <c r="M50" s="5">
        <f t="shared" si="86"/>
        <v>550</v>
      </c>
      <c r="N50" s="5">
        <f t="shared" si="86"/>
        <v>786.5</v>
      </c>
      <c r="O50" s="5">
        <f t="shared" si="86"/>
        <v>1045</v>
      </c>
      <c r="P50" s="5">
        <f t="shared" si="86"/>
        <v>1490.5</v>
      </c>
      <c r="Q50" s="5">
        <f t="shared" si="86"/>
        <v>1886.5</v>
      </c>
      <c r="R50" s="5">
        <f t="shared" si="86"/>
        <v>2689.5</v>
      </c>
      <c r="S50" s="5">
        <f t="shared" si="86"/>
        <v>5109.5</v>
      </c>
      <c r="T50" s="2"/>
      <c r="U50" s="2"/>
      <c r="V50" s="35">
        <f>IFERROR(__xludf.DUMMYFUNCTION("""COMPUTED_VALUE"""),52.0)</f>
        <v>52</v>
      </c>
      <c r="W50" s="35">
        <f>IFERROR(__xludf.DUMMYFUNCTION("""COMPUTED_VALUE"""),69.0)</f>
        <v>69</v>
      </c>
      <c r="X50" s="2"/>
      <c r="Y50" s="2"/>
      <c r="Z50" s="2"/>
      <c r="AA50" s="5">
        <v>49.0</v>
      </c>
      <c r="AB50" s="3">
        <v>24500.0</v>
      </c>
      <c r="AC50" s="3">
        <f t="shared" si="15"/>
        <v>568250</v>
      </c>
      <c r="AD50" s="3">
        <f t="shared" si="4"/>
        <v>619500</v>
      </c>
      <c r="AE50" s="3">
        <v>29400.0</v>
      </c>
      <c r="AF50" s="3">
        <f t="shared" si="16"/>
        <v>685850</v>
      </c>
      <c r="AG50" s="3">
        <f t="shared" si="5"/>
        <v>743360</v>
      </c>
      <c r="AH50" s="3">
        <v>36790.0</v>
      </c>
      <c r="AI50" s="3">
        <f t="shared" si="17"/>
        <v>863070</v>
      </c>
      <c r="AJ50" s="3">
        <f t="shared" si="6"/>
        <v>929690</v>
      </c>
      <c r="AK50" s="2"/>
      <c r="AL50" s="5">
        <v>49.0</v>
      </c>
      <c r="AM50" s="3">
        <v>5780.0</v>
      </c>
      <c r="AN50" s="3">
        <f t="shared" si="18"/>
        <v>92980</v>
      </c>
      <c r="AO50" s="5">
        <f t="shared" si="12"/>
        <v>171920</v>
      </c>
      <c r="AP50" s="5">
        <f t="shared" si="7"/>
        <v>464900</v>
      </c>
      <c r="AQ50" s="35">
        <f>IFERROR(__xludf.DUMMYFUNCTION("""COMPUTED_VALUE"""),50.0)</f>
        <v>50</v>
      </c>
      <c r="AR50" s="2"/>
      <c r="AS50" s="2"/>
      <c r="AT50" s="35"/>
      <c r="AV50" s="35"/>
      <c r="AW50" s="33" t="s">
        <v>153</v>
      </c>
      <c r="AX50" s="38" t="s">
        <v>63</v>
      </c>
      <c r="AY50" s="38">
        <v>10.0</v>
      </c>
      <c r="AZ50" s="38" t="s">
        <v>41</v>
      </c>
      <c r="BA50" s="38">
        <v>5.0</v>
      </c>
      <c r="BB50" s="38" t="s">
        <v>41</v>
      </c>
      <c r="BC50" s="28">
        <v>10.0</v>
      </c>
      <c r="BD50" s="5" t="s">
        <v>42</v>
      </c>
      <c r="BE50" s="5" t="s">
        <v>41</v>
      </c>
      <c r="BF50" s="5" t="s">
        <v>40</v>
      </c>
      <c r="BG50" s="5" t="s">
        <v>41</v>
      </c>
      <c r="BH50" s="5" t="s">
        <v>43</v>
      </c>
      <c r="BI50" s="2"/>
      <c r="BJ50" s="2"/>
      <c r="BK50" s="2"/>
      <c r="BL50" s="2"/>
      <c r="BM50" s="2"/>
      <c r="BN50" s="2"/>
      <c r="BO50" s="2"/>
      <c r="BP50" s="2"/>
      <c r="BQ50" s="2"/>
      <c r="BR50" s="2"/>
      <c r="BS50" s="2"/>
    </row>
    <row r="51">
      <c r="A51" s="6"/>
      <c r="B51" s="2"/>
      <c r="C51" s="2"/>
      <c r="D51" s="3">
        <v>50.0</v>
      </c>
      <c r="E51" s="3">
        <v>38250.0</v>
      </c>
      <c r="F51" s="3">
        <f t="shared" si="8"/>
        <v>327950</v>
      </c>
      <c r="G51" s="3">
        <f t="shared" si="9"/>
        <v>2315000</v>
      </c>
      <c r="H51" s="15">
        <f t="shared" ref="H51:I51" si="87">F51/$F$71</f>
        <v>0.1240848295</v>
      </c>
      <c r="I51" s="16">
        <f t="shared" si="87"/>
        <v>0.8759151705</v>
      </c>
      <c r="J51" s="2"/>
      <c r="K51" s="5">
        <v>7.0</v>
      </c>
      <c r="L51" s="5">
        <f t="shared" ref="L51:S51" si="88">MULTIPLY(L44,1.15)</f>
        <v>299</v>
      </c>
      <c r="M51" s="5">
        <f t="shared" si="88"/>
        <v>575</v>
      </c>
      <c r="N51" s="5">
        <f t="shared" si="88"/>
        <v>822.25</v>
      </c>
      <c r="O51" s="5">
        <f t="shared" si="88"/>
        <v>1092.5</v>
      </c>
      <c r="P51" s="5">
        <f t="shared" si="88"/>
        <v>1558.25</v>
      </c>
      <c r="Q51" s="5">
        <f t="shared" si="88"/>
        <v>1972.25</v>
      </c>
      <c r="R51" s="5">
        <f t="shared" si="88"/>
        <v>2811.75</v>
      </c>
      <c r="S51" s="5">
        <f t="shared" si="88"/>
        <v>5341.75</v>
      </c>
      <c r="T51" s="2"/>
      <c r="U51" s="2"/>
      <c r="V51" s="35">
        <f>IFERROR(__xludf.DUMMYFUNCTION("""COMPUTED_VALUE"""),53.0)</f>
        <v>53</v>
      </c>
      <c r="W51" s="2"/>
      <c r="X51" s="2"/>
      <c r="Y51" s="2"/>
      <c r="Z51" s="2"/>
      <c r="AA51" s="5">
        <v>50.0</v>
      </c>
      <c r="AB51" s="3">
        <v>25000.0</v>
      </c>
      <c r="AC51" s="3">
        <f t="shared" si="15"/>
        <v>592750</v>
      </c>
      <c r="AD51" s="3">
        <f t="shared" si="4"/>
        <v>595000</v>
      </c>
      <c r="AE51" s="3">
        <v>30000.0</v>
      </c>
      <c r="AF51" s="3">
        <f t="shared" si="16"/>
        <v>715250</v>
      </c>
      <c r="AG51" s="3">
        <f t="shared" si="5"/>
        <v>713960</v>
      </c>
      <c r="AH51" s="3">
        <v>37500.0</v>
      </c>
      <c r="AI51" s="3">
        <f t="shared" si="17"/>
        <v>899860</v>
      </c>
      <c r="AJ51" s="3">
        <f t="shared" si="6"/>
        <v>892900</v>
      </c>
      <c r="AK51" s="2"/>
      <c r="AL51" s="5">
        <v>50.0</v>
      </c>
      <c r="AM51" s="3">
        <v>6000.0</v>
      </c>
      <c r="AN51" s="3">
        <f t="shared" si="18"/>
        <v>98760</v>
      </c>
      <c r="AO51" s="5">
        <f t="shared" si="12"/>
        <v>166140</v>
      </c>
      <c r="AP51" s="5">
        <f t="shared" si="7"/>
        <v>493800</v>
      </c>
      <c r="AQ51" s="35">
        <f>IFERROR(__xludf.DUMMYFUNCTION("""COMPUTED_VALUE"""),51.0)</f>
        <v>51</v>
      </c>
      <c r="AR51" s="2"/>
      <c r="AS51" s="2"/>
      <c r="AT51" s="35"/>
      <c r="AV51" s="35"/>
      <c r="AW51" s="31" t="s">
        <v>154</v>
      </c>
      <c r="AX51" s="40" t="s">
        <v>99</v>
      </c>
      <c r="AY51" s="40">
        <v>5.0</v>
      </c>
      <c r="AZ51" s="40" t="s">
        <v>41</v>
      </c>
      <c r="BA51" s="40">
        <v>4.0</v>
      </c>
      <c r="BB51" s="40" t="s">
        <v>40</v>
      </c>
      <c r="BC51" s="27">
        <v>8.0</v>
      </c>
      <c r="BD51" s="5" t="s">
        <v>42</v>
      </c>
      <c r="BE51" s="5" t="s">
        <v>41</v>
      </c>
      <c r="BF51" s="5" t="s">
        <v>40</v>
      </c>
      <c r="BG51" s="5" t="s">
        <v>41</v>
      </c>
      <c r="BH51" s="5" t="s">
        <v>43</v>
      </c>
      <c r="BI51" s="2"/>
      <c r="BJ51" s="2"/>
      <c r="BK51" s="2"/>
      <c r="BL51" s="2"/>
      <c r="BM51" s="2"/>
      <c r="BN51" s="2"/>
      <c r="BO51" s="2"/>
      <c r="BP51" s="2"/>
      <c r="BQ51" s="2"/>
      <c r="BR51" s="2"/>
      <c r="BS51" s="2"/>
    </row>
    <row r="52">
      <c r="A52" s="6"/>
      <c r="B52" s="2"/>
      <c r="C52" s="2"/>
      <c r="D52" s="3">
        <v>51.0</v>
      </c>
      <c r="E52" s="3">
        <v>43250.0</v>
      </c>
      <c r="F52" s="3">
        <f t="shared" si="8"/>
        <v>366200</v>
      </c>
      <c r="G52" s="3">
        <f t="shared" si="9"/>
        <v>2276750</v>
      </c>
      <c r="H52" s="15">
        <f t="shared" ref="H52:I52" si="89">F52/$F$71</f>
        <v>0.1385572939</v>
      </c>
      <c r="I52" s="16">
        <f t="shared" si="89"/>
        <v>0.8614427061</v>
      </c>
      <c r="J52" s="2"/>
      <c r="K52" s="5">
        <v>8.0</v>
      </c>
      <c r="L52" s="5">
        <f t="shared" ref="L52:S52" si="90">MULTIPLY(L44,1.15)</f>
        <v>299</v>
      </c>
      <c r="M52" s="5">
        <f t="shared" si="90"/>
        <v>575</v>
      </c>
      <c r="N52" s="5">
        <f t="shared" si="90"/>
        <v>822.25</v>
      </c>
      <c r="O52" s="5">
        <f t="shared" si="90"/>
        <v>1092.5</v>
      </c>
      <c r="P52" s="5">
        <f t="shared" si="90"/>
        <v>1558.25</v>
      </c>
      <c r="Q52" s="5">
        <f t="shared" si="90"/>
        <v>1972.25</v>
      </c>
      <c r="R52" s="5">
        <f t="shared" si="90"/>
        <v>2811.75</v>
      </c>
      <c r="S52" s="5">
        <f t="shared" si="90"/>
        <v>5341.75</v>
      </c>
      <c r="T52" s="2"/>
      <c r="U52" s="2"/>
      <c r="V52" s="35">
        <f>IFERROR(__xludf.DUMMYFUNCTION("""COMPUTED_VALUE"""),54.0)</f>
        <v>54</v>
      </c>
      <c r="W52" s="2"/>
      <c r="X52" s="2"/>
      <c r="Y52" s="2"/>
      <c r="Z52" s="2"/>
      <c r="AA52" s="5">
        <v>51.0</v>
      </c>
      <c r="AB52" s="3">
        <v>25500.0</v>
      </c>
      <c r="AC52" s="3">
        <f t="shared" si="15"/>
        <v>617750</v>
      </c>
      <c r="AD52" s="3">
        <f t="shared" si="4"/>
        <v>570000</v>
      </c>
      <c r="AE52" s="3">
        <v>30600.0</v>
      </c>
      <c r="AF52" s="3">
        <f t="shared" si="16"/>
        <v>745250</v>
      </c>
      <c r="AG52" s="3">
        <f t="shared" si="5"/>
        <v>683960</v>
      </c>
      <c r="AH52" s="3">
        <v>38290.0</v>
      </c>
      <c r="AI52" s="3">
        <f t="shared" si="17"/>
        <v>937360</v>
      </c>
      <c r="AJ52" s="3">
        <f t="shared" si="6"/>
        <v>855400</v>
      </c>
      <c r="AK52" s="2"/>
      <c r="AL52" s="5">
        <v>51.0</v>
      </c>
      <c r="AM52" s="3">
        <v>6220.0</v>
      </c>
      <c r="AN52" s="3">
        <f t="shared" si="18"/>
        <v>104760</v>
      </c>
      <c r="AO52" s="5">
        <f t="shared" si="12"/>
        <v>160140</v>
      </c>
      <c r="AP52" s="5">
        <f t="shared" si="7"/>
        <v>523800</v>
      </c>
      <c r="AQ52" s="35">
        <f>IFERROR(__xludf.DUMMYFUNCTION("""COMPUTED_VALUE"""),52.0)</f>
        <v>52</v>
      </c>
      <c r="AR52" s="2"/>
      <c r="AS52" s="2"/>
      <c r="AT52" s="35"/>
      <c r="AV52" s="35"/>
      <c r="AW52" s="50" t="s">
        <v>155</v>
      </c>
      <c r="AX52" s="38" t="s">
        <v>99</v>
      </c>
      <c r="AY52" s="38">
        <v>10.0</v>
      </c>
      <c r="AZ52" s="38" t="s">
        <v>41</v>
      </c>
      <c r="BA52" s="38">
        <v>5.0</v>
      </c>
      <c r="BB52" s="38" t="s">
        <v>41</v>
      </c>
      <c r="BC52" s="38">
        <v>10.0</v>
      </c>
      <c r="BD52" s="5" t="s">
        <v>42</v>
      </c>
      <c r="BE52" s="5" t="s">
        <v>41</v>
      </c>
      <c r="BF52" s="5" t="s">
        <v>40</v>
      </c>
      <c r="BG52" s="5" t="s">
        <v>41</v>
      </c>
      <c r="BH52" s="5" t="s">
        <v>43</v>
      </c>
      <c r="BI52" s="2"/>
      <c r="BJ52" s="2"/>
      <c r="BK52" s="2"/>
      <c r="BL52" s="2"/>
      <c r="BM52" s="2"/>
      <c r="BN52" s="2"/>
      <c r="BO52" s="2"/>
      <c r="BP52" s="2"/>
      <c r="BQ52" s="2"/>
      <c r="BR52" s="2"/>
      <c r="BS52" s="2"/>
    </row>
    <row r="53">
      <c r="A53" s="6"/>
      <c r="B53" s="2"/>
      <c r="C53" s="2"/>
      <c r="D53" s="3">
        <v>52.0</v>
      </c>
      <c r="E53" s="3">
        <v>48250.0</v>
      </c>
      <c r="F53" s="3">
        <f t="shared" si="8"/>
        <v>409450</v>
      </c>
      <c r="G53" s="3">
        <f t="shared" si="9"/>
        <v>2233500</v>
      </c>
      <c r="H53" s="15">
        <f t="shared" ref="H53:I53" si="91">F53/$F$71</f>
        <v>0.1549215838</v>
      </c>
      <c r="I53" s="16">
        <f t="shared" si="91"/>
        <v>0.8450784162</v>
      </c>
      <c r="J53" s="2"/>
      <c r="K53" s="5">
        <v>9.0</v>
      </c>
      <c r="L53" s="5">
        <f t="shared" ref="L53:S53" si="92">MULTIPLY(L44,1.15)</f>
        <v>299</v>
      </c>
      <c r="M53" s="5">
        <f t="shared" si="92"/>
        <v>575</v>
      </c>
      <c r="N53" s="5">
        <f t="shared" si="92"/>
        <v>822.25</v>
      </c>
      <c r="O53" s="5">
        <f t="shared" si="92"/>
        <v>1092.5</v>
      </c>
      <c r="P53" s="5">
        <f t="shared" si="92"/>
        <v>1558.25</v>
      </c>
      <c r="Q53" s="5">
        <f t="shared" si="92"/>
        <v>1972.25</v>
      </c>
      <c r="R53" s="5">
        <f t="shared" si="92"/>
        <v>2811.75</v>
      </c>
      <c r="S53" s="5">
        <f t="shared" si="92"/>
        <v>5341.75</v>
      </c>
      <c r="T53" s="2"/>
      <c r="U53" s="2"/>
      <c r="V53" s="35">
        <f>IFERROR(__xludf.DUMMYFUNCTION("""COMPUTED_VALUE"""),55.0)</f>
        <v>55</v>
      </c>
      <c r="W53" s="2"/>
      <c r="X53" s="2"/>
      <c r="Y53" s="2"/>
      <c r="Z53" s="2"/>
      <c r="AA53" s="5">
        <v>52.0</v>
      </c>
      <c r="AB53" s="3">
        <v>26000.0</v>
      </c>
      <c r="AC53" s="3">
        <f t="shared" si="15"/>
        <v>643250</v>
      </c>
      <c r="AD53" s="3">
        <f t="shared" si="4"/>
        <v>544500</v>
      </c>
      <c r="AE53" s="3">
        <v>31200.0</v>
      </c>
      <c r="AF53" s="3">
        <f t="shared" si="16"/>
        <v>775850</v>
      </c>
      <c r="AG53" s="3">
        <f t="shared" si="5"/>
        <v>653360</v>
      </c>
      <c r="AH53" s="3">
        <v>39000.0</v>
      </c>
      <c r="AI53" s="3">
        <f t="shared" si="17"/>
        <v>975650</v>
      </c>
      <c r="AJ53" s="3">
        <f t="shared" si="6"/>
        <v>817110</v>
      </c>
      <c r="AK53" s="2"/>
      <c r="AL53" s="5">
        <v>52.0</v>
      </c>
      <c r="AM53" s="3">
        <v>6440.0</v>
      </c>
      <c r="AN53" s="3">
        <f t="shared" si="18"/>
        <v>110980</v>
      </c>
      <c r="AO53" s="5">
        <f t="shared" si="12"/>
        <v>153920</v>
      </c>
      <c r="AP53" s="5">
        <f t="shared" si="7"/>
        <v>554900</v>
      </c>
      <c r="AQ53" s="35">
        <f>IFERROR(__xludf.DUMMYFUNCTION("""COMPUTED_VALUE"""),53.0)</f>
        <v>53</v>
      </c>
      <c r="AR53" s="2"/>
      <c r="AS53" s="2"/>
      <c r="AT53" s="35"/>
      <c r="AV53" s="35"/>
      <c r="AW53" s="52" t="s">
        <v>156</v>
      </c>
      <c r="AX53" s="53" t="s">
        <v>99</v>
      </c>
      <c r="AY53" s="53">
        <v>10.0</v>
      </c>
      <c r="AZ53" s="38" t="s">
        <v>41</v>
      </c>
      <c r="BA53" s="38">
        <v>5.0</v>
      </c>
      <c r="BB53" s="38" t="s">
        <v>41</v>
      </c>
      <c r="BC53" s="38">
        <v>10.0</v>
      </c>
      <c r="BD53" s="5" t="s">
        <v>42</v>
      </c>
      <c r="BE53" s="5" t="s">
        <v>41</v>
      </c>
      <c r="BF53" s="5" t="s">
        <v>40</v>
      </c>
      <c r="BG53" s="5" t="s">
        <v>41</v>
      </c>
      <c r="BH53" s="5" t="s">
        <v>43</v>
      </c>
      <c r="BI53" s="2"/>
      <c r="BJ53" s="2"/>
      <c r="BK53" s="2"/>
      <c r="BL53" s="2"/>
      <c r="BM53" s="2"/>
      <c r="BN53" s="2"/>
      <c r="BO53" s="2"/>
      <c r="BP53" s="2"/>
      <c r="BQ53" s="2"/>
      <c r="BR53" s="2"/>
      <c r="BS53" s="2"/>
    </row>
    <row r="54">
      <c r="A54" s="6"/>
      <c r="B54" s="2"/>
      <c r="C54" s="2"/>
      <c r="D54" s="3">
        <v>53.0</v>
      </c>
      <c r="E54" s="3">
        <v>53250.0</v>
      </c>
      <c r="F54" s="3">
        <f t="shared" si="8"/>
        <v>457700</v>
      </c>
      <c r="G54" s="3">
        <f t="shared" si="9"/>
        <v>2185250</v>
      </c>
      <c r="H54" s="15">
        <f t="shared" ref="H54:I54" si="93">F54/$F$71</f>
        <v>0.1731776992</v>
      </c>
      <c r="I54" s="16">
        <f t="shared" si="93"/>
        <v>0.8268223008</v>
      </c>
      <c r="J54" s="2"/>
      <c r="K54" s="5">
        <v>10.0</v>
      </c>
      <c r="L54" s="5">
        <f t="shared" ref="L54:S54" si="94">MULTIPLY(L44,1.15)</f>
        <v>299</v>
      </c>
      <c r="M54" s="5">
        <f t="shared" si="94"/>
        <v>575</v>
      </c>
      <c r="N54" s="5">
        <f t="shared" si="94"/>
        <v>822.25</v>
      </c>
      <c r="O54" s="5">
        <f t="shared" si="94"/>
        <v>1092.5</v>
      </c>
      <c r="P54" s="5">
        <f t="shared" si="94"/>
        <v>1558.25</v>
      </c>
      <c r="Q54" s="5">
        <f t="shared" si="94"/>
        <v>1972.25</v>
      </c>
      <c r="R54" s="5">
        <f t="shared" si="94"/>
        <v>2811.75</v>
      </c>
      <c r="S54" s="5">
        <f t="shared" si="94"/>
        <v>5341.75</v>
      </c>
      <c r="T54" s="2"/>
      <c r="U54" s="2"/>
      <c r="V54" s="35">
        <f>IFERROR(__xludf.DUMMYFUNCTION("""COMPUTED_VALUE"""),56.0)</f>
        <v>56</v>
      </c>
      <c r="W54" s="2"/>
      <c r="X54" s="2"/>
      <c r="Y54" s="2"/>
      <c r="Z54" s="2"/>
      <c r="AA54" s="5">
        <v>53.0</v>
      </c>
      <c r="AB54" s="3">
        <v>26500.0</v>
      </c>
      <c r="AC54" s="3">
        <f t="shared" si="15"/>
        <v>669250</v>
      </c>
      <c r="AD54" s="3">
        <f t="shared" si="4"/>
        <v>518500</v>
      </c>
      <c r="AE54" s="3">
        <v>31800.0</v>
      </c>
      <c r="AF54" s="3">
        <f t="shared" si="16"/>
        <v>807050</v>
      </c>
      <c r="AG54" s="3">
        <f t="shared" si="5"/>
        <v>622160</v>
      </c>
      <c r="AH54" s="3">
        <v>39790.0</v>
      </c>
      <c r="AI54" s="3">
        <f t="shared" si="17"/>
        <v>1014650</v>
      </c>
      <c r="AJ54" s="3">
        <f t="shared" si="6"/>
        <v>778110</v>
      </c>
      <c r="AK54" s="2"/>
      <c r="AL54" s="5">
        <v>53.0</v>
      </c>
      <c r="AM54" s="3">
        <v>6680.0</v>
      </c>
      <c r="AN54" s="3">
        <f t="shared" si="18"/>
        <v>117420</v>
      </c>
      <c r="AO54" s="5">
        <f t="shared" si="12"/>
        <v>147480</v>
      </c>
      <c r="AP54" s="5">
        <f t="shared" si="7"/>
        <v>587100</v>
      </c>
      <c r="AQ54" s="35">
        <f>IFERROR(__xludf.DUMMYFUNCTION("""COMPUTED_VALUE"""),54.0)</f>
        <v>54</v>
      </c>
      <c r="AR54" s="2"/>
      <c r="AS54" s="2"/>
      <c r="AT54" s="35"/>
      <c r="AV54" s="35"/>
      <c r="AW54" s="36" t="s">
        <v>157</v>
      </c>
      <c r="AX54" s="38" t="s">
        <v>111</v>
      </c>
      <c r="AY54" s="40">
        <v>10.0</v>
      </c>
      <c r="AZ54" s="38" t="s">
        <v>40</v>
      </c>
      <c r="BA54" s="38">
        <v>5.0</v>
      </c>
      <c r="BB54" s="38" t="s">
        <v>39</v>
      </c>
      <c r="BC54" s="38">
        <v>10.0</v>
      </c>
      <c r="BD54" s="5" t="s">
        <v>42</v>
      </c>
      <c r="BE54" s="5" t="s">
        <v>41</v>
      </c>
      <c r="BF54" s="5" t="s">
        <v>40</v>
      </c>
      <c r="BG54" s="5" t="s">
        <v>41</v>
      </c>
      <c r="BH54" s="5" t="s">
        <v>43</v>
      </c>
      <c r="BI54" s="2"/>
      <c r="BJ54" s="2"/>
      <c r="BK54" s="2"/>
      <c r="BL54" s="2"/>
      <c r="BM54" s="2"/>
      <c r="BN54" s="2"/>
      <c r="BO54" s="2"/>
      <c r="BP54" s="2"/>
      <c r="BQ54" s="2"/>
      <c r="BR54" s="2"/>
      <c r="BS54" s="2"/>
    </row>
    <row r="55">
      <c r="A55" s="6"/>
      <c r="B55" s="2"/>
      <c r="C55" s="2"/>
      <c r="D55" s="3">
        <v>54.0</v>
      </c>
      <c r="E55" s="3">
        <v>58250.0</v>
      </c>
      <c r="F55" s="3">
        <f t="shared" si="8"/>
        <v>510950</v>
      </c>
      <c r="G55" s="3">
        <f t="shared" si="9"/>
        <v>2132000</v>
      </c>
      <c r="H55" s="15">
        <f t="shared" ref="H55:I55" si="95">F55/$F$71</f>
        <v>0.1933256399</v>
      </c>
      <c r="I55" s="16">
        <f t="shared" si="95"/>
        <v>0.8066743601</v>
      </c>
      <c r="J55" s="2"/>
      <c r="K55" s="5">
        <v>11.0</v>
      </c>
      <c r="L55" s="5">
        <f t="shared" ref="L55:S55" si="96">MULTIPLY(L44,1.15)</f>
        <v>299</v>
      </c>
      <c r="M55" s="5">
        <f t="shared" si="96"/>
        <v>575</v>
      </c>
      <c r="N55" s="5">
        <f t="shared" si="96"/>
        <v>822.25</v>
      </c>
      <c r="O55" s="5">
        <f t="shared" si="96"/>
        <v>1092.5</v>
      </c>
      <c r="P55" s="5">
        <f t="shared" si="96"/>
        <v>1558.25</v>
      </c>
      <c r="Q55" s="5">
        <f t="shared" si="96"/>
        <v>1972.25</v>
      </c>
      <c r="R55" s="5">
        <f t="shared" si="96"/>
        <v>2811.75</v>
      </c>
      <c r="S55" s="5">
        <f t="shared" si="96"/>
        <v>5341.75</v>
      </c>
      <c r="T55" s="2"/>
      <c r="U55" s="2"/>
      <c r="V55" s="35">
        <f>IFERROR(__xludf.DUMMYFUNCTION("""COMPUTED_VALUE"""),57.0)</f>
        <v>57</v>
      </c>
      <c r="W55" s="2"/>
      <c r="X55" s="2"/>
      <c r="Y55" s="2"/>
      <c r="Z55" s="2"/>
      <c r="AA55" s="5">
        <v>54.0</v>
      </c>
      <c r="AB55" s="3">
        <v>27000.0</v>
      </c>
      <c r="AC55" s="3">
        <f t="shared" si="15"/>
        <v>695750</v>
      </c>
      <c r="AD55" s="3">
        <f t="shared" si="4"/>
        <v>492000</v>
      </c>
      <c r="AE55" s="3">
        <v>32400.0</v>
      </c>
      <c r="AF55" s="3">
        <f t="shared" si="16"/>
        <v>838850</v>
      </c>
      <c r="AG55" s="3">
        <f t="shared" si="5"/>
        <v>590360</v>
      </c>
      <c r="AH55" s="3">
        <v>40500.0</v>
      </c>
      <c r="AI55" s="3">
        <f t="shared" si="17"/>
        <v>1054440</v>
      </c>
      <c r="AJ55" s="3">
        <f t="shared" si="6"/>
        <v>738320</v>
      </c>
      <c r="AK55" s="2"/>
      <c r="AL55" s="5">
        <v>54.0</v>
      </c>
      <c r="AM55" s="3">
        <v>6920.0</v>
      </c>
      <c r="AN55" s="3">
        <f t="shared" si="18"/>
        <v>124100</v>
      </c>
      <c r="AO55" s="5">
        <f t="shared" si="12"/>
        <v>140800</v>
      </c>
      <c r="AP55" s="5">
        <f t="shared" si="7"/>
        <v>620500</v>
      </c>
      <c r="AQ55" s="35">
        <f>IFERROR(__xludf.DUMMYFUNCTION("""COMPUTED_VALUE"""),55.0)</f>
        <v>55</v>
      </c>
      <c r="AR55" s="2"/>
      <c r="AS55" s="2"/>
      <c r="AT55" s="35"/>
      <c r="AV55" s="35"/>
      <c r="AW55" s="36" t="s">
        <v>158</v>
      </c>
      <c r="AX55" s="39" t="s">
        <v>99</v>
      </c>
      <c r="AY55" s="40">
        <v>10.0</v>
      </c>
      <c r="AZ55" s="39" t="s">
        <v>41</v>
      </c>
      <c r="BA55" s="40">
        <v>5.0</v>
      </c>
      <c r="BB55" s="39" t="s">
        <v>40</v>
      </c>
      <c r="BC55" s="27">
        <v>10.0</v>
      </c>
      <c r="BD55" s="5" t="s">
        <v>42</v>
      </c>
      <c r="BE55" s="5" t="s">
        <v>41</v>
      </c>
      <c r="BF55" s="5" t="s">
        <v>40</v>
      </c>
      <c r="BG55" s="5" t="s">
        <v>41</v>
      </c>
      <c r="BH55" s="5" t="s">
        <v>43</v>
      </c>
      <c r="BI55" s="2"/>
      <c r="BJ55" s="2"/>
      <c r="BK55" s="2"/>
      <c r="BL55" s="2"/>
      <c r="BM55" s="2"/>
      <c r="BN55" s="2"/>
      <c r="BO55" s="2"/>
      <c r="BP55" s="2"/>
      <c r="BQ55" s="2"/>
      <c r="BR55" s="2"/>
      <c r="BS55" s="2"/>
    </row>
    <row r="56">
      <c r="A56" s="6"/>
      <c r="B56" s="2"/>
      <c r="C56" s="2"/>
      <c r="D56" s="3">
        <v>55.0</v>
      </c>
      <c r="E56" s="3">
        <v>68250.0</v>
      </c>
      <c r="F56" s="3">
        <f t="shared" si="8"/>
        <v>569200</v>
      </c>
      <c r="G56" s="3">
        <f t="shared" si="9"/>
        <v>2073750</v>
      </c>
      <c r="H56" s="15">
        <f t="shared" ref="H56:I56" si="97">F56/$F$71</f>
        <v>0.2153654061</v>
      </c>
      <c r="I56" s="16">
        <f t="shared" si="97"/>
        <v>0.7846345939</v>
      </c>
      <c r="J56" s="2"/>
      <c r="K56" s="5">
        <v>12.0</v>
      </c>
      <c r="L56" s="5">
        <f t="shared" ref="L56:S56" si="98">MULTIPLY(L44,1.2)</f>
        <v>312</v>
      </c>
      <c r="M56" s="5">
        <f t="shared" si="98"/>
        <v>600</v>
      </c>
      <c r="N56" s="5">
        <f t="shared" si="98"/>
        <v>858</v>
      </c>
      <c r="O56" s="5">
        <f t="shared" si="98"/>
        <v>1140</v>
      </c>
      <c r="P56" s="5">
        <f t="shared" si="98"/>
        <v>1626</v>
      </c>
      <c r="Q56" s="5">
        <f t="shared" si="98"/>
        <v>2058</v>
      </c>
      <c r="R56" s="5">
        <f t="shared" si="98"/>
        <v>2934</v>
      </c>
      <c r="S56" s="5">
        <f t="shared" si="98"/>
        <v>5574</v>
      </c>
      <c r="T56" s="2"/>
      <c r="U56" s="2"/>
      <c r="V56" s="35">
        <f>IFERROR(__xludf.DUMMYFUNCTION("""COMPUTED_VALUE"""),58.0)</f>
        <v>58</v>
      </c>
      <c r="W56" s="2"/>
      <c r="X56" s="2"/>
      <c r="Y56" s="2"/>
      <c r="Z56" s="2"/>
      <c r="AA56" s="5">
        <v>55.0</v>
      </c>
      <c r="AB56" s="3">
        <v>27500.0</v>
      </c>
      <c r="AC56" s="3">
        <f t="shared" si="15"/>
        <v>722750</v>
      </c>
      <c r="AD56" s="3">
        <f t="shared" si="4"/>
        <v>465000</v>
      </c>
      <c r="AE56" s="3">
        <v>33000.0</v>
      </c>
      <c r="AF56" s="3">
        <f t="shared" si="16"/>
        <v>871250</v>
      </c>
      <c r="AG56" s="3">
        <f t="shared" si="5"/>
        <v>557960</v>
      </c>
      <c r="AH56" s="3">
        <v>41290.0</v>
      </c>
      <c r="AI56" s="3">
        <f t="shared" si="17"/>
        <v>1094940</v>
      </c>
      <c r="AJ56" s="3">
        <f t="shared" si="6"/>
        <v>697820</v>
      </c>
      <c r="AK56" s="2"/>
      <c r="AL56" s="5">
        <v>55.0</v>
      </c>
      <c r="AM56" s="3">
        <v>7140.0</v>
      </c>
      <c r="AN56" s="3">
        <f t="shared" si="18"/>
        <v>131020</v>
      </c>
      <c r="AO56" s="5">
        <f t="shared" si="12"/>
        <v>133880</v>
      </c>
      <c r="AP56" s="5">
        <f t="shared" si="7"/>
        <v>655100</v>
      </c>
      <c r="AQ56" s="35">
        <f>IFERROR(__xludf.DUMMYFUNCTION("""COMPUTED_VALUE"""),56.0)</f>
        <v>56</v>
      </c>
      <c r="AR56" s="2"/>
      <c r="AS56" s="2"/>
      <c r="AT56" s="35"/>
      <c r="AV56" s="35"/>
      <c r="AW56" s="31" t="s">
        <v>159</v>
      </c>
      <c r="AX56" s="27" t="s">
        <v>39</v>
      </c>
      <c r="AY56" s="27">
        <v>10.0</v>
      </c>
      <c r="AZ56" s="27" t="s">
        <v>41</v>
      </c>
      <c r="BA56" s="27">
        <v>5.0</v>
      </c>
      <c r="BB56" s="27" t="s">
        <v>40</v>
      </c>
      <c r="BC56" s="27">
        <v>10.0</v>
      </c>
      <c r="BD56" s="5" t="s">
        <v>42</v>
      </c>
      <c r="BE56" s="5" t="s">
        <v>41</v>
      </c>
      <c r="BF56" s="5" t="s">
        <v>40</v>
      </c>
      <c r="BG56" s="5" t="s">
        <v>41</v>
      </c>
      <c r="BH56" s="5" t="s">
        <v>43</v>
      </c>
      <c r="BI56" s="2"/>
      <c r="BJ56" s="2"/>
      <c r="BK56" s="2"/>
      <c r="BL56" s="2"/>
      <c r="BM56" s="2"/>
      <c r="BN56" s="2"/>
      <c r="BO56" s="2"/>
      <c r="BP56" s="2"/>
      <c r="BQ56" s="2"/>
      <c r="BR56" s="2"/>
      <c r="BS56" s="2"/>
    </row>
    <row r="57">
      <c r="A57" s="6"/>
      <c r="B57" s="2"/>
      <c r="C57" s="2"/>
      <c r="D57" s="3">
        <v>56.0</v>
      </c>
      <c r="E57" s="3">
        <v>78250.0</v>
      </c>
      <c r="F57" s="3">
        <f t="shared" si="8"/>
        <v>637450</v>
      </c>
      <c r="G57" s="3">
        <f t="shared" si="9"/>
        <v>2005500</v>
      </c>
      <c r="H57" s="15">
        <f t="shared" ref="H57:I57" si="99">F57/$F$71</f>
        <v>0.2411888231</v>
      </c>
      <c r="I57" s="16">
        <f t="shared" si="99"/>
        <v>0.7588111769</v>
      </c>
      <c r="J57" s="2"/>
      <c r="K57" s="5">
        <v>13.0</v>
      </c>
      <c r="L57" s="5">
        <f t="shared" ref="L57:S57" si="100">MULTIPLY(L44,1.2)</f>
        <v>312</v>
      </c>
      <c r="M57" s="5">
        <f t="shared" si="100"/>
        <v>600</v>
      </c>
      <c r="N57" s="5">
        <f t="shared" si="100"/>
        <v>858</v>
      </c>
      <c r="O57" s="5">
        <f t="shared" si="100"/>
        <v>1140</v>
      </c>
      <c r="P57" s="5">
        <f t="shared" si="100"/>
        <v>1626</v>
      </c>
      <c r="Q57" s="5">
        <f t="shared" si="100"/>
        <v>2058</v>
      </c>
      <c r="R57" s="5">
        <f t="shared" si="100"/>
        <v>2934</v>
      </c>
      <c r="S57" s="5">
        <f t="shared" si="100"/>
        <v>5574</v>
      </c>
      <c r="T57" s="2"/>
      <c r="U57" s="2"/>
      <c r="V57" s="35">
        <f>IFERROR(__xludf.DUMMYFUNCTION("""COMPUTED_VALUE"""),59.0)</f>
        <v>59</v>
      </c>
      <c r="W57" s="2"/>
      <c r="X57" s="2"/>
      <c r="Y57" s="2"/>
      <c r="Z57" s="2"/>
      <c r="AA57" s="5">
        <v>56.0</v>
      </c>
      <c r="AB57" s="3">
        <v>28000.0</v>
      </c>
      <c r="AC57" s="3">
        <f t="shared" si="15"/>
        <v>750250</v>
      </c>
      <c r="AD57" s="3">
        <f t="shared" si="4"/>
        <v>437500</v>
      </c>
      <c r="AE57" s="3">
        <v>33600.0</v>
      </c>
      <c r="AF57" s="3">
        <f t="shared" si="16"/>
        <v>904250</v>
      </c>
      <c r="AG57" s="3">
        <f t="shared" si="5"/>
        <v>524960</v>
      </c>
      <c r="AH57" s="3">
        <v>42000.0</v>
      </c>
      <c r="AI57" s="3">
        <f t="shared" si="17"/>
        <v>1136230</v>
      </c>
      <c r="AJ57" s="3">
        <f t="shared" si="6"/>
        <v>656530</v>
      </c>
      <c r="AK57" s="2"/>
      <c r="AL57" s="5">
        <v>56.0</v>
      </c>
      <c r="AM57" s="3">
        <v>7400.0</v>
      </c>
      <c r="AN57" s="3">
        <f t="shared" si="18"/>
        <v>138160</v>
      </c>
      <c r="AO57" s="5">
        <f t="shared" si="12"/>
        <v>126740</v>
      </c>
      <c r="AP57" s="5">
        <f t="shared" si="7"/>
        <v>690800</v>
      </c>
      <c r="AQ57" s="35">
        <f>IFERROR(__xludf.DUMMYFUNCTION("""COMPUTED_VALUE"""),57.0)</f>
        <v>57</v>
      </c>
      <c r="AR57" s="2"/>
      <c r="AS57" s="2"/>
      <c r="AT57" s="35"/>
      <c r="AV57" s="35"/>
      <c r="AW57" s="33" t="s">
        <v>160</v>
      </c>
      <c r="AX57" s="28" t="s">
        <v>56</v>
      </c>
      <c r="AY57" s="28">
        <v>20.0</v>
      </c>
      <c r="AZ57" s="28" t="s">
        <v>40</v>
      </c>
      <c r="BA57" s="28">
        <v>5.0</v>
      </c>
      <c r="BB57" s="28" t="s">
        <v>40</v>
      </c>
      <c r="BC57" s="28">
        <v>10.0</v>
      </c>
      <c r="BD57" s="5" t="s">
        <v>42</v>
      </c>
      <c r="BE57" s="5" t="s">
        <v>41</v>
      </c>
      <c r="BF57" s="5" t="s">
        <v>40</v>
      </c>
      <c r="BG57" s="5" t="s">
        <v>41</v>
      </c>
      <c r="BH57" s="5" t="s">
        <v>43</v>
      </c>
      <c r="BI57" s="2"/>
      <c r="BJ57" s="2"/>
      <c r="BK57" s="2"/>
      <c r="BL57" s="2"/>
      <c r="BM57" s="2"/>
      <c r="BN57" s="2"/>
      <c r="BO57" s="2"/>
      <c r="BP57" s="2"/>
      <c r="BQ57" s="2"/>
      <c r="BR57" s="2"/>
      <c r="BS57" s="2"/>
    </row>
    <row r="58">
      <c r="A58" s="6"/>
      <c r="B58" s="2"/>
      <c r="C58" s="2"/>
      <c r="D58" s="3">
        <v>57.0</v>
      </c>
      <c r="E58" s="3">
        <v>88250.0</v>
      </c>
      <c r="F58" s="3">
        <f t="shared" si="8"/>
        <v>715700</v>
      </c>
      <c r="G58" s="3">
        <f t="shared" si="9"/>
        <v>1927250</v>
      </c>
      <c r="H58" s="15">
        <f t="shared" ref="H58:I58" si="101">F58/$F$71</f>
        <v>0.270795891</v>
      </c>
      <c r="I58" s="16">
        <f t="shared" si="101"/>
        <v>0.729204109</v>
      </c>
      <c r="J58" s="2"/>
      <c r="K58" s="5">
        <v>14.0</v>
      </c>
      <c r="L58" s="5">
        <f t="shared" ref="L58:S58" si="102">MULTIPLY(L44,1.2)</f>
        <v>312</v>
      </c>
      <c r="M58" s="5">
        <f t="shared" si="102"/>
        <v>600</v>
      </c>
      <c r="N58" s="5">
        <f t="shared" si="102"/>
        <v>858</v>
      </c>
      <c r="O58" s="5">
        <f t="shared" si="102"/>
        <v>1140</v>
      </c>
      <c r="P58" s="5">
        <f t="shared" si="102"/>
        <v>1626</v>
      </c>
      <c r="Q58" s="5">
        <f t="shared" si="102"/>
        <v>2058</v>
      </c>
      <c r="R58" s="5">
        <f t="shared" si="102"/>
        <v>2934</v>
      </c>
      <c r="S58" s="5">
        <f t="shared" si="102"/>
        <v>5574</v>
      </c>
      <c r="T58" s="2"/>
      <c r="U58" s="2"/>
      <c r="V58" s="35">
        <f>IFERROR(__xludf.DUMMYFUNCTION("""COMPUTED_VALUE"""),60.0)</f>
        <v>60</v>
      </c>
      <c r="W58" s="2"/>
      <c r="X58" s="2"/>
      <c r="Y58" s="2"/>
      <c r="Z58" s="2"/>
      <c r="AA58" s="5">
        <v>57.0</v>
      </c>
      <c r="AB58" s="3">
        <v>28500.0</v>
      </c>
      <c r="AC58" s="3">
        <f t="shared" si="15"/>
        <v>778250</v>
      </c>
      <c r="AD58" s="3">
        <f t="shared" si="4"/>
        <v>409500</v>
      </c>
      <c r="AE58" s="3">
        <v>34200.0</v>
      </c>
      <c r="AF58" s="3">
        <f t="shared" si="16"/>
        <v>937850</v>
      </c>
      <c r="AG58" s="3">
        <f t="shared" si="5"/>
        <v>491360</v>
      </c>
      <c r="AH58" s="3">
        <v>42790.0</v>
      </c>
      <c r="AI58" s="3">
        <f t="shared" si="17"/>
        <v>1178230</v>
      </c>
      <c r="AJ58" s="3">
        <f t="shared" si="6"/>
        <v>614530</v>
      </c>
      <c r="AK58" s="2"/>
      <c r="AL58" s="5">
        <v>57.0</v>
      </c>
      <c r="AM58" s="3">
        <v>7640.0</v>
      </c>
      <c r="AN58" s="3">
        <f t="shared" si="18"/>
        <v>145560</v>
      </c>
      <c r="AO58" s="5">
        <f t="shared" si="12"/>
        <v>119340</v>
      </c>
      <c r="AP58" s="5">
        <f t="shared" si="7"/>
        <v>727800</v>
      </c>
      <c r="AQ58" s="35">
        <f>IFERROR(__xludf.DUMMYFUNCTION("""COMPUTED_VALUE"""),58.0)</f>
        <v>58</v>
      </c>
      <c r="AR58" s="2"/>
      <c r="AS58" s="2"/>
      <c r="AT58" s="35"/>
      <c r="AV58" s="35"/>
      <c r="AW58" s="33" t="s">
        <v>161</v>
      </c>
      <c r="AX58" s="28" t="s">
        <v>118</v>
      </c>
      <c r="AY58" s="28">
        <v>10.0</v>
      </c>
      <c r="AZ58" s="28" t="s">
        <v>40</v>
      </c>
      <c r="BA58" s="28">
        <v>5.0</v>
      </c>
      <c r="BB58" s="28" t="s">
        <v>40</v>
      </c>
      <c r="BC58" s="28">
        <v>10.0</v>
      </c>
      <c r="BD58" s="5" t="s">
        <v>42</v>
      </c>
      <c r="BE58" s="5" t="s">
        <v>41</v>
      </c>
      <c r="BF58" s="5" t="s">
        <v>40</v>
      </c>
      <c r="BG58" s="5" t="s">
        <v>41</v>
      </c>
      <c r="BH58" s="5" t="s">
        <v>43</v>
      </c>
      <c r="BI58" s="2"/>
      <c r="BJ58" s="2"/>
      <c r="BK58" s="2"/>
      <c r="BL58" s="2"/>
      <c r="BM58" s="2"/>
      <c r="BN58" s="2"/>
      <c r="BO58" s="2"/>
      <c r="BP58" s="2"/>
      <c r="BQ58" s="2"/>
      <c r="BR58" s="2"/>
      <c r="BS58" s="2"/>
    </row>
    <row r="59">
      <c r="A59" s="2"/>
      <c r="B59" s="2"/>
      <c r="C59" s="2"/>
      <c r="D59" s="3">
        <v>58.0</v>
      </c>
      <c r="E59" s="3">
        <v>98250.0</v>
      </c>
      <c r="F59" s="3">
        <f t="shared" si="8"/>
        <v>803950</v>
      </c>
      <c r="G59" s="3">
        <f t="shared" si="9"/>
        <v>1839000</v>
      </c>
      <c r="H59" s="15">
        <f t="shared" ref="H59:I59" si="103">F59/$F$71</f>
        <v>0.3041866097</v>
      </c>
      <c r="I59" s="16">
        <f t="shared" si="103"/>
        <v>0.6958133903</v>
      </c>
      <c r="J59" s="2"/>
      <c r="K59" s="5">
        <v>15.0</v>
      </c>
      <c r="L59" s="5">
        <f t="shared" ref="L59:S59" si="104">MULTIPLY(L44,1.2)</f>
        <v>312</v>
      </c>
      <c r="M59" s="5">
        <f t="shared" si="104"/>
        <v>600</v>
      </c>
      <c r="N59" s="5">
        <f t="shared" si="104"/>
        <v>858</v>
      </c>
      <c r="O59" s="5">
        <f t="shared" si="104"/>
        <v>1140</v>
      </c>
      <c r="P59" s="5">
        <f t="shared" si="104"/>
        <v>1626</v>
      </c>
      <c r="Q59" s="5">
        <f t="shared" si="104"/>
        <v>2058</v>
      </c>
      <c r="R59" s="5">
        <f t="shared" si="104"/>
        <v>2934</v>
      </c>
      <c r="S59" s="5">
        <f t="shared" si="104"/>
        <v>5574</v>
      </c>
      <c r="T59" s="2"/>
      <c r="U59" s="2"/>
      <c r="V59" s="35">
        <f>IFERROR(__xludf.DUMMYFUNCTION("""COMPUTED_VALUE"""),61.0)</f>
        <v>61</v>
      </c>
      <c r="W59" s="2"/>
      <c r="X59" s="2"/>
      <c r="Y59" s="2"/>
      <c r="Z59" s="2"/>
      <c r="AA59" s="5">
        <v>58.0</v>
      </c>
      <c r="AB59" s="3">
        <v>29000.0</v>
      </c>
      <c r="AC59" s="3">
        <f t="shared" si="15"/>
        <v>806750</v>
      </c>
      <c r="AD59" s="3">
        <f t="shared" si="4"/>
        <v>381000</v>
      </c>
      <c r="AE59" s="3">
        <v>34790.0</v>
      </c>
      <c r="AF59" s="3">
        <f t="shared" si="16"/>
        <v>972050</v>
      </c>
      <c r="AG59" s="3">
        <f t="shared" si="5"/>
        <v>457160</v>
      </c>
      <c r="AH59" s="3">
        <v>43500.0</v>
      </c>
      <c r="AI59" s="3">
        <f t="shared" si="17"/>
        <v>1221020</v>
      </c>
      <c r="AJ59" s="3">
        <f t="shared" si="6"/>
        <v>571740</v>
      </c>
      <c r="AK59" s="2"/>
      <c r="AL59" s="5">
        <v>58.0</v>
      </c>
      <c r="AM59" s="3">
        <v>7880.0</v>
      </c>
      <c r="AN59" s="3">
        <f t="shared" si="18"/>
        <v>153200</v>
      </c>
      <c r="AO59" s="5">
        <f t="shared" si="12"/>
        <v>111700</v>
      </c>
      <c r="AP59" s="5">
        <f t="shared" si="7"/>
        <v>766000</v>
      </c>
      <c r="AQ59" s="35">
        <f>IFERROR(__xludf.DUMMYFUNCTION("""COMPUTED_VALUE"""),59.0)</f>
        <v>59</v>
      </c>
      <c r="AR59" s="2"/>
      <c r="AS59" s="2"/>
      <c r="AT59" s="35"/>
      <c r="AV59" s="35"/>
      <c r="AW59" s="31" t="s">
        <v>162</v>
      </c>
      <c r="AX59" s="27" t="s">
        <v>70</v>
      </c>
      <c r="AY59" s="27">
        <v>10.0</v>
      </c>
      <c r="AZ59" s="28" t="s">
        <v>40</v>
      </c>
      <c r="BA59" s="28">
        <v>5.0</v>
      </c>
      <c r="BB59" s="28" t="s">
        <v>41</v>
      </c>
      <c r="BC59" s="28">
        <v>10.0</v>
      </c>
      <c r="BD59" s="5" t="s">
        <v>42</v>
      </c>
      <c r="BE59" s="5" t="s">
        <v>41</v>
      </c>
      <c r="BF59" s="5" t="s">
        <v>40</v>
      </c>
      <c r="BG59" s="5" t="s">
        <v>41</v>
      </c>
      <c r="BH59" s="5" t="s">
        <v>43</v>
      </c>
      <c r="BI59" s="2"/>
      <c r="BJ59" s="2"/>
      <c r="BK59" s="2"/>
      <c r="BL59" s="2"/>
      <c r="BM59" s="2"/>
      <c r="BN59" s="2"/>
      <c r="BO59" s="2"/>
      <c r="BP59" s="2"/>
      <c r="BQ59" s="2"/>
      <c r="BR59" s="2"/>
      <c r="BS59" s="2"/>
    </row>
    <row r="60">
      <c r="A60" s="2"/>
      <c r="B60" s="2"/>
      <c r="C60" s="2"/>
      <c r="D60" s="3">
        <v>59.0</v>
      </c>
      <c r="E60" s="3">
        <v>108250.0</v>
      </c>
      <c r="F60" s="3">
        <f t="shared" si="8"/>
        <v>902200</v>
      </c>
      <c r="G60" s="3">
        <f t="shared" si="9"/>
        <v>1740750</v>
      </c>
      <c r="H60" s="15">
        <f t="shared" ref="H60:I60" si="105">F60/$F$71</f>
        <v>0.3413609792</v>
      </c>
      <c r="I60" s="16">
        <f t="shared" si="105"/>
        <v>0.6586390208</v>
      </c>
      <c r="J60" s="2"/>
      <c r="K60" s="5">
        <v>16.0</v>
      </c>
      <c r="L60" s="5">
        <f t="shared" ref="L60:S60" si="106">MULTIPLY(L44,1.2)</f>
        <v>312</v>
      </c>
      <c r="M60" s="5">
        <f t="shared" si="106"/>
        <v>600</v>
      </c>
      <c r="N60" s="5">
        <f t="shared" si="106"/>
        <v>858</v>
      </c>
      <c r="O60" s="5">
        <f t="shared" si="106"/>
        <v>1140</v>
      </c>
      <c r="P60" s="5">
        <f t="shared" si="106"/>
        <v>1626</v>
      </c>
      <c r="Q60" s="5">
        <f t="shared" si="106"/>
        <v>2058</v>
      </c>
      <c r="R60" s="5">
        <f t="shared" si="106"/>
        <v>2934</v>
      </c>
      <c r="S60" s="5">
        <f t="shared" si="106"/>
        <v>5574</v>
      </c>
      <c r="T60" s="2"/>
      <c r="U60" s="2"/>
      <c r="V60" s="35">
        <f>IFERROR(__xludf.DUMMYFUNCTION("""COMPUTED_VALUE"""),62.0)</f>
        <v>62</v>
      </c>
      <c r="W60" s="2"/>
      <c r="X60" s="2"/>
      <c r="Y60" s="2"/>
      <c r="Z60" s="2"/>
      <c r="AA60" s="5">
        <v>59.0</v>
      </c>
      <c r="AB60" s="3">
        <v>29500.0</v>
      </c>
      <c r="AC60" s="3">
        <f t="shared" si="15"/>
        <v>835750</v>
      </c>
      <c r="AD60" s="3">
        <f t="shared" si="4"/>
        <v>352000</v>
      </c>
      <c r="AE60" s="3">
        <v>35400.0</v>
      </c>
      <c r="AF60" s="3">
        <f t="shared" si="16"/>
        <v>1006840</v>
      </c>
      <c r="AG60" s="3">
        <f t="shared" si="5"/>
        <v>422370</v>
      </c>
      <c r="AH60" s="3">
        <v>44290.0</v>
      </c>
      <c r="AI60" s="3">
        <f t="shared" si="17"/>
        <v>1264520</v>
      </c>
      <c r="AJ60" s="3">
        <f t="shared" si="6"/>
        <v>528240</v>
      </c>
      <c r="AK60" s="2"/>
      <c r="AL60" s="5">
        <v>59.0</v>
      </c>
      <c r="AM60" s="3">
        <v>8140.0</v>
      </c>
      <c r="AN60" s="3">
        <f t="shared" si="18"/>
        <v>161080</v>
      </c>
      <c r="AO60" s="5">
        <f t="shared" si="12"/>
        <v>103820</v>
      </c>
      <c r="AP60" s="5">
        <f t="shared" si="7"/>
        <v>805400</v>
      </c>
      <c r="AQ60" s="35">
        <f>IFERROR(__xludf.DUMMYFUNCTION("""COMPUTED_VALUE"""),60.0)</f>
        <v>60</v>
      </c>
      <c r="AR60" s="2"/>
      <c r="AS60" s="2"/>
      <c r="AT60" s="35"/>
      <c r="AV60" s="35"/>
      <c r="AW60" s="31" t="s">
        <v>163</v>
      </c>
      <c r="AX60" s="27" t="s">
        <v>111</v>
      </c>
      <c r="AY60" s="27">
        <v>20.0</v>
      </c>
      <c r="AZ60" s="28" t="s">
        <v>40</v>
      </c>
      <c r="BA60" s="28">
        <v>5.0</v>
      </c>
      <c r="BB60" s="28" t="s">
        <v>41</v>
      </c>
      <c r="BC60" s="28">
        <v>10.0</v>
      </c>
      <c r="BD60" s="5" t="s">
        <v>42</v>
      </c>
      <c r="BE60" s="5" t="s">
        <v>41</v>
      </c>
      <c r="BF60" s="5" t="s">
        <v>40</v>
      </c>
      <c r="BG60" s="5" t="s">
        <v>41</v>
      </c>
      <c r="BH60" s="5" t="s">
        <v>43</v>
      </c>
      <c r="BI60" s="2"/>
      <c r="BJ60" s="2"/>
      <c r="BK60" s="2"/>
      <c r="BL60" s="2"/>
      <c r="BM60" s="2"/>
      <c r="BN60" s="2"/>
      <c r="BO60" s="2"/>
      <c r="BP60" s="2"/>
      <c r="BQ60" s="2"/>
      <c r="BR60" s="2"/>
      <c r="BS60" s="2"/>
    </row>
    <row r="61">
      <c r="A61" s="2"/>
      <c r="B61" s="2"/>
      <c r="C61" s="2"/>
      <c r="D61" s="3">
        <v>60.0</v>
      </c>
      <c r="E61" s="3">
        <v>118250.0</v>
      </c>
      <c r="F61" s="3">
        <f t="shared" si="8"/>
        <v>1010450</v>
      </c>
      <c r="G61" s="3">
        <f t="shared" si="9"/>
        <v>1632500</v>
      </c>
      <c r="H61" s="15">
        <f t="shared" ref="H61:I61" si="107">F61/$F$71</f>
        <v>0.3823189996</v>
      </c>
      <c r="I61" s="16">
        <f t="shared" si="107"/>
        <v>0.6176810004</v>
      </c>
      <c r="J61" s="2"/>
      <c r="K61" s="5">
        <v>17.0</v>
      </c>
      <c r="L61" s="5">
        <f t="shared" ref="L61:S61" si="108">MULTIPLY(L44,1.25)</f>
        <v>325</v>
      </c>
      <c r="M61" s="5">
        <f t="shared" si="108"/>
        <v>625</v>
      </c>
      <c r="N61" s="5">
        <f t="shared" si="108"/>
        <v>893.75</v>
      </c>
      <c r="O61" s="5">
        <f t="shared" si="108"/>
        <v>1187.5</v>
      </c>
      <c r="P61" s="5">
        <f t="shared" si="108"/>
        <v>1693.75</v>
      </c>
      <c r="Q61" s="5">
        <f t="shared" si="108"/>
        <v>2143.75</v>
      </c>
      <c r="R61" s="5">
        <f t="shared" si="108"/>
        <v>3056.25</v>
      </c>
      <c r="S61" s="5">
        <f t="shared" si="108"/>
        <v>5806.25</v>
      </c>
      <c r="T61" s="2"/>
      <c r="U61" s="2"/>
      <c r="V61" s="35">
        <f>IFERROR(__xludf.DUMMYFUNCTION("""COMPUTED_VALUE"""),63.0)</f>
        <v>63</v>
      </c>
      <c r="W61" s="2"/>
      <c r="X61" s="2"/>
      <c r="Y61" s="2"/>
      <c r="Z61" s="2"/>
      <c r="AA61" s="1">
        <v>60.0</v>
      </c>
      <c r="AB61" s="3">
        <v>30000.0</v>
      </c>
      <c r="AC61" s="3">
        <f t="shared" si="15"/>
        <v>865250</v>
      </c>
      <c r="AD61" s="3">
        <f t="shared" si="4"/>
        <v>322500</v>
      </c>
      <c r="AE61" s="3">
        <v>36000.0</v>
      </c>
      <c r="AF61" s="3">
        <f t="shared" si="16"/>
        <v>1042240</v>
      </c>
      <c r="AG61" s="3">
        <f t="shared" si="5"/>
        <v>386970</v>
      </c>
      <c r="AH61" s="3">
        <v>45000.0</v>
      </c>
      <c r="AI61" s="3">
        <f t="shared" si="17"/>
        <v>1308810</v>
      </c>
      <c r="AJ61" s="3">
        <f t="shared" si="6"/>
        <v>483950</v>
      </c>
      <c r="AK61" s="2"/>
      <c r="AL61" s="5">
        <v>60.0</v>
      </c>
      <c r="AM61" s="3">
        <v>8400.0</v>
      </c>
      <c r="AN61" s="3">
        <f t="shared" si="18"/>
        <v>169220</v>
      </c>
      <c r="AO61" s="5">
        <f t="shared" si="12"/>
        <v>95680</v>
      </c>
      <c r="AP61" s="54">
        <f t="shared" si="7"/>
        <v>846100</v>
      </c>
      <c r="AQ61" s="35">
        <f>IFERROR(__xludf.DUMMYFUNCTION("""COMPUTED_VALUE"""),61.0)</f>
        <v>61</v>
      </c>
      <c r="AR61" s="2"/>
      <c r="AS61" s="2"/>
      <c r="AT61" s="35"/>
      <c r="AV61" s="35"/>
      <c r="AW61" s="42" t="s">
        <v>164</v>
      </c>
      <c r="AX61" s="43" t="s">
        <v>70</v>
      </c>
      <c r="AY61" s="43">
        <v>10.0</v>
      </c>
      <c r="AZ61" s="43" t="s">
        <v>41</v>
      </c>
      <c r="BA61" s="43">
        <v>5.0</v>
      </c>
      <c r="BB61" s="43" t="s">
        <v>40</v>
      </c>
      <c r="BC61" s="43">
        <v>10.0</v>
      </c>
      <c r="BD61" s="5" t="s">
        <v>42</v>
      </c>
      <c r="BE61" s="5" t="s">
        <v>41</v>
      </c>
      <c r="BF61" s="5" t="s">
        <v>40</v>
      </c>
      <c r="BG61" s="5" t="s">
        <v>41</v>
      </c>
      <c r="BH61" s="5" t="s">
        <v>43</v>
      </c>
      <c r="BI61" s="2"/>
      <c r="BJ61" s="2"/>
      <c r="BK61" s="2"/>
      <c r="BL61" s="2"/>
      <c r="BM61" s="2"/>
      <c r="BN61" s="2"/>
      <c r="BO61" s="2"/>
      <c r="BP61" s="2"/>
      <c r="BQ61" s="2"/>
      <c r="BR61" s="2"/>
      <c r="BS61" s="2"/>
    </row>
    <row r="62">
      <c r="A62" s="2"/>
      <c r="B62" s="2"/>
      <c r="C62" s="2"/>
      <c r="D62" s="3">
        <v>61.0</v>
      </c>
      <c r="E62" s="3">
        <v>128250.0</v>
      </c>
      <c r="F62" s="3">
        <f t="shared" si="8"/>
        <v>1128700</v>
      </c>
      <c r="G62" s="3">
        <f t="shared" si="9"/>
        <v>1514250</v>
      </c>
      <c r="H62" s="15">
        <f t="shared" ref="H62:I62" si="109">F62/$F$71</f>
        <v>0.4270606708</v>
      </c>
      <c r="I62" s="16">
        <f t="shared" si="109"/>
        <v>0.5729393292</v>
      </c>
      <c r="J62" s="2"/>
      <c r="K62" s="5">
        <v>18.0</v>
      </c>
      <c r="L62" s="5">
        <f t="shared" ref="L62:S62" si="110">MULTIPLY(L44,1.25)</f>
        <v>325</v>
      </c>
      <c r="M62" s="5">
        <f t="shared" si="110"/>
        <v>625</v>
      </c>
      <c r="N62" s="5">
        <f t="shared" si="110"/>
        <v>893.75</v>
      </c>
      <c r="O62" s="5">
        <f t="shared" si="110"/>
        <v>1187.5</v>
      </c>
      <c r="P62" s="5">
        <f t="shared" si="110"/>
        <v>1693.75</v>
      </c>
      <c r="Q62" s="5">
        <f t="shared" si="110"/>
        <v>2143.75</v>
      </c>
      <c r="R62" s="5">
        <f t="shared" si="110"/>
        <v>3056.25</v>
      </c>
      <c r="S62" s="5">
        <f t="shared" si="110"/>
        <v>5806.25</v>
      </c>
      <c r="T62" s="2"/>
      <c r="U62" s="2"/>
      <c r="V62" s="35">
        <f>IFERROR(__xludf.DUMMYFUNCTION("""COMPUTED_VALUE"""),64.0)</f>
        <v>64</v>
      </c>
      <c r="W62" s="2"/>
      <c r="X62" s="2"/>
      <c r="Y62" s="2"/>
      <c r="Z62" s="2"/>
      <c r="AA62" s="5">
        <v>61.0</v>
      </c>
      <c r="AB62" s="5">
        <v>30500.0</v>
      </c>
      <c r="AC62" s="3">
        <f t="shared" si="15"/>
        <v>895250</v>
      </c>
      <c r="AD62" s="3">
        <f t="shared" si="4"/>
        <v>292500</v>
      </c>
      <c r="AE62" s="5">
        <v>36590.0</v>
      </c>
      <c r="AF62" s="3">
        <f t="shared" si="16"/>
        <v>1078240</v>
      </c>
      <c r="AG62" s="3">
        <f t="shared" si="5"/>
        <v>350970</v>
      </c>
      <c r="AH62" s="1">
        <v>45790.0</v>
      </c>
      <c r="AI62" s="3">
        <f t="shared" si="17"/>
        <v>1353810</v>
      </c>
      <c r="AJ62" s="3">
        <f t="shared" si="6"/>
        <v>438950</v>
      </c>
      <c r="AK62" s="2"/>
      <c r="AL62" s="5">
        <v>61.0</v>
      </c>
      <c r="AM62" s="3">
        <v>8660.0</v>
      </c>
      <c r="AN62" s="3">
        <f t="shared" si="18"/>
        <v>177620</v>
      </c>
      <c r="AO62" s="5">
        <f t="shared" si="12"/>
        <v>87280</v>
      </c>
      <c r="AP62" s="54">
        <f t="shared" si="7"/>
        <v>888100</v>
      </c>
      <c r="AQ62" s="35">
        <f>IFERROR(__xludf.DUMMYFUNCTION("""COMPUTED_VALUE"""),62.0)</f>
        <v>62</v>
      </c>
      <c r="AR62" s="2"/>
      <c r="AS62" s="2"/>
      <c r="AT62" s="35"/>
      <c r="AV62" s="35"/>
      <c r="AW62" s="31" t="s">
        <v>165</v>
      </c>
      <c r="AX62" s="55" t="s">
        <v>99</v>
      </c>
      <c r="AY62" s="27">
        <v>10.0</v>
      </c>
      <c r="AZ62" s="56" t="s">
        <v>40</v>
      </c>
      <c r="BA62" s="28">
        <v>5.0</v>
      </c>
      <c r="BB62" s="56" t="s">
        <v>41</v>
      </c>
      <c r="BC62" s="28">
        <v>10.0</v>
      </c>
      <c r="BD62" s="5" t="s">
        <v>42</v>
      </c>
      <c r="BE62" s="5" t="s">
        <v>41</v>
      </c>
      <c r="BF62" s="5" t="s">
        <v>40</v>
      </c>
      <c r="BG62" s="5" t="s">
        <v>41</v>
      </c>
      <c r="BH62" s="5" t="s">
        <v>43</v>
      </c>
      <c r="BI62" s="2"/>
      <c r="BJ62" s="2"/>
      <c r="BK62" s="2"/>
      <c r="BL62" s="2"/>
      <c r="BM62" s="2"/>
      <c r="BN62" s="2"/>
      <c r="BO62" s="2"/>
      <c r="BP62" s="2"/>
      <c r="BQ62" s="2"/>
      <c r="BR62" s="2"/>
      <c r="BS62" s="2"/>
    </row>
    <row r="63">
      <c r="A63" s="2"/>
      <c r="B63" s="2"/>
      <c r="C63" s="2"/>
      <c r="D63" s="3">
        <v>62.0</v>
      </c>
      <c r="E63" s="3">
        <v>138250.0</v>
      </c>
      <c r="F63" s="3">
        <f t="shared" si="8"/>
        <v>1256950</v>
      </c>
      <c r="G63" s="3">
        <f t="shared" si="9"/>
        <v>1386000</v>
      </c>
      <c r="H63" s="15">
        <f t="shared" ref="H63:I63" si="111">F63/$F$71</f>
        <v>0.4755859929</v>
      </c>
      <c r="I63" s="16">
        <f t="shared" si="111"/>
        <v>0.5244140071</v>
      </c>
      <c r="J63" s="2"/>
      <c r="K63" s="5">
        <v>19.0</v>
      </c>
      <c r="L63" s="5">
        <f t="shared" ref="L63:S63" si="112">MULTIPLY(L44,1.25)</f>
        <v>325</v>
      </c>
      <c r="M63" s="5">
        <f t="shared" si="112"/>
        <v>625</v>
      </c>
      <c r="N63" s="5">
        <f t="shared" si="112"/>
        <v>893.75</v>
      </c>
      <c r="O63" s="5">
        <f t="shared" si="112"/>
        <v>1187.5</v>
      </c>
      <c r="P63" s="5">
        <f t="shared" si="112"/>
        <v>1693.75</v>
      </c>
      <c r="Q63" s="5">
        <f t="shared" si="112"/>
        <v>2143.75</v>
      </c>
      <c r="R63" s="5">
        <f t="shared" si="112"/>
        <v>3056.25</v>
      </c>
      <c r="S63" s="5">
        <f t="shared" si="112"/>
        <v>5806.25</v>
      </c>
      <c r="T63" s="2"/>
      <c r="U63" s="2"/>
      <c r="V63" s="35">
        <f>IFERROR(__xludf.DUMMYFUNCTION("""COMPUTED_VALUE"""),65.0)</f>
        <v>65</v>
      </c>
      <c r="W63" s="2"/>
      <c r="X63" s="2"/>
      <c r="Y63" s="2"/>
      <c r="Z63" s="2"/>
      <c r="AA63" s="1">
        <v>62.0</v>
      </c>
      <c r="AB63" s="5">
        <v>31000.0</v>
      </c>
      <c r="AC63" s="3">
        <f t="shared" si="15"/>
        <v>925750</v>
      </c>
      <c r="AD63" s="3">
        <f t="shared" si="4"/>
        <v>262000</v>
      </c>
      <c r="AE63" s="5">
        <v>37200.0</v>
      </c>
      <c r="AF63" s="3">
        <f t="shared" si="16"/>
        <v>1114830</v>
      </c>
      <c r="AG63" s="3">
        <f t="shared" si="5"/>
        <v>314380</v>
      </c>
      <c r="AH63" s="1">
        <v>46500.0</v>
      </c>
      <c r="AI63" s="3">
        <f t="shared" si="17"/>
        <v>1399600</v>
      </c>
      <c r="AJ63" s="3">
        <f t="shared" si="6"/>
        <v>393160</v>
      </c>
      <c r="AK63" s="2"/>
      <c r="AL63" s="5">
        <v>62.0</v>
      </c>
      <c r="AM63" s="3">
        <v>8920.0</v>
      </c>
      <c r="AN63" s="3">
        <f t="shared" si="18"/>
        <v>186280</v>
      </c>
      <c r="AO63" s="5">
        <f t="shared" si="12"/>
        <v>78620</v>
      </c>
      <c r="AP63" s="54">
        <f t="shared" si="7"/>
        <v>931400</v>
      </c>
      <c r="AQ63" s="35">
        <f>IFERROR(__xludf.DUMMYFUNCTION("""COMPUTED_VALUE"""),63.0)</f>
        <v>63</v>
      </c>
      <c r="AR63" s="2"/>
      <c r="AS63" s="2"/>
      <c r="AT63" s="35"/>
      <c r="AV63" s="35"/>
      <c r="AW63" s="33" t="s">
        <v>166</v>
      </c>
      <c r="AX63" s="27" t="s">
        <v>70</v>
      </c>
      <c r="AY63" s="27">
        <v>10.0</v>
      </c>
      <c r="AZ63" s="56" t="s">
        <v>40</v>
      </c>
      <c r="BA63" s="28">
        <v>5.0</v>
      </c>
      <c r="BB63" s="56" t="s">
        <v>41</v>
      </c>
      <c r="BC63" s="28">
        <v>10.0</v>
      </c>
      <c r="BD63" s="5" t="s">
        <v>42</v>
      </c>
      <c r="BE63" s="5" t="s">
        <v>41</v>
      </c>
      <c r="BF63" s="5" t="s">
        <v>40</v>
      </c>
      <c r="BG63" s="5" t="s">
        <v>41</v>
      </c>
      <c r="BH63" s="5" t="s">
        <v>43</v>
      </c>
      <c r="BI63" s="2"/>
      <c r="BJ63" s="2"/>
      <c r="BK63" s="2"/>
      <c r="BL63" s="2"/>
      <c r="BM63" s="2"/>
      <c r="BN63" s="2"/>
      <c r="BO63" s="2"/>
      <c r="BP63" s="2"/>
      <c r="BQ63" s="2"/>
      <c r="BR63" s="2"/>
      <c r="BS63" s="2"/>
    </row>
    <row r="64">
      <c r="A64" s="2"/>
      <c r="B64" s="2"/>
      <c r="C64" s="2"/>
      <c r="D64" s="3">
        <v>63.0</v>
      </c>
      <c r="E64" s="3">
        <v>148250.0</v>
      </c>
      <c r="F64" s="3">
        <f t="shared" si="8"/>
        <v>1395200</v>
      </c>
      <c r="G64" s="3">
        <f t="shared" si="9"/>
        <v>1247750</v>
      </c>
      <c r="H64" s="15">
        <f t="shared" ref="H64:I64" si="113">F64/$F$71</f>
        <v>0.5278949659</v>
      </c>
      <c r="I64" s="16">
        <f t="shared" si="113"/>
        <v>0.4721050341</v>
      </c>
      <c r="J64" s="2"/>
      <c r="K64" s="44">
        <v>20.0</v>
      </c>
      <c r="L64" s="44">
        <f t="shared" ref="L64:S64" si="114">MULTIPLY(L44,1.25)</f>
        <v>325</v>
      </c>
      <c r="M64" s="44">
        <f t="shared" si="114"/>
        <v>625</v>
      </c>
      <c r="N64" s="44">
        <f t="shared" si="114"/>
        <v>893.75</v>
      </c>
      <c r="O64" s="44">
        <f t="shared" si="114"/>
        <v>1187.5</v>
      </c>
      <c r="P64" s="44">
        <f t="shared" si="114"/>
        <v>1693.75</v>
      </c>
      <c r="Q64" s="44">
        <f t="shared" si="114"/>
        <v>2143.75</v>
      </c>
      <c r="R64" s="44">
        <f t="shared" si="114"/>
        <v>3056.25</v>
      </c>
      <c r="S64" s="44">
        <f t="shared" si="114"/>
        <v>5806.25</v>
      </c>
      <c r="T64" s="2"/>
      <c r="U64" s="2"/>
      <c r="V64" s="35">
        <f>IFERROR(__xludf.DUMMYFUNCTION("""COMPUTED_VALUE"""),66.0)</f>
        <v>66</v>
      </c>
      <c r="W64" s="2"/>
      <c r="X64" s="2"/>
      <c r="Y64" s="2"/>
      <c r="Z64" s="2"/>
      <c r="AA64" s="5">
        <v>63.0</v>
      </c>
      <c r="AB64" s="5">
        <v>31500.0</v>
      </c>
      <c r="AC64" s="3">
        <f t="shared" si="15"/>
        <v>956750</v>
      </c>
      <c r="AD64" s="3">
        <f t="shared" si="4"/>
        <v>231000</v>
      </c>
      <c r="AE64" s="5">
        <v>37790.0</v>
      </c>
      <c r="AF64" s="3">
        <f t="shared" si="16"/>
        <v>1152030</v>
      </c>
      <c r="AG64" s="3">
        <f t="shared" si="5"/>
        <v>277180</v>
      </c>
      <c r="AH64" s="1">
        <v>47290.0</v>
      </c>
      <c r="AI64" s="3">
        <f t="shared" si="17"/>
        <v>1446100</v>
      </c>
      <c r="AJ64" s="3">
        <f t="shared" si="6"/>
        <v>346660</v>
      </c>
      <c r="AK64" s="2"/>
      <c r="AL64" s="5">
        <v>63.0</v>
      </c>
      <c r="AM64" s="3">
        <v>9180.0</v>
      </c>
      <c r="AN64" s="3">
        <f t="shared" si="18"/>
        <v>195200</v>
      </c>
      <c r="AO64" s="5">
        <f t="shared" si="12"/>
        <v>69700</v>
      </c>
      <c r="AP64" s="54">
        <f t="shared" si="7"/>
        <v>976000</v>
      </c>
      <c r="AQ64" s="35">
        <f>IFERROR(__xludf.DUMMYFUNCTION("""COMPUTED_VALUE"""),64.0)</f>
        <v>64</v>
      </c>
      <c r="AR64" s="2"/>
      <c r="AS64" s="2"/>
      <c r="AT64" s="35"/>
      <c r="AV64" s="35"/>
      <c r="AW64" s="31" t="s">
        <v>167</v>
      </c>
      <c r="AX64" s="55" t="s">
        <v>118</v>
      </c>
      <c r="AY64" s="27">
        <v>5.0</v>
      </c>
      <c r="AZ64" s="56" t="s">
        <v>40</v>
      </c>
      <c r="BA64" s="28">
        <v>4.0</v>
      </c>
      <c r="BB64" s="55" t="s">
        <v>40</v>
      </c>
      <c r="BC64" s="28">
        <v>8.0</v>
      </c>
      <c r="BD64" s="5" t="s">
        <v>42</v>
      </c>
      <c r="BE64" s="5" t="s">
        <v>41</v>
      </c>
      <c r="BF64" s="5" t="s">
        <v>40</v>
      </c>
      <c r="BG64" s="5" t="s">
        <v>41</v>
      </c>
      <c r="BH64" s="5" t="s">
        <v>43</v>
      </c>
      <c r="BI64" s="2"/>
      <c r="BJ64" s="2"/>
      <c r="BK64" s="2"/>
      <c r="BL64" s="2"/>
      <c r="BM64" s="2"/>
      <c r="BN64" s="2"/>
      <c r="BO64" s="2"/>
      <c r="BP64" s="2"/>
      <c r="BQ64" s="2"/>
      <c r="BR64" s="2"/>
      <c r="BS64" s="2"/>
    </row>
    <row r="65">
      <c r="A65" s="2"/>
      <c r="B65" s="2"/>
      <c r="C65" s="2"/>
      <c r="D65" s="3">
        <v>64.0</v>
      </c>
      <c r="E65" s="3">
        <v>158250.0</v>
      </c>
      <c r="F65" s="3">
        <f t="shared" si="8"/>
        <v>1543450</v>
      </c>
      <c r="G65" s="3">
        <f t="shared" si="9"/>
        <v>1099500</v>
      </c>
      <c r="H65" s="15">
        <f t="shared" ref="H65:I65" si="115">F65/$F$71</f>
        <v>0.5839875896</v>
      </c>
      <c r="I65" s="16">
        <f t="shared" si="115"/>
        <v>0.4160124104</v>
      </c>
      <c r="J65" s="2"/>
      <c r="K65" s="57">
        <v>0.0</v>
      </c>
      <c r="L65" s="58" t="s">
        <v>168</v>
      </c>
      <c r="M65" s="59" t="s">
        <v>169</v>
      </c>
      <c r="N65" s="58" t="s">
        <v>170</v>
      </c>
      <c r="O65" s="58" t="s">
        <v>171</v>
      </c>
      <c r="P65" s="58" t="s">
        <v>172</v>
      </c>
      <c r="Q65" s="2"/>
      <c r="R65" s="2"/>
      <c r="S65" s="2"/>
      <c r="T65" s="2"/>
      <c r="U65" s="2"/>
      <c r="V65" s="35">
        <f>IFERROR(__xludf.DUMMYFUNCTION("""COMPUTED_VALUE"""),67.0)</f>
        <v>67</v>
      </c>
      <c r="W65" s="2"/>
      <c r="X65" s="2"/>
      <c r="Y65" s="2"/>
      <c r="Z65" s="2"/>
      <c r="AA65" s="1">
        <v>64.0</v>
      </c>
      <c r="AB65" s="5">
        <v>32000.0</v>
      </c>
      <c r="AC65" s="3">
        <f t="shared" si="15"/>
        <v>988250</v>
      </c>
      <c r="AD65" s="3">
        <f t="shared" si="4"/>
        <v>199500</v>
      </c>
      <c r="AE65" s="5">
        <v>38400.0</v>
      </c>
      <c r="AF65" s="3">
        <f t="shared" si="16"/>
        <v>1189820</v>
      </c>
      <c r="AG65" s="3">
        <f t="shared" si="5"/>
        <v>239390</v>
      </c>
      <c r="AH65" s="1">
        <v>48000.0</v>
      </c>
      <c r="AI65" s="3">
        <f t="shared" si="17"/>
        <v>1493390</v>
      </c>
      <c r="AJ65" s="3">
        <f t="shared" si="6"/>
        <v>299370</v>
      </c>
      <c r="AK65" s="2"/>
      <c r="AL65" s="5">
        <v>64.0</v>
      </c>
      <c r="AM65" s="3">
        <v>9440.0</v>
      </c>
      <c r="AN65" s="3">
        <f t="shared" si="18"/>
        <v>204380</v>
      </c>
      <c r="AO65" s="5">
        <f t="shared" si="12"/>
        <v>60520</v>
      </c>
      <c r="AP65" s="54">
        <f t="shared" si="7"/>
        <v>1021900</v>
      </c>
      <c r="AQ65" s="35">
        <f>IFERROR(__xludf.DUMMYFUNCTION("""COMPUTED_VALUE"""),65.0)</f>
        <v>65</v>
      </c>
      <c r="AR65" s="2"/>
      <c r="AS65" s="2"/>
      <c r="AT65" s="35"/>
      <c r="AV65" s="35"/>
      <c r="AW65" s="50" t="s">
        <v>173</v>
      </c>
      <c r="AX65" s="55" t="s">
        <v>118</v>
      </c>
      <c r="AY65" s="27">
        <v>10.0</v>
      </c>
      <c r="AZ65" s="56" t="s">
        <v>40</v>
      </c>
      <c r="BA65" s="28">
        <v>5.0</v>
      </c>
      <c r="BB65" s="28" t="s">
        <v>41</v>
      </c>
      <c r="BC65" s="28">
        <v>10.0</v>
      </c>
      <c r="BD65" s="5" t="s">
        <v>42</v>
      </c>
      <c r="BE65" s="5" t="s">
        <v>41</v>
      </c>
      <c r="BF65" s="5" t="s">
        <v>40</v>
      </c>
      <c r="BG65" s="5" t="s">
        <v>41</v>
      </c>
      <c r="BH65" s="5" t="s">
        <v>43</v>
      </c>
      <c r="BI65" s="2"/>
      <c r="BJ65" s="2"/>
      <c r="BK65" s="2"/>
      <c r="BL65" s="2"/>
      <c r="BM65" s="2"/>
      <c r="BN65" s="2"/>
      <c r="BO65" s="2"/>
      <c r="BP65" s="2"/>
      <c r="BQ65" s="2"/>
      <c r="BR65" s="2"/>
      <c r="BS65" s="2"/>
    </row>
    <row r="66">
      <c r="A66" s="2"/>
      <c r="B66" s="2"/>
      <c r="C66" s="2"/>
      <c r="D66" s="3">
        <v>65.0</v>
      </c>
      <c r="E66" s="3">
        <v>168250.0</v>
      </c>
      <c r="F66" s="3">
        <f t="shared" si="8"/>
        <v>1701700</v>
      </c>
      <c r="G66" s="3">
        <f t="shared" si="9"/>
        <v>941250</v>
      </c>
      <c r="H66" s="15">
        <f t="shared" ref="H66:I66" si="116">F66/$F$71</f>
        <v>0.6438638642</v>
      </c>
      <c r="I66" s="16">
        <f t="shared" si="116"/>
        <v>0.3561361358</v>
      </c>
      <c r="J66" s="2"/>
      <c r="K66" s="60">
        <v>1.0</v>
      </c>
      <c r="L66" s="61" t="s">
        <v>168</v>
      </c>
      <c r="M66" s="61" t="s">
        <v>174</v>
      </c>
      <c r="N66" s="61" t="s">
        <v>170</v>
      </c>
      <c r="O66" s="56" t="s">
        <v>171</v>
      </c>
      <c r="P66" s="61" t="s">
        <v>172</v>
      </c>
      <c r="Q66" s="2"/>
      <c r="R66" s="2"/>
      <c r="S66" s="2"/>
      <c r="T66" s="2"/>
      <c r="U66" s="2"/>
      <c r="V66" s="35">
        <f>IFERROR(__xludf.DUMMYFUNCTION("""COMPUTED_VALUE"""),68.0)</f>
        <v>68</v>
      </c>
      <c r="W66" s="2"/>
      <c r="X66" s="2"/>
      <c r="Y66" s="2"/>
      <c r="Z66" s="2"/>
      <c r="AA66" s="5">
        <v>65.0</v>
      </c>
      <c r="AB66" s="5">
        <v>32500.0</v>
      </c>
      <c r="AC66" s="3">
        <f t="shared" si="15"/>
        <v>1020250</v>
      </c>
      <c r="AD66" s="3">
        <f t="shared" si="4"/>
        <v>167500</v>
      </c>
      <c r="AE66" s="5">
        <v>39000.0</v>
      </c>
      <c r="AF66" s="3">
        <f t="shared" si="16"/>
        <v>1228220</v>
      </c>
      <c r="AG66" s="3">
        <f t="shared" si="5"/>
        <v>200990</v>
      </c>
      <c r="AH66" s="1">
        <v>48790.0</v>
      </c>
      <c r="AI66" s="3">
        <f t="shared" si="17"/>
        <v>1541390</v>
      </c>
      <c r="AJ66" s="3">
        <f t="shared" si="6"/>
        <v>251370</v>
      </c>
      <c r="AK66" s="2"/>
      <c r="AL66" s="5">
        <v>65.0</v>
      </c>
      <c r="AM66" s="3">
        <v>9700.0</v>
      </c>
      <c r="AN66" s="3">
        <f t="shared" si="18"/>
        <v>213820</v>
      </c>
      <c r="AO66" s="5">
        <f t="shared" si="12"/>
        <v>51080</v>
      </c>
      <c r="AP66" s="54">
        <f t="shared" si="7"/>
        <v>1069100</v>
      </c>
      <c r="AQ66" s="35">
        <f>IFERROR(__xludf.DUMMYFUNCTION("""COMPUTED_VALUE"""),66.0)</f>
        <v>66</v>
      </c>
      <c r="AR66" s="2"/>
      <c r="AS66" s="2"/>
      <c r="AT66" s="35"/>
      <c r="AV66" s="35"/>
      <c r="AW66" s="36" t="s">
        <v>175</v>
      </c>
      <c r="AX66" s="55" t="s">
        <v>118</v>
      </c>
      <c r="AY66" s="27">
        <v>10.0</v>
      </c>
      <c r="AZ66" s="56" t="s">
        <v>40</v>
      </c>
      <c r="BA66" s="28">
        <v>5.0</v>
      </c>
      <c r="BB66" s="27" t="s">
        <v>40</v>
      </c>
      <c r="BC66" s="28">
        <v>10.0</v>
      </c>
      <c r="BD66" s="5" t="s">
        <v>42</v>
      </c>
      <c r="BE66" s="5" t="s">
        <v>41</v>
      </c>
      <c r="BF66" s="5" t="s">
        <v>40</v>
      </c>
      <c r="BG66" s="5" t="s">
        <v>41</v>
      </c>
      <c r="BH66" s="5" t="s">
        <v>43</v>
      </c>
      <c r="BI66" s="2"/>
      <c r="BJ66" s="2"/>
      <c r="BK66" s="2"/>
      <c r="BL66" s="2"/>
      <c r="BM66" s="2"/>
      <c r="BN66" s="2"/>
      <c r="BO66" s="2"/>
      <c r="BP66" s="2"/>
      <c r="BQ66" s="2"/>
      <c r="BR66" s="2"/>
      <c r="BS66" s="2"/>
    </row>
    <row r="67">
      <c r="A67" s="2"/>
      <c r="B67" s="2"/>
      <c r="C67" s="2"/>
      <c r="D67" s="3">
        <v>66.0</v>
      </c>
      <c r="E67" s="3">
        <v>178250.0</v>
      </c>
      <c r="F67" s="3">
        <f t="shared" si="8"/>
        <v>1869950</v>
      </c>
      <c r="G67" s="3">
        <f t="shared" si="9"/>
        <v>773000</v>
      </c>
      <c r="H67" s="15">
        <f t="shared" ref="H67:I67" si="117">F67/$F$71</f>
        <v>0.7075237897</v>
      </c>
      <c r="I67" s="16">
        <f t="shared" si="117"/>
        <v>0.2924762103</v>
      </c>
      <c r="J67" s="2"/>
      <c r="K67" s="60">
        <v>2.0</v>
      </c>
      <c r="L67" s="61" t="s">
        <v>168</v>
      </c>
      <c r="M67" s="61" t="s">
        <v>174</v>
      </c>
      <c r="N67" s="61" t="s">
        <v>170</v>
      </c>
      <c r="O67" s="61" t="s">
        <v>176</v>
      </c>
      <c r="P67" s="61" t="s">
        <v>172</v>
      </c>
      <c r="Q67" s="2"/>
      <c r="R67" s="2"/>
      <c r="S67" s="2"/>
      <c r="T67" s="2"/>
      <c r="U67" s="2"/>
      <c r="V67" s="35">
        <f>IFERROR(__xludf.DUMMYFUNCTION("""COMPUTED_VALUE"""),69.0)</f>
        <v>69</v>
      </c>
      <c r="W67" s="2"/>
      <c r="X67" s="2"/>
      <c r="Y67" s="2"/>
      <c r="Z67" s="2"/>
      <c r="AA67" s="1">
        <v>66.0</v>
      </c>
      <c r="AB67" s="5">
        <v>33000.0</v>
      </c>
      <c r="AC67" s="3">
        <f t="shared" si="15"/>
        <v>1052750</v>
      </c>
      <c r="AD67" s="3">
        <f t="shared" si="4"/>
        <v>135000</v>
      </c>
      <c r="AE67" s="5">
        <v>39590.0</v>
      </c>
      <c r="AF67" s="3">
        <f t="shared" si="16"/>
        <v>1267220</v>
      </c>
      <c r="AG67" s="3">
        <f t="shared" si="5"/>
        <v>161990</v>
      </c>
      <c r="AH67" s="1">
        <v>49500.0</v>
      </c>
      <c r="AI67" s="3">
        <f t="shared" si="17"/>
        <v>1590180</v>
      </c>
      <c r="AJ67" s="3">
        <f t="shared" si="6"/>
        <v>202580</v>
      </c>
      <c r="AK67" s="2"/>
      <c r="AL67" s="5">
        <v>66.0</v>
      </c>
      <c r="AM67" s="3">
        <v>9960.0</v>
      </c>
      <c r="AN67" s="3">
        <f t="shared" si="18"/>
        <v>223520</v>
      </c>
      <c r="AO67" s="5">
        <f t="shared" si="12"/>
        <v>41380</v>
      </c>
      <c r="AP67" s="54">
        <f t="shared" si="7"/>
        <v>1117600</v>
      </c>
      <c r="AQ67" s="35">
        <f>IFERROR(__xludf.DUMMYFUNCTION("""COMPUTED_VALUE"""),67.0)</f>
        <v>67</v>
      </c>
      <c r="AR67" s="2"/>
      <c r="AS67" s="2"/>
      <c r="AT67" s="35"/>
      <c r="AV67" s="35"/>
      <c r="AW67" s="31" t="s">
        <v>177</v>
      </c>
      <c r="AX67" s="55" t="s">
        <v>56</v>
      </c>
      <c r="AY67" s="27">
        <v>10.0</v>
      </c>
      <c r="AZ67" s="27" t="s">
        <v>41</v>
      </c>
      <c r="BA67" s="27">
        <v>4.0</v>
      </c>
      <c r="BB67" s="55" t="s">
        <v>40</v>
      </c>
      <c r="BC67" s="27">
        <v>8.0</v>
      </c>
      <c r="BD67" s="5" t="s">
        <v>42</v>
      </c>
      <c r="BE67" s="5" t="s">
        <v>41</v>
      </c>
      <c r="BF67" s="5" t="s">
        <v>40</v>
      </c>
      <c r="BG67" s="5" t="s">
        <v>41</v>
      </c>
      <c r="BH67" s="5" t="s">
        <v>43</v>
      </c>
      <c r="BI67" s="2"/>
      <c r="BJ67" s="2"/>
      <c r="BK67" s="2"/>
      <c r="BL67" s="2"/>
      <c r="BM67" s="2"/>
      <c r="BN67" s="2"/>
      <c r="BO67" s="2"/>
      <c r="BP67" s="2"/>
      <c r="BQ67" s="2"/>
      <c r="BR67" s="2"/>
      <c r="BS67" s="2"/>
    </row>
    <row r="68">
      <c r="A68" s="2"/>
      <c r="B68" s="2"/>
      <c r="C68" s="2"/>
      <c r="D68" s="3">
        <v>67.0</v>
      </c>
      <c r="E68" s="3">
        <v>188250.0</v>
      </c>
      <c r="F68" s="3">
        <f t="shared" si="8"/>
        <v>2048200</v>
      </c>
      <c r="G68" s="3">
        <f t="shared" si="9"/>
        <v>594750</v>
      </c>
      <c r="H68" s="15">
        <f t="shared" ref="H68:I68" si="118">F68/$F$71</f>
        <v>0.774967366</v>
      </c>
      <c r="I68" s="16">
        <f t="shared" si="118"/>
        <v>0.225032634</v>
      </c>
      <c r="J68" s="2"/>
      <c r="K68" s="60">
        <v>3.0</v>
      </c>
      <c r="L68" s="61" t="s">
        <v>178</v>
      </c>
      <c r="M68" s="61" t="s">
        <v>174</v>
      </c>
      <c r="N68" s="61" t="s">
        <v>170</v>
      </c>
      <c r="O68" s="61" t="s">
        <v>176</v>
      </c>
      <c r="P68" s="61" t="s">
        <v>172</v>
      </c>
      <c r="Q68" s="2"/>
      <c r="R68" s="2"/>
      <c r="S68" s="2"/>
      <c r="T68" s="2"/>
      <c r="U68" s="2"/>
      <c r="V68" s="2"/>
      <c r="W68" s="2"/>
      <c r="X68" s="2"/>
      <c r="Y68" s="2"/>
      <c r="Z68" s="2"/>
      <c r="AA68" s="5">
        <v>67.0</v>
      </c>
      <c r="AB68" s="5">
        <v>33500.0</v>
      </c>
      <c r="AC68" s="3">
        <f t="shared" si="15"/>
        <v>1085750</v>
      </c>
      <c r="AD68" s="3">
        <f t="shared" si="4"/>
        <v>102000</v>
      </c>
      <c r="AE68" s="5">
        <v>40200.0</v>
      </c>
      <c r="AF68" s="3">
        <f t="shared" si="16"/>
        <v>1306810</v>
      </c>
      <c r="AG68" s="3">
        <f t="shared" si="5"/>
        <v>122400</v>
      </c>
      <c r="AH68" s="1">
        <v>50290.0</v>
      </c>
      <c r="AI68" s="3">
        <f t="shared" si="17"/>
        <v>1639680</v>
      </c>
      <c r="AJ68" s="3">
        <f t="shared" si="6"/>
        <v>153080</v>
      </c>
      <c r="AK68" s="2"/>
      <c r="AL68" s="5">
        <v>67.0</v>
      </c>
      <c r="AM68" s="3">
        <v>10220.0</v>
      </c>
      <c r="AN68" s="3">
        <f t="shared" si="18"/>
        <v>233480</v>
      </c>
      <c r="AO68" s="5">
        <f t="shared" si="12"/>
        <v>31420</v>
      </c>
      <c r="AP68" s="54">
        <f t="shared" si="7"/>
        <v>1167400</v>
      </c>
      <c r="AQ68" s="35">
        <f>IFERROR(__xludf.DUMMYFUNCTION("""COMPUTED_VALUE"""),68.0)</f>
        <v>68</v>
      </c>
      <c r="AR68" s="2"/>
      <c r="AS68" s="2"/>
      <c r="AT68" s="35"/>
      <c r="AV68" s="35"/>
      <c r="AW68" s="36" t="s">
        <v>179</v>
      </c>
      <c r="AX68" s="27" t="s">
        <v>56</v>
      </c>
      <c r="AY68" s="27">
        <v>20.0</v>
      </c>
      <c r="AZ68" s="27" t="s">
        <v>41</v>
      </c>
      <c r="BA68" s="27">
        <v>5.0</v>
      </c>
      <c r="BB68" s="27" t="s">
        <v>40</v>
      </c>
      <c r="BC68" s="27">
        <v>10.0</v>
      </c>
      <c r="BD68" s="5" t="s">
        <v>42</v>
      </c>
      <c r="BE68" s="5" t="s">
        <v>41</v>
      </c>
      <c r="BF68" s="5" t="s">
        <v>40</v>
      </c>
      <c r="BG68" s="5" t="s">
        <v>41</v>
      </c>
      <c r="BH68" s="5" t="s">
        <v>43</v>
      </c>
      <c r="BI68" s="2"/>
      <c r="BJ68" s="2"/>
      <c r="BK68" s="2"/>
      <c r="BL68" s="2"/>
      <c r="BM68" s="2"/>
      <c r="BN68" s="2"/>
      <c r="BO68" s="2"/>
      <c r="BP68" s="2"/>
      <c r="BQ68" s="2"/>
      <c r="BR68" s="2"/>
      <c r="BS68" s="2"/>
    </row>
    <row r="69">
      <c r="A69" s="2"/>
      <c r="B69" s="2"/>
      <c r="C69" s="2"/>
      <c r="D69" s="3">
        <v>68.0</v>
      </c>
      <c r="E69" s="3">
        <v>198250.0</v>
      </c>
      <c r="F69" s="3">
        <f t="shared" si="8"/>
        <v>2236450</v>
      </c>
      <c r="G69" s="3">
        <f t="shared" si="9"/>
        <v>406500</v>
      </c>
      <c r="H69" s="15">
        <f t="shared" ref="H69:I69" si="119">F69/$F$71</f>
        <v>0.8461945932</v>
      </c>
      <c r="I69" s="16">
        <f t="shared" si="119"/>
        <v>0.1538054068</v>
      </c>
      <c r="J69" s="2"/>
      <c r="K69" s="60">
        <v>4.0</v>
      </c>
      <c r="L69" s="61" t="s">
        <v>178</v>
      </c>
      <c r="M69" s="61" t="s">
        <v>174</v>
      </c>
      <c r="N69" s="61" t="s">
        <v>170</v>
      </c>
      <c r="O69" s="61" t="s">
        <v>180</v>
      </c>
      <c r="P69" s="61" t="s">
        <v>172</v>
      </c>
      <c r="Q69" s="2"/>
      <c r="R69" s="2"/>
      <c r="S69" s="2"/>
      <c r="T69" s="2"/>
      <c r="U69" s="2"/>
      <c r="V69" s="2"/>
      <c r="W69" s="2"/>
      <c r="X69" s="2"/>
      <c r="Y69" s="2"/>
      <c r="Z69" s="2"/>
      <c r="AA69" s="1">
        <v>68.0</v>
      </c>
      <c r="AB69" s="5">
        <v>34000.0</v>
      </c>
      <c r="AC69" s="3">
        <f t="shared" si="15"/>
        <v>1119250</v>
      </c>
      <c r="AD69" s="3">
        <f t="shared" si="4"/>
        <v>68500</v>
      </c>
      <c r="AE69" s="5">
        <v>40800.0</v>
      </c>
      <c r="AF69" s="3">
        <f t="shared" si="16"/>
        <v>1347010</v>
      </c>
      <c r="AG69" s="3">
        <f t="shared" si="5"/>
        <v>82200</v>
      </c>
      <c r="AH69" s="1">
        <v>51000.0</v>
      </c>
      <c r="AI69" s="3">
        <f t="shared" si="17"/>
        <v>1689970</v>
      </c>
      <c r="AJ69" s="3">
        <f t="shared" si="6"/>
        <v>102790</v>
      </c>
      <c r="AK69" s="2"/>
      <c r="AL69" s="5">
        <v>68.0</v>
      </c>
      <c r="AM69" s="3">
        <v>10470.0</v>
      </c>
      <c r="AN69" s="3">
        <f t="shared" si="18"/>
        <v>243700</v>
      </c>
      <c r="AO69" s="5">
        <f t="shared" si="12"/>
        <v>21200</v>
      </c>
      <c r="AP69" s="54">
        <f t="shared" si="7"/>
        <v>1218500</v>
      </c>
      <c r="AQ69" s="35">
        <f>IFERROR(__xludf.DUMMYFUNCTION("""COMPUTED_VALUE"""),69.0)</f>
        <v>69</v>
      </c>
      <c r="AR69" s="2"/>
      <c r="AS69" s="2"/>
      <c r="AT69" s="35"/>
      <c r="AV69" s="35"/>
      <c r="AW69" s="45" t="s">
        <v>181</v>
      </c>
      <c r="AX69" s="37" t="s">
        <v>99</v>
      </c>
      <c r="AY69" s="38">
        <v>10.0</v>
      </c>
      <c r="AZ69" s="37" t="s">
        <v>41</v>
      </c>
      <c r="BA69" s="38">
        <v>5.0</v>
      </c>
      <c r="BB69" s="28" t="s">
        <v>39</v>
      </c>
      <c r="BC69" s="28">
        <v>10.0</v>
      </c>
      <c r="BD69" s="5" t="s">
        <v>42</v>
      </c>
      <c r="BE69" s="5" t="s">
        <v>41</v>
      </c>
      <c r="BF69" s="5" t="s">
        <v>40</v>
      </c>
      <c r="BG69" s="5" t="s">
        <v>41</v>
      </c>
      <c r="BH69" s="5" t="s">
        <v>43</v>
      </c>
      <c r="BI69" s="2"/>
      <c r="BJ69" s="2"/>
      <c r="BK69" s="2"/>
      <c r="BL69" s="2"/>
      <c r="BM69" s="2"/>
      <c r="BN69" s="2"/>
      <c r="BO69" s="2"/>
      <c r="BP69" s="2"/>
      <c r="BQ69" s="2"/>
      <c r="BR69" s="2"/>
      <c r="BS69" s="2"/>
    </row>
    <row r="70">
      <c r="A70" s="2"/>
      <c r="B70" s="2"/>
      <c r="C70" s="2"/>
      <c r="D70" s="3">
        <v>69.0</v>
      </c>
      <c r="E70" s="3">
        <v>208250.0</v>
      </c>
      <c r="F70" s="3">
        <f t="shared" si="8"/>
        <v>2434700</v>
      </c>
      <c r="G70" s="3">
        <f t="shared" si="9"/>
        <v>208250</v>
      </c>
      <c r="H70" s="15">
        <f t="shared" ref="H70:I70" si="120">F70/$F$71</f>
        <v>0.9212054712</v>
      </c>
      <c r="I70" s="16">
        <f t="shared" si="120"/>
        <v>0.07879452884</v>
      </c>
      <c r="J70" s="2"/>
      <c r="K70" s="60">
        <v>5.0</v>
      </c>
      <c r="L70" s="61" t="s">
        <v>178</v>
      </c>
      <c r="M70" s="61" t="s">
        <v>182</v>
      </c>
      <c r="N70" s="61" t="s">
        <v>170</v>
      </c>
      <c r="O70" s="61" t="s">
        <v>180</v>
      </c>
      <c r="P70" s="61" t="s">
        <v>172</v>
      </c>
      <c r="Q70" s="2"/>
      <c r="R70" s="2"/>
      <c r="S70" s="2"/>
      <c r="T70" s="2"/>
      <c r="U70" s="2"/>
      <c r="V70" s="2"/>
      <c r="W70" s="2"/>
      <c r="X70" s="2"/>
      <c r="Y70" s="2"/>
      <c r="Z70" s="2"/>
      <c r="AA70" s="5">
        <v>69.0</v>
      </c>
      <c r="AB70" s="5">
        <v>34500.0</v>
      </c>
      <c r="AC70" s="3">
        <f t="shared" si="15"/>
        <v>1153250</v>
      </c>
      <c r="AD70" s="3">
        <f t="shared" si="4"/>
        <v>34500</v>
      </c>
      <c r="AE70" s="5">
        <v>41400.0</v>
      </c>
      <c r="AF70" s="3">
        <f t="shared" si="16"/>
        <v>1387810</v>
      </c>
      <c r="AG70" s="3">
        <f t="shared" si="5"/>
        <v>41400</v>
      </c>
      <c r="AH70" s="1">
        <v>51790.0</v>
      </c>
      <c r="AI70" s="3">
        <f t="shared" si="17"/>
        <v>1740970</v>
      </c>
      <c r="AJ70" s="3">
        <f t="shared" si="6"/>
        <v>51790</v>
      </c>
      <c r="AK70" s="2"/>
      <c r="AL70" s="5">
        <v>69.0</v>
      </c>
      <c r="AM70" s="3">
        <v>10730.0</v>
      </c>
      <c r="AN70" s="3">
        <f t="shared" si="18"/>
        <v>254170</v>
      </c>
      <c r="AO70" s="5">
        <f t="shared" si="12"/>
        <v>10730</v>
      </c>
      <c r="AP70" s="54">
        <f t="shared" si="7"/>
        <v>1270850</v>
      </c>
      <c r="AQ70" s="35">
        <f>IFERROR(__xludf.DUMMYFUNCTION("""COMPUTED_VALUE"""),70.0)</f>
        <v>70</v>
      </c>
      <c r="AR70" s="2"/>
      <c r="AS70" s="2"/>
      <c r="AT70" s="35"/>
      <c r="AV70" s="35"/>
      <c r="AW70" s="45" t="s">
        <v>183</v>
      </c>
      <c r="AX70" s="37" t="s">
        <v>99</v>
      </c>
      <c r="AY70" s="38">
        <v>10.0</v>
      </c>
      <c r="AZ70" s="37" t="s">
        <v>40</v>
      </c>
      <c r="BA70" s="38">
        <v>5.0</v>
      </c>
      <c r="BB70" s="28" t="s">
        <v>39</v>
      </c>
      <c r="BC70" s="28">
        <v>10.0</v>
      </c>
      <c r="BD70" s="5" t="s">
        <v>42</v>
      </c>
      <c r="BE70" s="5" t="s">
        <v>42</v>
      </c>
      <c r="BF70" s="5" t="s">
        <v>40</v>
      </c>
      <c r="BG70" s="5" t="s">
        <v>41</v>
      </c>
      <c r="BH70" s="5" t="s">
        <v>43</v>
      </c>
      <c r="BI70" s="2"/>
      <c r="BJ70" s="2"/>
      <c r="BK70" s="2"/>
      <c r="BL70" s="2"/>
      <c r="BM70" s="2"/>
      <c r="BN70" s="2"/>
      <c r="BO70" s="2"/>
      <c r="BP70" s="2"/>
      <c r="BQ70" s="2"/>
      <c r="BR70" s="2"/>
      <c r="BS70" s="2"/>
    </row>
    <row r="71">
      <c r="A71" s="2"/>
      <c r="B71" s="2"/>
      <c r="C71" s="2"/>
      <c r="D71" s="3">
        <v>70.0</v>
      </c>
      <c r="E71" s="3" t="s">
        <v>184</v>
      </c>
      <c r="F71" s="3">
        <f t="shared" si="8"/>
        <v>2642950</v>
      </c>
      <c r="G71" s="3">
        <f t="shared" si="9"/>
        <v>0</v>
      </c>
      <c r="H71" s="15">
        <f t="shared" ref="H71:I71" si="121">F71/$F$71</f>
        <v>1</v>
      </c>
      <c r="I71" s="16">
        <f t="shared" si="121"/>
        <v>0</v>
      </c>
      <c r="J71" s="2"/>
      <c r="K71" s="60">
        <v>6.0</v>
      </c>
      <c r="L71" s="61" t="s">
        <v>185</v>
      </c>
      <c r="M71" s="61" t="s">
        <v>182</v>
      </c>
      <c r="N71" s="61" t="s">
        <v>170</v>
      </c>
      <c r="O71" s="61" t="s">
        <v>180</v>
      </c>
      <c r="P71" s="61" t="s">
        <v>172</v>
      </c>
      <c r="Q71" s="2"/>
      <c r="R71" s="2"/>
      <c r="S71" s="2"/>
      <c r="T71" s="2"/>
      <c r="U71" s="2"/>
      <c r="V71" s="2"/>
      <c r="W71" s="2"/>
      <c r="X71" s="2"/>
      <c r="Y71" s="2"/>
      <c r="Z71" s="2"/>
      <c r="AA71" s="1">
        <v>70.0</v>
      </c>
      <c r="AB71" s="3">
        <v>0.0</v>
      </c>
      <c r="AC71" s="3">
        <f t="shared" si="15"/>
        <v>1187750</v>
      </c>
      <c r="AD71" s="3">
        <f t="shared" si="4"/>
        <v>0</v>
      </c>
      <c r="AE71" s="3">
        <v>0.0</v>
      </c>
      <c r="AF71" s="3">
        <f t="shared" si="16"/>
        <v>1429210</v>
      </c>
      <c r="AG71" s="3">
        <f t="shared" si="5"/>
        <v>0</v>
      </c>
      <c r="AH71" s="62">
        <f>sum(AH2:AH70)</f>
        <v>1792760</v>
      </c>
      <c r="AI71" s="3">
        <f t="shared" si="17"/>
        <v>1792760</v>
      </c>
      <c r="AJ71" s="3">
        <f t="shared" si="6"/>
        <v>0</v>
      </c>
      <c r="AK71" s="2"/>
      <c r="AL71" s="5">
        <v>70.0</v>
      </c>
      <c r="AM71" s="3">
        <v>0.0</v>
      </c>
      <c r="AN71" s="3">
        <f t="shared" si="18"/>
        <v>264900</v>
      </c>
      <c r="AO71" s="5">
        <f t="shared" si="12"/>
        <v>0</v>
      </c>
      <c r="AP71" s="54">
        <f t="shared" si="7"/>
        <v>1324500</v>
      </c>
      <c r="AQ71" s="2"/>
      <c r="AR71" s="2"/>
      <c r="AS71" s="2"/>
      <c r="AT71" s="35"/>
      <c r="AV71" s="35"/>
      <c r="AW71" s="26" t="s">
        <v>186</v>
      </c>
      <c r="AX71" s="39" t="s">
        <v>99</v>
      </c>
      <c r="AY71" s="40">
        <v>10.0</v>
      </c>
      <c r="AZ71" s="37" t="s">
        <v>40</v>
      </c>
      <c r="BA71" s="38">
        <v>5.0</v>
      </c>
      <c r="BB71" s="27" t="s">
        <v>40</v>
      </c>
      <c r="BC71" s="28">
        <v>10.0</v>
      </c>
      <c r="BD71" s="5" t="s">
        <v>42</v>
      </c>
      <c r="BE71" s="5" t="s">
        <v>41</v>
      </c>
      <c r="BF71" s="5" t="s">
        <v>40</v>
      </c>
      <c r="BG71" s="5" t="s">
        <v>41</v>
      </c>
      <c r="BH71" s="5" t="s">
        <v>43</v>
      </c>
      <c r="BI71" s="2"/>
      <c r="BJ71" s="2"/>
      <c r="BK71" s="2"/>
      <c r="BM71" s="2"/>
      <c r="BN71" s="2"/>
      <c r="BO71" s="2"/>
      <c r="BP71" s="2"/>
      <c r="BQ71" s="2"/>
      <c r="BR71" s="2"/>
      <c r="BS71" s="2"/>
    </row>
    <row r="72">
      <c r="A72" s="2"/>
      <c r="B72" s="2"/>
      <c r="C72" s="2"/>
      <c r="D72" s="2"/>
      <c r="E72" s="35"/>
      <c r="F72" s="5">
        <f>vlookup(Operations!I2,D2:G71,4)</f>
        <v>2461250</v>
      </c>
      <c r="G72" s="62">
        <f>vlookup(Operations!M2,D1:G71,4)</f>
        <v>2315000</v>
      </c>
      <c r="H72" s="63"/>
      <c r="I72" s="63"/>
      <c r="J72" s="2"/>
      <c r="K72" s="60">
        <v>7.0</v>
      </c>
      <c r="L72" s="61" t="s">
        <v>185</v>
      </c>
      <c r="M72" s="61" t="s">
        <v>182</v>
      </c>
      <c r="N72" s="61" t="s">
        <v>170</v>
      </c>
      <c r="O72" s="61" t="s">
        <v>187</v>
      </c>
      <c r="P72" s="61" t="s">
        <v>172</v>
      </c>
      <c r="Q72" s="2"/>
      <c r="R72" s="2"/>
      <c r="S72" s="2"/>
      <c r="T72" s="2"/>
      <c r="U72" s="2"/>
      <c r="V72" s="2"/>
      <c r="W72" s="2"/>
      <c r="X72" s="2"/>
      <c r="Y72" s="2"/>
      <c r="Z72" s="2"/>
      <c r="AA72" s="1"/>
      <c r="AB72" s="1" t="s">
        <v>188</v>
      </c>
      <c r="AC72" s="14">
        <f>vlookup(Abilities!$A$19,$AA$2:$AJ$70,4)</f>
        <v>1112500</v>
      </c>
      <c r="AD72" s="14">
        <f>vlookup(Abilities!$B$19,$AA$2:$AJ$70,4)</f>
        <v>817500</v>
      </c>
      <c r="AE72" s="1" t="s">
        <v>188</v>
      </c>
      <c r="AF72" s="14">
        <f>vlookup(Abilities!$A$24,$AA$2:$AJ$70,7)</f>
        <v>386970</v>
      </c>
      <c r="AG72" s="14">
        <f>vlookup(Abilities!$B$24,$AA$2:$AJ$70,7)</f>
        <v>980960</v>
      </c>
      <c r="AH72" s="1" t="s">
        <v>188</v>
      </c>
      <c r="AI72" s="14">
        <f>vlookup(Abilities!$A$29,$AA$2:$AJ$70,10)</f>
        <v>1463300</v>
      </c>
      <c r="AJ72" s="14">
        <f>vlookup(Abilities!$B$29,$AA$2:$AJ$70,10)</f>
        <v>892900</v>
      </c>
      <c r="AK72" s="2"/>
      <c r="AL72" s="1" t="s">
        <v>188</v>
      </c>
      <c r="AM72" s="14">
        <f>vlookup('Gear Leveling &amp; Effects'!$Q$14,$AL$2:$AP$71,3)</f>
        <v>0</v>
      </c>
      <c r="AN72" s="14">
        <f>vlookup('Gear Leveling &amp; Effects'!$Q$15,$AL$2:$AP$71,3)</f>
        <v>740</v>
      </c>
      <c r="AP72" s="64"/>
      <c r="AQ72" s="2"/>
      <c r="AR72" s="2"/>
      <c r="AS72" s="2"/>
      <c r="AT72" s="35"/>
      <c r="AV72" s="35"/>
      <c r="AW72" s="26" t="s">
        <v>189</v>
      </c>
      <c r="AX72" s="39" t="s">
        <v>103</v>
      </c>
      <c r="AY72" s="38">
        <v>10.0</v>
      </c>
      <c r="AZ72" s="39" t="s">
        <v>41</v>
      </c>
      <c r="BA72" s="38">
        <v>5.0</v>
      </c>
      <c r="BB72" s="38" t="s">
        <v>41</v>
      </c>
      <c r="BC72" s="28">
        <v>10.0</v>
      </c>
      <c r="BD72" s="5" t="s">
        <v>42</v>
      </c>
      <c r="BE72" s="5" t="s">
        <v>41</v>
      </c>
      <c r="BF72" s="5" t="s">
        <v>40</v>
      </c>
      <c r="BG72" s="5" t="s">
        <v>41</v>
      </c>
      <c r="BH72" s="5" t="s">
        <v>43</v>
      </c>
      <c r="BI72" s="2"/>
      <c r="BJ72" s="2"/>
      <c r="BK72" s="2"/>
      <c r="BM72" s="2"/>
      <c r="BN72" s="2"/>
      <c r="BO72" s="2"/>
      <c r="BP72" s="2"/>
      <c r="BQ72" s="2"/>
      <c r="BR72" s="2"/>
      <c r="BS72" s="2"/>
    </row>
    <row r="73">
      <c r="A73" s="2"/>
      <c r="B73" s="2"/>
      <c r="C73" s="2"/>
      <c r="D73" s="35"/>
      <c r="E73" s="35"/>
      <c r="F73" s="65"/>
      <c r="G73" s="62">
        <f>minus(F72,G72)</f>
        <v>146250</v>
      </c>
      <c r="H73" s="63"/>
      <c r="I73" s="63"/>
      <c r="J73" s="2"/>
      <c r="K73" s="60">
        <v>8.0</v>
      </c>
      <c r="L73" s="61" t="s">
        <v>185</v>
      </c>
      <c r="M73" s="61" t="s">
        <v>190</v>
      </c>
      <c r="N73" s="61" t="s">
        <v>170</v>
      </c>
      <c r="O73" s="61" t="s">
        <v>187</v>
      </c>
      <c r="P73" s="61" t="s">
        <v>172</v>
      </c>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35"/>
      <c r="AV73" s="35"/>
      <c r="AW73" s="31" t="s">
        <v>191</v>
      </c>
      <c r="AX73" s="55" t="s">
        <v>56</v>
      </c>
      <c r="AY73" s="27">
        <v>20.0</v>
      </c>
      <c r="AZ73" s="28" t="s">
        <v>40</v>
      </c>
      <c r="BA73" s="28">
        <v>5.0</v>
      </c>
      <c r="BB73" s="55" t="s">
        <v>40</v>
      </c>
      <c r="BC73" s="28">
        <v>10.0</v>
      </c>
      <c r="BD73" s="5" t="s">
        <v>42</v>
      </c>
      <c r="BE73" s="5" t="s">
        <v>41</v>
      </c>
      <c r="BF73" s="5" t="s">
        <v>40</v>
      </c>
      <c r="BG73" s="5" t="s">
        <v>41</v>
      </c>
      <c r="BH73" s="5" t="s">
        <v>43</v>
      </c>
      <c r="BI73" s="2"/>
      <c r="BJ73" s="2"/>
      <c r="BK73" s="2"/>
      <c r="BM73" s="2"/>
      <c r="BN73" s="2"/>
      <c r="BO73" s="2"/>
      <c r="BP73" s="2"/>
      <c r="BQ73" s="2"/>
      <c r="BR73" s="2"/>
      <c r="BS73" s="2"/>
    </row>
    <row r="74">
      <c r="A74" s="2"/>
      <c r="B74" s="2"/>
      <c r="C74" s="2"/>
      <c r="D74" s="35"/>
      <c r="E74" s="35"/>
      <c r="F74" s="65"/>
      <c r="G74" s="65"/>
      <c r="H74" s="63"/>
      <c r="I74" s="63"/>
      <c r="J74" s="2"/>
      <c r="K74" s="60">
        <v>9.0</v>
      </c>
      <c r="L74" s="61" t="s">
        <v>192</v>
      </c>
      <c r="M74" s="61" t="s">
        <v>190</v>
      </c>
      <c r="N74" s="61" t="s">
        <v>170</v>
      </c>
      <c r="O74" s="61" t="s">
        <v>187</v>
      </c>
      <c r="P74" s="61" t="s">
        <v>172</v>
      </c>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35"/>
      <c r="AV74" s="35"/>
      <c r="AW74" s="42" t="s">
        <v>193</v>
      </c>
      <c r="AX74" s="43" t="s">
        <v>56</v>
      </c>
      <c r="AY74" s="66">
        <v>20.0</v>
      </c>
      <c r="AZ74" s="43" t="s">
        <v>40</v>
      </c>
      <c r="BA74" s="66">
        <v>5.0</v>
      </c>
      <c r="BB74" s="43" t="s">
        <v>41</v>
      </c>
      <c r="BC74" s="66">
        <v>10.0</v>
      </c>
      <c r="BD74" s="5" t="s">
        <v>42</v>
      </c>
      <c r="BE74" s="5" t="s">
        <v>41</v>
      </c>
      <c r="BF74" s="5" t="s">
        <v>40</v>
      </c>
      <c r="BG74" s="5" t="s">
        <v>41</v>
      </c>
      <c r="BH74" s="5" t="s">
        <v>43</v>
      </c>
      <c r="BI74" s="2"/>
      <c r="BJ74" s="2"/>
      <c r="BK74" s="2"/>
      <c r="BM74" s="2"/>
      <c r="BN74" s="2"/>
      <c r="BO74" s="2"/>
      <c r="BP74" s="2"/>
      <c r="BQ74" s="2"/>
      <c r="BR74" s="2"/>
      <c r="BS74" s="2"/>
    </row>
    <row r="75">
      <c r="A75" s="2"/>
      <c r="B75" s="2"/>
      <c r="C75" s="2"/>
      <c r="D75" s="35"/>
      <c r="E75" s="35"/>
      <c r="F75" s="65"/>
      <c r="G75" s="65"/>
      <c r="H75" s="63"/>
      <c r="I75" s="63"/>
      <c r="J75" s="2"/>
      <c r="K75" s="60">
        <v>10.0</v>
      </c>
      <c r="L75" s="61" t="s">
        <v>192</v>
      </c>
      <c r="M75" s="61" t="s">
        <v>190</v>
      </c>
      <c r="N75" s="61" t="s">
        <v>194</v>
      </c>
      <c r="O75" s="61" t="s">
        <v>187</v>
      </c>
      <c r="P75" s="61" t="s">
        <v>172</v>
      </c>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35"/>
      <c r="AV75" s="35"/>
      <c r="AW75" s="31" t="s">
        <v>195</v>
      </c>
      <c r="AX75" s="27" t="s">
        <v>70</v>
      </c>
      <c r="AY75" s="27">
        <v>10.0</v>
      </c>
      <c r="AZ75" s="27" t="s">
        <v>41</v>
      </c>
      <c r="BA75" s="27">
        <v>10.0</v>
      </c>
      <c r="BB75" s="27" t="s">
        <v>40</v>
      </c>
      <c r="BC75" s="27">
        <v>10.0</v>
      </c>
      <c r="BD75" s="5" t="s">
        <v>42</v>
      </c>
      <c r="BE75" s="5" t="s">
        <v>41</v>
      </c>
      <c r="BF75" s="5" t="s">
        <v>40</v>
      </c>
      <c r="BG75" s="5" t="s">
        <v>41</v>
      </c>
      <c r="BH75" s="5" t="s">
        <v>43</v>
      </c>
      <c r="BI75" s="2"/>
      <c r="BJ75" s="2"/>
      <c r="BK75" s="2"/>
      <c r="BM75" s="2"/>
      <c r="BN75" s="2"/>
      <c r="BO75" s="2"/>
      <c r="BP75" s="2"/>
      <c r="BQ75" s="2"/>
      <c r="BR75" s="2"/>
      <c r="BS75" s="2"/>
    </row>
    <row r="76">
      <c r="A76" s="2"/>
      <c r="B76" s="2"/>
      <c r="C76" s="2"/>
      <c r="D76" s="35"/>
      <c r="E76" s="35"/>
      <c r="F76" s="65"/>
      <c r="G76" s="65"/>
      <c r="H76" s="63"/>
      <c r="I76" s="63"/>
      <c r="J76" s="2"/>
      <c r="K76" s="60">
        <v>11.0</v>
      </c>
      <c r="L76" s="61" t="s">
        <v>192</v>
      </c>
      <c r="M76" s="61" t="s">
        <v>190</v>
      </c>
      <c r="N76" s="61" t="s">
        <v>194</v>
      </c>
      <c r="O76" s="61" t="s">
        <v>187</v>
      </c>
      <c r="P76" s="61" t="s">
        <v>196</v>
      </c>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35"/>
      <c r="AV76" s="35"/>
      <c r="AW76" s="31" t="s">
        <v>197</v>
      </c>
      <c r="AX76" s="39" t="s">
        <v>103</v>
      </c>
      <c r="AY76" s="40">
        <v>5.0</v>
      </c>
      <c r="AZ76" s="39" t="s">
        <v>41</v>
      </c>
      <c r="BA76" s="38">
        <v>4.0</v>
      </c>
      <c r="BB76" s="38" t="s">
        <v>41</v>
      </c>
      <c r="BC76" s="28">
        <v>8.0</v>
      </c>
      <c r="BD76" s="5" t="s">
        <v>42</v>
      </c>
      <c r="BE76" s="5" t="s">
        <v>41</v>
      </c>
      <c r="BF76" s="5" t="s">
        <v>40</v>
      </c>
      <c r="BG76" s="5" t="s">
        <v>41</v>
      </c>
      <c r="BH76" s="5" t="s">
        <v>43</v>
      </c>
      <c r="BI76" s="2"/>
      <c r="BJ76" s="2"/>
      <c r="BK76" s="2"/>
      <c r="BM76" s="2"/>
      <c r="BN76" s="2"/>
      <c r="BO76" s="2"/>
      <c r="BP76" s="2"/>
      <c r="BQ76" s="2"/>
      <c r="BR76" s="2"/>
      <c r="BS76" s="2"/>
    </row>
    <row r="77">
      <c r="A77" s="2"/>
      <c r="B77" s="2"/>
      <c r="C77" s="2"/>
      <c r="D77" s="35"/>
      <c r="E77" s="35"/>
      <c r="F77" s="65"/>
      <c r="G77" s="65"/>
      <c r="H77" s="63"/>
      <c r="I77" s="63"/>
      <c r="J77" s="2"/>
      <c r="K77" s="60">
        <v>12.0</v>
      </c>
      <c r="L77" s="61" t="s">
        <v>192</v>
      </c>
      <c r="M77" s="61" t="s">
        <v>190</v>
      </c>
      <c r="N77" s="61" t="s">
        <v>194</v>
      </c>
      <c r="O77" s="61" t="s">
        <v>198</v>
      </c>
      <c r="P77" s="61" t="s">
        <v>196</v>
      </c>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35"/>
      <c r="AV77" s="35"/>
      <c r="AW77" s="36" t="s">
        <v>199</v>
      </c>
      <c r="AX77" s="39" t="s">
        <v>103</v>
      </c>
      <c r="AY77" s="40">
        <v>10.0</v>
      </c>
      <c r="AZ77" s="39" t="s">
        <v>41</v>
      </c>
      <c r="BA77" s="38">
        <v>5.0</v>
      </c>
      <c r="BB77" s="38" t="s">
        <v>41</v>
      </c>
      <c r="BC77" s="28">
        <v>10.0</v>
      </c>
      <c r="BD77" s="5" t="s">
        <v>42</v>
      </c>
      <c r="BE77" s="5" t="s">
        <v>41</v>
      </c>
      <c r="BF77" s="5" t="s">
        <v>40</v>
      </c>
      <c r="BG77" s="5" t="s">
        <v>41</v>
      </c>
      <c r="BH77" s="5" t="s">
        <v>43</v>
      </c>
      <c r="BI77" s="2"/>
      <c r="BJ77" s="2"/>
      <c r="BK77" s="2"/>
      <c r="BM77" s="2"/>
      <c r="BN77" s="2"/>
      <c r="BO77" s="2"/>
      <c r="BP77" s="2"/>
      <c r="BQ77" s="2"/>
      <c r="BR77" s="2"/>
      <c r="BS77" s="2"/>
    </row>
    <row r="78">
      <c r="A78" s="2"/>
      <c r="B78" s="2"/>
      <c r="C78" s="2"/>
      <c r="D78" s="35"/>
      <c r="E78" s="35"/>
      <c r="F78" s="65"/>
      <c r="G78" s="65"/>
      <c r="H78" s="63"/>
      <c r="I78" s="63"/>
      <c r="J78" s="2"/>
      <c r="K78" s="60">
        <v>13.0</v>
      </c>
      <c r="L78" s="61" t="s">
        <v>192</v>
      </c>
      <c r="M78" s="61" t="s">
        <v>200</v>
      </c>
      <c r="N78" s="61" t="s">
        <v>194</v>
      </c>
      <c r="O78" s="61" t="s">
        <v>198</v>
      </c>
      <c r="P78" s="61" t="s">
        <v>196</v>
      </c>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35"/>
      <c r="AV78" s="35"/>
      <c r="AW78" s="33" t="s">
        <v>201</v>
      </c>
      <c r="AX78" s="56" t="s">
        <v>103</v>
      </c>
      <c r="AY78" s="28">
        <v>10.0</v>
      </c>
      <c r="AZ78" s="56" t="s">
        <v>41</v>
      </c>
      <c r="BA78" s="28">
        <v>5.0</v>
      </c>
      <c r="BB78" s="56" t="s">
        <v>40</v>
      </c>
      <c r="BC78" s="28">
        <v>10.0</v>
      </c>
      <c r="BD78" s="5" t="s">
        <v>42</v>
      </c>
      <c r="BE78" s="5" t="s">
        <v>41</v>
      </c>
      <c r="BF78" s="5" t="s">
        <v>40</v>
      </c>
      <c r="BG78" s="5" t="s">
        <v>41</v>
      </c>
      <c r="BH78" s="5" t="s">
        <v>43</v>
      </c>
      <c r="BI78" s="2"/>
      <c r="BJ78" s="2"/>
      <c r="BK78" s="2"/>
      <c r="BL78" s="6"/>
      <c r="BM78" s="2"/>
      <c r="BN78" s="2"/>
      <c r="BO78" s="2"/>
      <c r="BP78" s="2"/>
      <c r="BQ78" s="2"/>
      <c r="BR78" s="2"/>
      <c r="BS78" s="2"/>
    </row>
    <row r="79">
      <c r="A79" s="2"/>
      <c r="B79" s="2"/>
      <c r="C79" s="2"/>
      <c r="D79" s="35"/>
      <c r="E79" s="35"/>
      <c r="F79" s="65"/>
      <c r="G79" s="65"/>
      <c r="H79" s="63"/>
      <c r="I79" s="63"/>
      <c r="J79" s="2"/>
      <c r="K79" s="60">
        <v>14.0</v>
      </c>
      <c r="L79" s="61" t="s">
        <v>202</v>
      </c>
      <c r="M79" s="61" t="s">
        <v>200</v>
      </c>
      <c r="N79" s="61" t="s">
        <v>194</v>
      </c>
      <c r="O79" s="61" t="s">
        <v>198</v>
      </c>
      <c r="P79" s="61" t="s">
        <v>196</v>
      </c>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35"/>
      <c r="AV79" s="35"/>
      <c r="AW79" s="33" t="s">
        <v>203</v>
      </c>
      <c r="AX79" s="56" t="s">
        <v>39</v>
      </c>
      <c r="AY79" s="28">
        <v>5.0</v>
      </c>
      <c r="AZ79" s="56" t="s">
        <v>40</v>
      </c>
      <c r="BA79" s="28">
        <v>5.0</v>
      </c>
      <c r="BB79" s="56" t="s">
        <v>99</v>
      </c>
      <c r="BC79" s="28">
        <v>15.0</v>
      </c>
      <c r="BD79" s="5" t="s">
        <v>42</v>
      </c>
      <c r="BE79" s="5" t="s">
        <v>41</v>
      </c>
      <c r="BF79" s="5" t="s">
        <v>40</v>
      </c>
      <c r="BG79" s="5" t="s">
        <v>41</v>
      </c>
      <c r="BH79" s="5" t="s">
        <v>43</v>
      </c>
      <c r="BI79" s="2"/>
      <c r="BJ79" s="2"/>
      <c r="BK79" s="2"/>
      <c r="BL79" s="2"/>
      <c r="BS79" s="2"/>
    </row>
    <row r="80">
      <c r="A80" s="2"/>
      <c r="B80" s="2"/>
      <c r="C80" s="2"/>
      <c r="D80" s="35"/>
      <c r="E80" s="35"/>
      <c r="F80" s="65"/>
      <c r="G80" s="65"/>
      <c r="H80" s="63"/>
      <c r="I80" s="63"/>
      <c r="J80" s="2"/>
      <c r="K80" s="60">
        <v>15.0</v>
      </c>
      <c r="L80" s="61" t="s">
        <v>202</v>
      </c>
      <c r="M80" s="61" t="s">
        <v>200</v>
      </c>
      <c r="N80" s="61" t="s">
        <v>204</v>
      </c>
      <c r="O80" s="61" t="s">
        <v>198</v>
      </c>
      <c r="P80" s="61" t="s">
        <v>196</v>
      </c>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35"/>
      <c r="AV80" s="35"/>
      <c r="AW80" s="31" t="s">
        <v>205</v>
      </c>
      <c r="AX80" s="55" t="s">
        <v>39</v>
      </c>
      <c r="AY80" s="27">
        <v>5.0</v>
      </c>
      <c r="AZ80" s="55" t="s">
        <v>41</v>
      </c>
      <c r="BA80" s="28">
        <v>4.0</v>
      </c>
      <c r="BB80" s="56" t="s">
        <v>41</v>
      </c>
      <c r="BC80" s="28">
        <v>8.0</v>
      </c>
      <c r="BD80" s="5" t="s">
        <v>42</v>
      </c>
      <c r="BE80" s="5" t="s">
        <v>41</v>
      </c>
      <c r="BF80" s="5" t="s">
        <v>40</v>
      </c>
      <c r="BG80" s="5" t="s">
        <v>41</v>
      </c>
      <c r="BH80" s="5" t="s">
        <v>43</v>
      </c>
      <c r="BL80" s="2"/>
    </row>
    <row r="81">
      <c r="A81" s="2"/>
      <c r="B81" s="2"/>
      <c r="C81" s="2"/>
      <c r="D81" s="35"/>
      <c r="E81" s="35"/>
      <c r="F81" s="65"/>
      <c r="G81" s="65"/>
      <c r="H81" s="63"/>
      <c r="I81" s="63"/>
      <c r="J81" s="2"/>
      <c r="K81" s="60">
        <v>16.0</v>
      </c>
      <c r="L81" s="61" t="s">
        <v>202</v>
      </c>
      <c r="M81" s="61" t="s">
        <v>200</v>
      </c>
      <c r="N81" s="61" t="s">
        <v>204</v>
      </c>
      <c r="O81" s="61" t="s">
        <v>198</v>
      </c>
      <c r="P81" s="61" t="s">
        <v>206</v>
      </c>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35"/>
      <c r="AV81" s="35"/>
      <c r="AW81" s="36" t="s">
        <v>207</v>
      </c>
      <c r="AX81" s="55" t="s">
        <v>39</v>
      </c>
      <c r="AY81" s="27">
        <v>10.0</v>
      </c>
      <c r="AZ81" s="55" t="s">
        <v>41</v>
      </c>
      <c r="BA81" s="28">
        <v>5.0</v>
      </c>
      <c r="BB81" s="56" t="s">
        <v>41</v>
      </c>
      <c r="BC81" s="28">
        <v>10.0</v>
      </c>
      <c r="BD81" s="5" t="s">
        <v>42</v>
      </c>
      <c r="BE81" s="5" t="s">
        <v>41</v>
      </c>
      <c r="BF81" s="5" t="s">
        <v>40</v>
      </c>
      <c r="BG81" s="5" t="s">
        <v>41</v>
      </c>
      <c r="BH81" s="5" t="s">
        <v>43</v>
      </c>
      <c r="BL81" s="2"/>
    </row>
    <row r="82">
      <c r="A82" s="2"/>
      <c r="B82" s="2"/>
      <c r="C82" s="2"/>
      <c r="D82" s="35"/>
      <c r="E82" s="35"/>
      <c r="F82" s="65"/>
      <c r="G82" s="65"/>
      <c r="H82" s="63"/>
      <c r="I82" s="63"/>
      <c r="J82" s="2"/>
      <c r="K82" s="60">
        <v>17.0</v>
      </c>
      <c r="L82" s="61" t="s">
        <v>202</v>
      </c>
      <c r="M82" s="61" t="s">
        <v>200</v>
      </c>
      <c r="N82" s="61" t="s">
        <v>204</v>
      </c>
      <c r="O82" s="61" t="s">
        <v>208</v>
      </c>
      <c r="P82" s="61" t="s">
        <v>206</v>
      </c>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35"/>
      <c r="AV82" s="35"/>
      <c r="AW82" s="31" t="s">
        <v>209</v>
      </c>
      <c r="AX82" s="55" t="s">
        <v>118</v>
      </c>
      <c r="AY82" s="27">
        <v>5.0</v>
      </c>
      <c r="AZ82" s="55" t="s">
        <v>41</v>
      </c>
      <c r="BA82" s="27">
        <v>4.0</v>
      </c>
      <c r="BB82" s="55" t="s">
        <v>40</v>
      </c>
      <c r="BC82" s="27">
        <v>8.0</v>
      </c>
      <c r="BD82" s="5" t="s">
        <v>42</v>
      </c>
      <c r="BE82" s="5" t="s">
        <v>41</v>
      </c>
      <c r="BF82" s="5" t="s">
        <v>40</v>
      </c>
      <c r="BG82" s="5" t="s">
        <v>41</v>
      </c>
      <c r="BH82" s="5" t="s">
        <v>43</v>
      </c>
      <c r="BL82" s="2"/>
    </row>
    <row r="83">
      <c r="A83" s="2"/>
      <c r="B83" s="2"/>
      <c r="C83" s="2"/>
      <c r="D83" s="35"/>
      <c r="E83" s="35"/>
      <c r="F83" s="65"/>
      <c r="G83" s="65"/>
      <c r="H83" s="63"/>
      <c r="I83" s="63"/>
      <c r="J83" s="2"/>
      <c r="K83" s="60">
        <v>18.0</v>
      </c>
      <c r="L83" s="61" t="s">
        <v>202</v>
      </c>
      <c r="M83" s="61" t="s">
        <v>210</v>
      </c>
      <c r="N83" s="61" t="s">
        <v>204</v>
      </c>
      <c r="O83" s="61" t="s">
        <v>208</v>
      </c>
      <c r="P83" s="61" t="s">
        <v>206</v>
      </c>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35"/>
      <c r="AV83" s="35"/>
      <c r="AW83" s="42" t="s">
        <v>211</v>
      </c>
      <c r="AX83" s="43" t="s">
        <v>118</v>
      </c>
      <c r="AY83" s="43">
        <v>10.0</v>
      </c>
      <c r="AZ83" s="43" t="s">
        <v>41</v>
      </c>
      <c r="BA83" s="43">
        <v>5.0</v>
      </c>
      <c r="BB83" s="43" t="s">
        <v>40</v>
      </c>
      <c r="BC83" s="43">
        <v>10.0</v>
      </c>
      <c r="BD83" s="5" t="s">
        <v>42</v>
      </c>
      <c r="BE83" s="5" t="s">
        <v>41</v>
      </c>
      <c r="BF83" s="5" t="s">
        <v>40</v>
      </c>
      <c r="BG83" s="5" t="s">
        <v>41</v>
      </c>
      <c r="BH83" s="5" t="s">
        <v>43</v>
      </c>
      <c r="BL83" s="2"/>
    </row>
    <row r="84">
      <c r="A84" s="2"/>
      <c r="B84" s="2"/>
      <c r="C84" s="2"/>
      <c r="D84" s="35"/>
      <c r="E84" s="35"/>
      <c r="F84" s="65"/>
      <c r="G84" s="65"/>
      <c r="H84" s="63"/>
      <c r="I84" s="63"/>
      <c r="J84" s="2"/>
      <c r="K84" s="60">
        <v>19.0</v>
      </c>
      <c r="L84" s="61" t="s">
        <v>202</v>
      </c>
      <c r="M84" s="61" t="s">
        <v>210</v>
      </c>
      <c r="N84" s="61" t="s">
        <v>212</v>
      </c>
      <c r="O84" s="61" t="s">
        <v>208</v>
      </c>
      <c r="P84" s="61" t="s">
        <v>206</v>
      </c>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35"/>
      <c r="AV84" s="35"/>
      <c r="AW84" s="36" t="s">
        <v>213</v>
      </c>
      <c r="AX84" s="55" t="s">
        <v>118</v>
      </c>
      <c r="AY84" s="27">
        <v>10.0</v>
      </c>
      <c r="AZ84" s="55" t="s">
        <v>41</v>
      </c>
      <c r="BA84" s="27">
        <v>5.0</v>
      </c>
      <c r="BB84" s="55" t="s">
        <v>40</v>
      </c>
      <c r="BC84" s="27">
        <v>10.0</v>
      </c>
      <c r="BD84" s="5" t="s">
        <v>42</v>
      </c>
      <c r="BE84" s="5" t="s">
        <v>41</v>
      </c>
      <c r="BF84" s="5" t="s">
        <v>40</v>
      </c>
      <c r="BG84" s="5" t="s">
        <v>41</v>
      </c>
      <c r="BH84" s="5" t="s">
        <v>43</v>
      </c>
      <c r="BL84" s="2"/>
    </row>
    <row r="85">
      <c r="A85" s="2"/>
      <c r="B85" s="2"/>
      <c r="C85" s="2"/>
      <c r="D85" s="35"/>
      <c r="E85" s="35"/>
      <c r="F85" s="65"/>
      <c r="G85" s="65"/>
      <c r="H85" s="63"/>
      <c r="I85" s="63"/>
      <c r="J85" s="2"/>
      <c r="K85" s="60">
        <v>20.0</v>
      </c>
      <c r="L85" s="61" t="s">
        <v>202</v>
      </c>
      <c r="M85" s="61" t="s">
        <v>210</v>
      </c>
      <c r="N85" s="61" t="s">
        <v>212</v>
      </c>
      <c r="O85" s="61" t="s">
        <v>208</v>
      </c>
      <c r="P85" s="61" t="s">
        <v>214</v>
      </c>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35"/>
      <c r="AV85" s="35"/>
      <c r="AW85" s="36" t="s">
        <v>215</v>
      </c>
      <c r="AX85" s="55" t="s">
        <v>118</v>
      </c>
      <c r="AY85" s="27">
        <v>10.0</v>
      </c>
      <c r="AZ85" s="55" t="s">
        <v>41</v>
      </c>
      <c r="BA85" s="27">
        <v>5.0</v>
      </c>
      <c r="BB85" s="55" t="s">
        <v>40</v>
      </c>
      <c r="BC85" s="27">
        <v>10.0</v>
      </c>
      <c r="BD85" s="5" t="s">
        <v>42</v>
      </c>
      <c r="BE85" s="5" t="s">
        <v>41</v>
      </c>
      <c r="BF85" s="5" t="s">
        <v>40</v>
      </c>
      <c r="BG85" s="5" t="s">
        <v>41</v>
      </c>
      <c r="BH85" s="5" t="s">
        <v>43</v>
      </c>
      <c r="BL85" s="2"/>
    </row>
    <row r="86">
      <c r="A86" s="2"/>
      <c r="B86" s="2"/>
      <c r="C86" s="2"/>
      <c r="D86" s="35"/>
      <c r="E86" s="35"/>
      <c r="F86" s="65"/>
      <c r="G86" s="65"/>
      <c r="H86" s="63"/>
      <c r="I86" s="63"/>
      <c r="J86" s="2"/>
      <c r="K86" s="67">
        <v>0.0</v>
      </c>
      <c r="L86" s="48" t="s">
        <v>216</v>
      </c>
      <c r="M86" s="48" t="s">
        <v>217</v>
      </c>
      <c r="N86" s="48" t="s">
        <v>218</v>
      </c>
      <c r="O86" s="48" t="s">
        <v>219</v>
      </c>
      <c r="P86" s="48" t="s">
        <v>220</v>
      </c>
      <c r="Q86" s="49" t="s">
        <v>221</v>
      </c>
      <c r="R86" s="49" t="s">
        <v>222</v>
      </c>
      <c r="S86" s="49" t="s">
        <v>223</v>
      </c>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35"/>
      <c r="AV86" s="35"/>
      <c r="AW86" s="31" t="s">
        <v>224</v>
      </c>
      <c r="AX86" s="55" t="s">
        <v>56</v>
      </c>
      <c r="AY86" s="27">
        <v>10.0</v>
      </c>
      <c r="AZ86" s="56" t="s">
        <v>40</v>
      </c>
      <c r="BA86" s="28">
        <v>4.0</v>
      </c>
      <c r="BB86" s="55" t="s">
        <v>40</v>
      </c>
      <c r="BC86" s="28">
        <v>8.0</v>
      </c>
      <c r="BD86" s="5" t="s">
        <v>42</v>
      </c>
      <c r="BE86" s="5" t="s">
        <v>41</v>
      </c>
      <c r="BF86" s="5" t="s">
        <v>40</v>
      </c>
      <c r="BG86" s="5" t="s">
        <v>41</v>
      </c>
      <c r="BH86" s="5" t="s">
        <v>43</v>
      </c>
      <c r="BL86" s="2"/>
      <c r="BM86" s="6"/>
      <c r="BN86" s="6"/>
      <c r="BO86" s="6"/>
      <c r="BP86" s="6"/>
      <c r="BQ86" s="6"/>
      <c r="BR86" s="6"/>
    </row>
    <row r="87">
      <c r="A87" s="2"/>
      <c r="B87" s="2"/>
      <c r="C87" s="2"/>
      <c r="D87" s="35"/>
      <c r="E87" s="35"/>
      <c r="F87" s="65"/>
      <c r="G87" s="65"/>
      <c r="H87" s="63"/>
      <c r="I87" s="63"/>
      <c r="J87" s="2"/>
      <c r="K87" s="67">
        <v>1.0</v>
      </c>
      <c r="L87" s="48" t="s">
        <v>216</v>
      </c>
      <c r="M87" s="48" t="s">
        <v>217</v>
      </c>
      <c r="N87" s="48" t="s">
        <v>218</v>
      </c>
      <c r="O87" s="48" t="s">
        <v>219</v>
      </c>
      <c r="P87" s="48" t="s">
        <v>220</v>
      </c>
      <c r="Q87" s="49" t="s">
        <v>221</v>
      </c>
      <c r="R87" s="49" t="s">
        <v>222</v>
      </c>
      <c r="S87" s="49" t="s">
        <v>223</v>
      </c>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35"/>
      <c r="AV87" s="35"/>
      <c r="AW87" s="52" t="s">
        <v>225</v>
      </c>
      <c r="AX87" s="68" t="s">
        <v>56</v>
      </c>
      <c r="AY87" s="67">
        <v>20.0</v>
      </c>
      <c r="AZ87" s="69" t="s">
        <v>40</v>
      </c>
      <c r="BA87" s="70">
        <v>5.0</v>
      </c>
      <c r="BB87" s="68" t="s">
        <v>40</v>
      </c>
      <c r="BC87" s="70">
        <v>10.0</v>
      </c>
      <c r="BD87" s="5" t="s">
        <v>42</v>
      </c>
      <c r="BE87" s="5" t="s">
        <v>41</v>
      </c>
      <c r="BF87" s="5" t="s">
        <v>40</v>
      </c>
      <c r="BG87" s="5" t="s">
        <v>41</v>
      </c>
      <c r="BH87" s="5" t="s">
        <v>43</v>
      </c>
      <c r="BI87" s="6"/>
      <c r="BJ87" s="6"/>
      <c r="BK87" s="6"/>
      <c r="BL87" s="2"/>
      <c r="BM87" s="2"/>
      <c r="BN87" s="2"/>
      <c r="BO87" s="2"/>
      <c r="BP87" s="2"/>
      <c r="BQ87" s="2"/>
      <c r="BR87" s="2"/>
      <c r="BS87" s="6"/>
    </row>
    <row r="88">
      <c r="A88" s="2"/>
      <c r="B88" s="2"/>
      <c r="C88" s="2"/>
      <c r="D88" s="35"/>
      <c r="E88" s="35"/>
      <c r="F88" s="65"/>
      <c r="G88" s="65"/>
      <c r="H88" s="63"/>
      <c r="I88" s="63"/>
      <c r="J88" s="2"/>
      <c r="K88" s="67">
        <v>2.0</v>
      </c>
      <c r="L88" s="48" t="s">
        <v>216</v>
      </c>
      <c r="M88" s="48" t="s">
        <v>217</v>
      </c>
      <c r="N88" s="48" t="s">
        <v>218</v>
      </c>
      <c r="O88" s="48" t="s">
        <v>219</v>
      </c>
      <c r="P88" s="48" t="s">
        <v>220</v>
      </c>
      <c r="Q88" s="49" t="s">
        <v>221</v>
      </c>
      <c r="R88" s="49" t="s">
        <v>222</v>
      </c>
      <c r="S88" s="49" t="s">
        <v>223</v>
      </c>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35"/>
      <c r="AV88" s="35"/>
      <c r="AW88" s="1" t="s">
        <v>226</v>
      </c>
      <c r="AX88" s="1" t="s">
        <v>118</v>
      </c>
      <c r="AY88" s="5">
        <v>10.0</v>
      </c>
      <c r="AZ88" s="1" t="s">
        <v>41</v>
      </c>
      <c r="BA88" s="5">
        <v>5.0</v>
      </c>
      <c r="BB88" s="1" t="s">
        <v>40</v>
      </c>
      <c r="BC88" s="5">
        <v>10.0</v>
      </c>
      <c r="BD88" s="5" t="s">
        <v>42</v>
      </c>
      <c r="BE88" s="5" t="s">
        <v>41</v>
      </c>
      <c r="BF88" s="5" t="s">
        <v>40</v>
      </c>
      <c r="BG88" s="5" t="s">
        <v>41</v>
      </c>
      <c r="BH88" s="5" t="s">
        <v>43</v>
      </c>
      <c r="BI88" s="2"/>
      <c r="BJ88" s="2"/>
      <c r="BK88" s="2"/>
      <c r="BL88" s="2"/>
      <c r="BM88" s="2"/>
      <c r="BN88" s="2"/>
      <c r="BO88" s="2"/>
      <c r="BP88" s="2"/>
      <c r="BQ88" s="2"/>
      <c r="BR88" s="2"/>
      <c r="BS88" s="2"/>
    </row>
    <row r="89">
      <c r="A89" s="2"/>
      <c r="B89" s="2"/>
      <c r="C89" s="2"/>
      <c r="D89" s="35"/>
      <c r="E89" s="35"/>
      <c r="F89" s="65"/>
      <c r="G89" s="65"/>
      <c r="H89" s="63"/>
      <c r="I89" s="63"/>
      <c r="J89" s="2"/>
      <c r="K89" s="67">
        <v>3.0</v>
      </c>
      <c r="L89" s="1" t="s">
        <v>227</v>
      </c>
      <c r="M89" s="1" t="s">
        <v>228</v>
      </c>
      <c r="N89" s="49" t="s">
        <v>229</v>
      </c>
      <c r="O89" s="49" t="s">
        <v>230</v>
      </c>
      <c r="P89" s="49" t="s">
        <v>231</v>
      </c>
      <c r="Q89" s="49" t="s">
        <v>232</v>
      </c>
      <c r="R89" s="49" t="s">
        <v>233</v>
      </c>
      <c r="S89" s="49" t="s">
        <v>234</v>
      </c>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35"/>
      <c r="AV89" s="35"/>
      <c r="AW89" s="1" t="s">
        <v>235</v>
      </c>
      <c r="AX89" s="1" t="s">
        <v>103</v>
      </c>
      <c r="AY89" s="1">
        <v>10.0</v>
      </c>
      <c r="AZ89" s="1" t="s">
        <v>41</v>
      </c>
      <c r="BA89" s="1">
        <v>5.0</v>
      </c>
      <c r="BB89" s="1" t="s">
        <v>40</v>
      </c>
      <c r="BC89" s="1">
        <v>10.0</v>
      </c>
      <c r="BD89" s="5" t="s">
        <v>42</v>
      </c>
      <c r="BE89" s="5" t="s">
        <v>41</v>
      </c>
      <c r="BF89" s="5" t="s">
        <v>40</v>
      </c>
      <c r="BG89" s="5" t="s">
        <v>41</v>
      </c>
      <c r="BH89" s="5" t="s">
        <v>43</v>
      </c>
      <c r="BI89" s="2"/>
      <c r="BJ89" s="2"/>
      <c r="BK89" s="2"/>
      <c r="BL89" s="2"/>
      <c r="BM89" s="2"/>
      <c r="BN89" s="2"/>
      <c r="BO89" s="2"/>
      <c r="BP89" s="2"/>
      <c r="BQ89" s="2"/>
      <c r="BR89" s="2"/>
      <c r="BS89" s="2"/>
    </row>
    <row r="90">
      <c r="A90" s="2"/>
      <c r="B90" s="2"/>
      <c r="C90" s="2"/>
      <c r="D90" s="35"/>
      <c r="E90" s="35"/>
      <c r="F90" s="65"/>
      <c r="G90" s="65"/>
      <c r="H90" s="63"/>
      <c r="I90" s="63"/>
      <c r="J90" s="2"/>
      <c r="K90" s="67">
        <v>4.0</v>
      </c>
      <c r="L90" s="1" t="s">
        <v>227</v>
      </c>
      <c r="M90" s="1" t="s">
        <v>228</v>
      </c>
      <c r="N90" s="49" t="s">
        <v>229</v>
      </c>
      <c r="O90" s="49" t="s">
        <v>230</v>
      </c>
      <c r="P90" s="49" t="s">
        <v>231</v>
      </c>
      <c r="Q90" s="49" t="s">
        <v>232</v>
      </c>
      <c r="R90" s="49" t="s">
        <v>233</v>
      </c>
      <c r="S90" s="49" t="s">
        <v>234</v>
      </c>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35"/>
      <c r="AV90" s="35"/>
      <c r="AW90" s="71" t="s">
        <v>236</v>
      </c>
      <c r="AX90" s="71" t="s">
        <v>56</v>
      </c>
      <c r="AY90" s="67">
        <v>10.0</v>
      </c>
      <c r="AZ90" s="71" t="s">
        <v>41</v>
      </c>
      <c r="BA90" s="67">
        <v>4.0</v>
      </c>
      <c r="BB90" s="71" t="s">
        <v>40</v>
      </c>
      <c r="BC90" s="67">
        <v>8.0</v>
      </c>
      <c r="BD90" s="5" t="s">
        <v>42</v>
      </c>
      <c r="BE90" s="5" t="s">
        <v>41</v>
      </c>
      <c r="BF90" s="5" t="s">
        <v>40</v>
      </c>
      <c r="BG90" s="5" t="s">
        <v>41</v>
      </c>
      <c r="BH90" s="5" t="s">
        <v>43</v>
      </c>
      <c r="BI90" s="2"/>
      <c r="BJ90" s="2"/>
      <c r="BK90" s="2"/>
      <c r="BL90" s="2"/>
      <c r="BM90" s="2"/>
      <c r="BN90" s="2"/>
      <c r="BO90" s="2"/>
      <c r="BP90" s="2"/>
      <c r="BQ90" s="2"/>
      <c r="BR90" s="2"/>
      <c r="BS90" s="2"/>
    </row>
    <row r="91">
      <c r="A91" s="2"/>
      <c r="B91" s="2"/>
      <c r="C91" s="2"/>
      <c r="D91" s="35"/>
      <c r="E91" s="35"/>
      <c r="F91" s="65"/>
      <c r="G91" s="65"/>
      <c r="H91" s="63"/>
      <c r="I91" s="63"/>
      <c r="J91" s="2"/>
      <c r="K91" s="67"/>
      <c r="L91" s="1"/>
      <c r="M91" s="1"/>
      <c r="N91" s="49"/>
      <c r="O91" s="49"/>
      <c r="P91" s="49"/>
      <c r="Q91" s="49"/>
      <c r="R91" s="49"/>
      <c r="S91" s="49"/>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35"/>
      <c r="AV91" s="35"/>
      <c r="AW91" s="71" t="s">
        <v>237</v>
      </c>
      <c r="AX91" s="71" t="s">
        <v>63</v>
      </c>
      <c r="AY91" s="67">
        <v>5.0</v>
      </c>
      <c r="AZ91" s="71" t="s">
        <v>41</v>
      </c>
      <c r="BA91" s="70">
        <v>4.0</v>
      </c>
      <c r="BB91" s="69" t="s">
        <v>41</v>
      </c>
      <c r="BC91" s="70">
        <v>8.0</v>
      </c>
      <c r="BD91" s="5" t="s">
        <v>42</v>
      </c>
      <c r="BE91" s="5" t="s">
        <v>41</v>
      </c>
      <c r="BF91" s="5" t="s">
        <v>40</v>
      </c>
      <c r="BG91" s="5" t="s">
        <v>41</v>
      </c>
      <c r="BH91" s="5" t="s">
        <v>43</v>
      </c>
      <c r="BI91" s="2"/>
      <c r="BJ91" s="2"/>
      <c r="BK91" s="2"/>
      <c r="BL91" s="2"/>
      <c r="BM91" s="2"/>
      <c r="BN91" s="2"/>
      <c r="BO91" s="2"/>
      <c r="BP91" s="2"/>
      <c r="BQ91" s="2"/>
      <c r="BR91" s="2"/>
      <c r="BS91" s="2"/>
    </row>
    <row r="92">
      <c r="A92" s="2"/>
      <c r="B92" s="2"/>
      <c r="C92" s="2"/>
      <c r="D92" s="35"/>
      <c r="E92" s="35"/>
      <c r="F92" s="65"/>
      <c r="G92" s="65"/>
      <c r="H92" s="63"/>
      <c r="I92" s="63"/>
      <c r="J92" s="2"/>
      <c r="K92" s="67">
        <v>5.0</v>
      </c>
      <c r="L92" s="1" t="s">
        <v>227</v>
      </c>
      <c r="M92" s="1" t="s">
        <v>228</v>
      </c>
      <c r="N92" s="49" t="s">
        <v>229</v>
      </c>
      <c r="O92" s="49" t="s">
        <v>230</v>
      </c>
      <c r="P92" s="49" t="s">
        <v>231</v>
      </c>
      <c r="Q92" s="49" t="s">
        <v>232</v>
      </c>
      <c r="R92" s="49" t="s">
        <v>233</v>
      </c>
      <c r="S92" s="49" t="s">
        <v>234</v>
      </c>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35"/>
      <c r="AV92" s="35"/>
      <c r="AW92" s="71" t="s">
        <v>238</v>
      </c>
      <c r="AX92" s="71" t="s">
        <v>56</v>
      </c>
      <c r="AY92" s="67">
        <v>20.0</v>
      </c>
      <c r="AZ92" s="69" t="s">
        <v>40</v>
      </c>
      <c r="BA92" s="70">
        <v>5.0</v>
      </c>
      <c r="BB92" s="71" t="s">
        <v>40</v>
      </c>
      <c r="BC92" s="70">
        <v>10.0</v>
      </c>
      <c r="BD92" s="5" t="s">
        <v>42</v>
      </c>
      <c r="BE92" s="5" t="s">
        <v>41</v>
      </c>
      <c r="BF92" s="5" t="s">
        <v>40</v>
      </c>
      <c r="BG92" s="5" t="s">
        <v>41</v>
      </c>
      <c r="BH92" s="5" t="s">
        <v>43</v>
      </c>
      <c r="BI92" s="2"/>
      <c r="BJ92" s="2"/>
      <c r="BK92" s="2"/>
      <c r="BL92" s="2"/>
      <c r="BM92" s="2"/>
      <c r="BN92" s="2"/>
      <c r="BO92" s="2"/>
      <c r="BP92" s="2"/>
      <c r="BQ92" s="2"/>
      <c r="BR92" s="2"/>
      <c r="BS92" s="2"/>
    </row>
    <row r="93">
      <c r="A93" s="2"/>
      <c r="B93" s="2"/>
      <c r="C93" s="2"/>
      <c r="D93" s="35"/>
      <c r="E93" s="35"/>
      <c r="F93" s="65"/>
      <c r="G93" s="65"/>
      <c r="H93" s="63"/>
      <c r="I93" s="63"/>
      <c r="J93" s="2"/>
      <c r="K93" s="67">
        <v>6.0</v>
      </c>
      <c r="L93" s="49" t="s">
        <v>239</v>
      </c>
      <c r="M93" s="49" t="s">
        <v>240</v>
      </c>
      <c r="N93" s="49" t="s">
        <v>241</v>
      </c>
      <c r="O93" s="49" t="s">
        <v>242</v>
      </c>
      <c r="P93" s="49" t="s">
        <v>243</v>
      </c>
      <c r="Q93" s="49" t="s">
        <v>244</v>
      </c>
      <c r="R93" s="49" t="s">
        <v>245</v>
      </c>
      <c r="S93" s="49" t="s">
        <v>246</v>
      </c>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35"/>
      <c r="AV93" s="35"/>
      <c r="AW93" s="72" t="s">
        <v>247</v>
      </c>
      <c r="AX93" s="71" t="s">
        <v>56</v>
      </c>
      <c r="AY93" s="67">
        <v>20.0</v>
      </c>
      <c r="AZ93" s="71" t="s">
        <v>41</v>
      </c>
      <c r="BA93" s="67">
        <v>5.0</v>
      </c>
      <c r="BB93" s="71" t="s">
        <v>40</v>
      </c>
      <c r="BC93" s="67">
        <v>10.0</v>
      </c>
      <c r="BD93" s="5" t="s">
        <v>42</v>
      </c>
      <c r="BE93" s="5" t="s">
        <v>41</v>
      </c>
      <c r="BF93" s="5" t="s">
        <v>40</v>
      </c>
      <c r="BG93" s="5" t="s">
        <v>41</v>
      </c>
      <c r="BH93" s="5" t="s">
        <v>43</v>
      </c>
      <c r="BI93" s="2"/>
      <c r="BJ93" s="2"/>
      <c r="BK93" s="2"/>
      <c r="BL93" s="2"/>
      <c r="BM93" s="2"/>
      <c r="BN93" s="2"/>
      <c r="BO93" s="2"/>
      <c r="BP93" s="2"/>
      <c r="BQ93" s="2"/>
      <c r="BR93" s="2"/>
      <c r="BS93" s="2"/>
    </row>
    <row r="94">
      <c r="A94" s="2"/>
      <c r="B94" s="2"/>
      <c r="C94" s="2"/>
      <c r="D94" s="35"/>
      <c r="E94" s="35"/>
      <c r="F94" s="65"/>
      <c r="G94" s="65"/>
      <c r="H94" s="63"/>
      <c r="I94" s="63"/>
      <c r="J94" s="2"/>
      <c r="K94" s="67">
        <v>7.0</v>
      </c>
      <c r="L94" s="49" t="s">
        <v>239</v>
      </c>
      <c r="M94" s="49" t="s">
        <v>240</v>
      </c>
      <c r="N94" s="49" t="s">
        <v>241</v>
      </c>
      <c r="O94" s="49" t="s">
        <v>242</v>
      </c>
      <c r="P94" s="49" t="s">
        <v>243</v>
      </c>
      <c r="Q94" s="49" t="s">
        <v>244</v>
      </c>
      <c r="R94" s="49" t="s">
        <v>245</v>
      </c>
      <c r="S94" s="49" t="s">
        <v>246</v>
      </c>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35"/>
      <c r="AV94" s="35"/>
      <c r="BI94" s="2"/>
      <c r="BJ94" s="2"/>
      <c r="BK94" s="2"/>
      <c r="BL94" s="2"/>
      <c r="BM94" s="2"/>
      <c r="BN94" s="2"/>
      <c r="BO94" s="2"/>
      <c r="BP94" s="2"/>
      <c r="BQ94" s="2"/>
      <c r="BR94" s="2"/>
      <c r="BS94" s="2"/>
    </row>
    <row r="95">
      <c r="A95" s="2"/>
      <c r="B95" s="2"/>
      <c r="C95" s="2"/>
      <c r="D95" s="35"/>
      <c r="E95" s="35"/>
      <c r="F95" s="65"/>
      <c r="G95" s="65"/>
      <c r="H95" s="63"/>
      <c r="I95" s="63"/>
      <c r="J95" s="2"/>
      <c r="K95" s="67">
        <v>8.0</v>
      </c>
      <c r="L95" s="49" t="s">
        <v>239</v>
      </c>
      <c r="M95" s="49" t="s">
        <v>240</v>
      </c>
      <c r="N95" s="49" t="s">
        <v>241</v>
      </c>
      <c r="O95" s="49" t="s">
        <v>242</v>
      </c>
      <c r="P95" s="49" t="s">
        <v>243</v>
      </c>
      <c r="Q95" s="49" t="s">
        <v>244</v>
      </c>
      <c r="R95" s="49" t="s">
        <v>245</v>
      </c>
      <c r="S95" s="49" t="s">
        <v>246</v>
      </c>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35"/>
      <c r="AV95" s="35"/>
      <c r="BI95" s="2"/>
      <c r="BJ95" s="2"/>
      <c r="BK95" s="2"/>
      <c r="BL95" s="2"/>
      <c r="BM95" s="2"/>
      <c r="BN95" s="2"/>
      <c r="BO95" s="2"/>
      <c r="BP95" s="2"/>
      <c r="BQ95" s="2"/>
      <c r="BR95" s="2"/>
      <c r="BS95" s="2"/>
    </row>
    <row r="96">
      <c r="A96" s="2"/>
      <c r="B96" s="2"/>
      <c r="C96" s="2"/>
      <c r="D96" s="35"/>
      <c r="E96" s="35"/>
      <c r="F96" s="65"/>
      <c r="G96" s="65"/>
      <c r="H96" s="63"/>
      <c r="I96" s="63"/>
      <c r="J96" s="2"/>
      <c r="K96" s="67">
        <v>9.0</v>
      </c>
      <c r="L96" s="49" t="s">
        <v>248</v>
      </c>
      <c r="M96" s="49" t="s">
        <v>249</v>
      </c>
      <c r="N96" s="49" t="s">
        <v>250</v>
      </c>
      <c r="O96" s="49" t="s">
        <v>251</v>
      </c>
      <c r="P96" s="49" t="s">
        <v>252</v>
      </c>
      <c r="Q96" s="49" t="s">
        <v>253</v>
      </c>
      <c r="R96" s="49" t="s">
        <v>254</v>
      </c>
      <c r="S96" s="49" t="s">
        <v>255</v>
      </c>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35"/>
      <c r="AU96" s="73" t="s">
        <v>256</v>
      </c>
      <c r="AV96" s="11" t="s">
        <v>24</v>
      </c>
      <c r="AX96" s="6" t="s">
        <v>257</v>
      </c>
      <c r="AY96" s="11" t="s">
        <v>258</v>
      </c>
      <c r="AZ96" s="6" t="s">
        <v>259</v>
      </c>
      <c r="BA96" s="11" t="s">
        <v>260</v>
      </c>
      <c r="BB96" s="6" t="s">
        <v>261</v>
      </c>
      <c r="BC96" s="11" t="s">
        <v>262</v>
      </c>
      <c r="BD96" s="6" t="s">
        <v>263</v>
      </c>
      <c r="BE96" s="6" t="s">
        <v>19</v>
      </c>
      <c r="BF96" s="6"/>
      <c r="BG96" s="6"/>
      <c r="BH96" s="6"/>
      <c r="BI96" s="2"/>
      <c r="BJ96" s="2"/>
      <c r="BK96" s="2"/>
      <c r="BL96" s="2"/>
      <c r="BM96" s="2"/>
      <c r="BN96" s="2"/>
      <c r="BO96" s="2"/>
      <c r="BP96" s="2"/>
      <c r="BQ96" s="2"/>
      <c r="BR96" s="2"/>
      <c r="BS96" s="2"/>
    </row>
    <row r="97">
      <c r="A97" s="2"/>
      <c r="B97" s="2"/>
      <c r="C97" s="2"/>
      <c r="D97" s="35"/>
      <c r="E97" s="35"/>
      <c r="F97" s="65"/>
      <c r="G97" s="65"/>
      <c r="H97" s="63"/>
      <c r="I97" s="63"/>
      <c r="J97" s="2"/>
      <c r="K97" s="67">
        <v>10.0</v>
      </c>
      <c r="L97" s="49" t="s">
        <v>248</v>
      </c>
      <c r="M97" s="49" t="s">
        <v>249</v>
      </c>
      <c r="N97" s="49" t="s">
        <v>250</v>
      </c>
      <c r="O97" s="49" t="s">
        <v>251</v>
      </c>
      <c r="P97" s="49" t="s">
        <v>252</v>
      </c>
      <c r="Q97" s="49" t="s">
        <v>253</v>
      </c>
      <c r="R97" s="49" t="s">
        <v>254</v>
      </c>
      <c r="S97" s="49" t="s">
        <v>255</v>
      </c>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35"/>
      <c r="AU97" s="73" t="s">
        <v>39</v>
      </c>
      <c r="AV97" s="35">
        <f>IF(AU97='Hero Template Builder'!E$4,'Hero Template Builder'!F$4,0)+IF(AU97='Hero Template Builder'!E$5,'Hero Template Builder'!F$5,0)+IF(AU97='Hero Template Builder'!E$6,'Hero Template Builder'!F$6,0)</f>
        <v>0</v>
      </c>
      <c r="AW97" s="74"/>
      <c r="AX97" s="6" t="s">
        <v>264</v>
      </c>
      <c r="AY97" s="35">
        <f>IF(OR('Hero Template Builder'!$E$8=$AS$3,'Hero Template Builder'!$E$8=$AS$4,'Hero Template Builder'!$E$8=$AS$5),'Hero Template Builder'!$F$8,0)</f>
        <v>0</v>
      </c>
      <c r="AZ97" s="35">
        <f>IF(OR('Hero Template Builder'!$E$9=$AS$3,'Hero Template Builder'!$E$9=$AS$4,'Hero Template Builder'!$E$9=$AS$5),'Hero Template Builder'!$F$9,0)</f>
        <v>0</v>
      </c>
      <c r="BA97" s="35">
        <f>IF(OR('Hero Template Builder'!$E$10=$AS$3,'Hero Template Builder'!$E$10=$AS$4,'Hero Template Builder'!$E$10=$AS$5),'Hero Template Builder'!$F$10,0)</f>
        <v>0</v>
      </c>
      <c r="BB97" s="35">
        <f>IF(OR('Hero Template Builder'!$E$11=$AS$3,'Hero Template Builder'!$E$11=$AS$4,'Hero Template Builder'!$E$11=$AS$5),'Hero Template Builder'!$F$11,0)</f>
        <v>0</v>
      </c>
      <c r="BC97" s="35">
        <f>IF(OR('Hero Template Builder'!$E$12=$AS$3,'Hero Template Builder'!$E$12=$AS$4,'Hero Template Builder'!$E$12=$AS$5),'Hero Template Builder'!$F$12,0)</f>
        <v>0</v>
      </c>
      <c r="BD97" s="35">
        <f>IF(OR('Hero Template Builder'!$E$13=$AS$3,'Hero Template Builder'!$E$13=$AS$4,'Hero Template Builder'!$E$13=$AS$5),'Hero Template Builder'!$F$13,0)</f>
        <v>0</v>
      </c>
      <c r="BE97" s="35">
        <f t="shared" ref="BE97:BE108" si="122">SUM(AY97:BD97)</f>
        <v>0</v>
      </c>
      <c r="BF97" s="35"/>
      <c r="BG97" s="35"/>
      <c r="BH97" s="35"/>
      <c r="BI97" s="2"/>
      <c r="BJ97" s="2"/>
      <c r="BK97" s="2"/>
      <c r="BL97" s="2"/>
      <c r="BM97" s="2"/>
      <c r="BN97" s="2"/>
      <c r="BO97" s="2"/>
      <c r="BP97" s="2"/>
      <c r="BQ97" s="2"/>
      <c r="BR97" s="2"/>
      <c r="BS97" s="2"/>
    </row>
    <row r="98">
      <c r="A98" s="2"/>
      <c r="B98" s="2"/>
      <c r="C98" s="2"/>
      <c r="D98" s="35"/>
      <c r="E98" s="35"/>
      <c r="F98" s="65"/>
      <c r="G98" s="65"/>
      <c r="H98" s="63"/>
      <c r="I98" s="63"/>
      <c r="J98" s="2"/>
      <c r="K98" s="67">
        <v>11.0</v>
      </c>
      <c r="L98" s="49" t="s">
        <v>248</v>
      </c>
      <c r="M98" s="49" t="s">
        <v>249</v>
      </c>
      <c r="N98" s="49" t="s">
        <v>250</v>
      </c>
      <c r="O98" s="49" t="s">
        <v>251</v>
      </c>
      <c r="P98" s="49" t="s">
        <v>252</v>
      </c>
      <c r="Q98" s="49" t="s">
        <v>253</v>
      </c>
      <c r="R98" s="49" t="s">
        <v>254</v>
      </c>
      <c r="S98" s="49" t="s">
        <v>255</v>
      </c>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35"/>
      <c r="AU98" s="73" t="s">
        <v>63</v>
      </c>
      <c r="AV98" s="35">
        <f>IF(AU98='Hero Template Builder'!E$4,'Hero Template Builder'!F$4,0)+IF(AU98='Hero Template Builder'!E$5,'Hero Template Builder'!F$5,0)+IF(AU98='Hero Template Builder'!E$6,'Hero Template Builder'!F$6,0)</f>
        <v>0</v>
      </c>
      <c r="AX98" s="6" t="s">
        <v>40</v>
      </c>
      <c r="AY98" s="35">
        <f>IF(OR('Hero Template Builder'!$E$8=$AS$6,'Hero Template Builder'!$E$8=$AS$7,'Hero Template Builder'!$E$8=$AS$8),'Hero Template Builder'!$F$8,0)</f>
        <v>0</v>
      </c>
      <c r="AZ98" s="35">
        <f>IF(OR('Hero Template Builder'!$E$9=$AS$6,'Hero Template Builder'!$E$9=$AS$7,'Hero Template Builder'!$E$9=$AS$8),'Hero Template Builder'!$F$9,0)</f>
        <v>0</v>
      </c>
      <c r="BA98" s="35">
        <f>IF(OR('Hero Template Builder'!$E$10=$AS$6,'Hero Template Builder'!$E$10=$AS$7,'Hero Template Builder'!$E$10=$AS$8),'Hero Template Builder'!$F$10,0)</f>
        <v>0</v>
      </c>
      <c r="BB98" s="35">
        <f>IF(OR('Hero Template Builder'!$E$11=$AS$6,'Hero Template Builder'!$E$11=$AS$7,'Hero Template Builder'!$E$11=$AS$8),'Hero Template Builder'!$F$11,0)</f>
        <v>0</v>
      </c>
      <c r="BC98" s="35">
        <f>IF(OR('Hero Template Builder'!$E$12=$AS$6,'Hero Template Builder'!$E$12=$AS$7,'Hero Template Builder'!$E$12=$AS$8),'Hero Template Builder'!$F$12,0)</f>
        <v>0</v>
      </c>
      <c r="BD98" s="35">
        <f>IF(OR('Hero Template Builder'!$E$13=$AS$6,'Hero Template Builder'!$E$13=$AS$7,'Hero Template Builder'!$E$13=$AS$8),'Hero Template Builder'!$F$13,0)</f>
        <v>0</v>
      </c>
      <c r="BE98" s="35">
        <f t="shared" si="122"/>
        <v>0</v>
      </c>
      <c r="BF98" s="35"/>
      <c r="BG98" s="35"/>
      <c r="BH98" s="35"/>
      <c r="BI98" s="2"/>
      <c r="BJ98" s="2"/>
      <c r="BK98" s="2"/>
      <c r="BL98" s="2"/>
      <c r="BM98" s="2"/>
      <c r="BN98" s="2"/>
      <c r="BO98" s="2"/>
      <c r="BP98" s="2"/>
      <c r="BQ98" s="2"/>
      <c r="BR98" s="2"/>
      <c r="BS98" s="2"/>
    </row>
    <row r="99">
      <c r="A99" s="2"/>
      <c r="B99" s="2"/>
      <c r="C99" s="2"/>
      <c r="D99" s="35"/>
      <c r="E99" s="35"/>
      <c r="F99" s="65"/>
      <c r="G99" s="65"/>
      <c r="H99" s="63"/>
      <c r="I99" s="63"/>
      <c r="J99" s="2"/>
      <c r="K99" s="67">
        <v>12.0</v>
      </c>
      <c r="L99" s="49" t="s">
        <v>248</v>
      </c>
      <c r="M99" s="49" t="s">
        <v>249</v>
      </c>
      <c r="N99" s="49" t="s">
        <v>250</v>
      </c>
      <c r="O99" s="49" t="s">
        <v>251</v>
      </c>
      <c r="P99" s="49" t="s">
        <v>252</v>
      </c>
      <c r="Q99" s="49" t="s">
        <v>253</v>
      </c>
      <c r="R99" s="49" t="s">
        <v>254</v>
      </c>
      <c r="S99" s="49" t="s">
        <v>255</v>
      </c>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35"/>
      <c r="AU99" s="73" t="s">
        <v>70</v>
      </c>
      <c r="AV99" s="35">
        <f>IF(AU99='Hero Template Builder'!E$4,'Hero Template Builder'!F$4,0)+IF(AU99='Hero Template Builder'!E$5,'Hero Template Builder'!F$5,0)+IF(AU99='Hero Template Builder'!E$6,'Hero Template Builder'!F$6,0)</f>
        <v>0</v>
      </c>
      <c r="AX99" s="6" t="s">
        <v>265</v>
      </c>
      <c r="AY99" s="35">
        <f>IF(OR('Hero Template Builder'!$E$8=$AS$9,'Hero Template Builder'!$E$8=$AS$10,'Hero Template Builder'!$E$8=$AS$11),'Hero Template Builder'!$F$8,0)</f>
        <v>0</v>
      </c>
      <c r="AZ99" s="35">
        <f>IF(OR('Hero Template Builder'!$E$9=$AS$9,'Hero Template Builder'!$E$9=$AS$10,'Hero Template Builder'!$E$9=$AS$11),'Hero Template Builder'!$F$9,0)</f>
        <v>0</v>
      </c>
      <c r="BA99" s="35">
        <f>IF(OR('Hero Template Builder'!$E$10=$AS$9,'Hero Template Builder'!$E$10=$AS$10,'Hero Template Builder'!$E$10=$AS$11),'Hero Template Builder'!$F$10,0)</f>
        <v>0</v>
      </c>
      <c r="BB99" s="35">
        <f>IF(OR('Hero Template Builder'!$E$11=$AS$9,'Hero Template Builder'!$E$11=$AS$10,'Hero Template Builder'!$E$11=$AS$11),'Hero Template Builder'!$F$11,0)</f>
        <v>0</v>
      </c>
      <c r="BC99" s="35">
        <f>IF(OR('Hero Template Builder'!$E$12=$AS$9,'Hero Template Builder'!$E$12=$AS$10,'Hero Template Builder'!$E$12=$AS$11),'Hero Template Builder'!$F$12,0)</f>
        <v>0</v>
      </c>
      <c r="BD99" s="35">
        <f>IF(OR('Hero Template Builder'!$E$13=$AS$9,'Hero Template Builder'!$E$13=$AS$10,'Hero Template Builder'!$E$13=$AS$11),'Hero Template Builder'!$F$13,0)</f>
        <v>0</v>
      </c>
      <c r="BE99" s="35">
        <f t="shared" si="122"/>
        <v>0</v>
      </c>
      <c r="BF99" s="35"/>
      <c r="BG99" s="35"/>
      <c r="BH99" s="35"/>
      <c r="BI99" s="2"/>
      <c r="BJ99" s="2"/>
      <c r="BK99" s="2"/>
      <c r="BL99" s="2"/>
      <c r="BM99" s="2"/>
      <c r="BN99" s="2"/>
      <c r="BO99" s="2"/>
      <c r="BP99" s="2"/>
      <c r="BQ99" s="2"/>
      <c r="BR99" s="2"/>
      <c r="BS99" s="2"/>
    </row>
    <row r="100">
      <c r="A100" s="2"/>
      <c r="B100" s="2"/>
      <c r="C100" s="2"/>
      <c r="D100" s="35"/>
      <c r="E100" s="35"/>
      <c r="F100" s="65"/>
      <c r="G100" s="65"/>
      <c r="H100" s="63"/>
      <c r="I100" s="63"/>
      <c r="J100" s="2"/>
      <c r="K100" s="67">
        <v>13.0</v>
      </c>
      <c r="L100" s="49" t="s">
        <v>248</v>
      </c>
      <c r="M100" s="49" t="s">
        <v>249</v>
      </c>
      <c r="N100" s="49" t="s">
        <v>250</v>
      </c>
      <c r="O100" s="49" t="s">
        <v>251</v>
      </c>
      <c r="P100" s="49" t="s">
        <v>252</v>
      </c>
      <c r="Q100" s="49" t="s">
        <v>253</v>
      </c>
      <c r="R100" s="49" t="s">
        <v>254</v>
      </c>
      <c r="S100" s="49" t="s">
        <v>255</v>
      </c>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35"/>
      <c r="AU100" s="73" t="s">
        <v>103</v>
      </c>
      <c r="AV100" s="35">
        <f>IF(AU100='Hero Template Builder'!E$4,'Hero Template Builder'!F$4,0)+IF(AU100='Hero Template Builder'!E$5,'Hero Template Builder'!F$5,0)+IF(AU100='Hero Template Builder'!E$6,'Hero Template Builder'!F$6,0)</f>
        <v>0</v>
      </c>
      <c r="AX100" s="6" t="s">
        <v>266</v>
      </c>
      <c r="AY100" s="35">
        <f>IF(OR('Hero Template Builder'!$E$8=$AS$12,'Hero Template Builder'!$E$8=$AS$13,'Hero Template Builder'!$E$8=$AS$14),'Hero Template Builder'!$F$8,0)</f>
        <v>6</v>
      </c>
      <c r="AZ100" s="35">
        <f>IF(OR('Hero Template Builder'!$E$9=$AS$12,'Hero Template Builder'!$E$9=$AS$13,'Hero Template Builder'!$E$9=$AS$14),'Hero Template Builder'!$F$9,0)</f>
        <v>4</v>
      </c>
      <c r="BA100" s="35">
        <f>IF(OR('Hero Template Builder'!$E$10=$AS$12,'Hero Template Builder'!$E$10=$AS$13,'Hero Template Builder'!$E$10=$AS$14),'Hero Template Builder'!$F$10,0)</f>
        <v>0</v>
      </c>
      <c r="BB100" s="35">
        <f>IF(OR('Hero Template Builder'!$E$11=$AS$12,'Hero Template Builder'!$E$11=$AS$13,'Hero Template Builder'!$E$11=$AS$14),'Hero Template Builder'!$F$11,0)</f>
        <v>0</v>
      </c>
      <c r="BC100" s="35">
        <f>IF(OR('Hero Template Builder'!$E$12=$AS$12,'Hero Template Builder'!$E$12=$AS$13,'Hero Template Builder'!$E$12=$AS$14),'Hero Template Builder'!$F$12,0)</f>
        <v>0</v>
      </c>
      <c r="BD100" s="35">
        <f>IF(OR('Hero Template Builder'!$E$13=$AS$12,'Hero Template Builder'!$E$13=$AS$13,'Hero Template Builder'!$E$13=$AS$14),'Hero Template Builder'!$F$13,0)</f>
        <v>12</v>
      </c>
      <c r="BE100" s="35">
        <f t="shared" si="122"/>
        <v>22</v>
      </c>
      <c r="BF100" s="35"/>
      <c r="BG100" s="35"/>
      <c r="BH100" s="35"/>
      <c r="BI100" s="2"/>
      <c r="BJ100" s="2"/>
      <c r="BK100" s="2"/>
      <c r="BL100" s="2"/>
      <c r="BM100" s="2"/>
      <c r="BN100" s="2"/>
      <c r="BO100" s="2"/>
      <c r="BP100" s="2"/>
      <c r="BQ100" s="2"/>
      <c r="BR100" s="2"/>
      <c r="BS100" s="2"/>
    </row>
    <row r="101">
      <c r="A101" s="2"/>
      <c r="B101" s="2"/>
      <c r="C101" s="2"/>
      <c r="D101" s="35"/>
      <c r="E101" s="35"/>
      <c r="F101" s="65"/>
      <c r="G101" s="65"/>
      <c r="H101" s="63"/>
      <c r="I101" s="63"/>
      <c r="J101" s="2"/>
      <c r="K101" s="67">
        <v>14.0</v>
      </c>
      <c r="L101" s="49" t="s">
        <v>267</v>
      </c>
      <c r="M101" s="49" t="s">
        <v>268</v>
      </c>
      <c r="N101" s="49" t="s">
        <v>269</v>
      </c>
      <c r="O101" s="49" t="s">
        <v>270</v>
      </c>
      <c r="P101" s="49" t="s">
        <v>271</v>
      </c>
      <c r="Q101" s="49" t="s">
        <v>272</v>
      </c>
      <c r="R101" s="49" t="s">
        <v>273</v>
      </c>
      <c r="S101" s="49" t="s">
        <v>274</v>
      </c>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35"/>
      <c r="AU101" s="73" t="s">
        <v>118</v>
      </c>
      <c r="AV101" s="35">
        <f>IF(AU101='Hero Template Builder'!E$4,'Hero Template Builder'!F$4,0)+IF(AU101='Hero Template Builder'!E$5,'Hero Template Builder'!F$5,0)+IF(AU101='Hero Template Builder'!E$6,'Hero Template Builder'!F$6,0)</f>
        <v>0</v>
      </c>
      <c r="AX101" s="6" t="s">
        <v>275</v>
      </c>
      <c r="AY101" s="35">
        <f>IF(OR('Hero Template Builder'!$E$8=$AS$15,'Hero Template Builder'!$E$8=$AS$16,'Hero Template Builder'!$E$8=$AS$17),'Hero Template Builder'!$F$8,0)</f>
        <v>0</v>
      </c>
      <c r="AZ101" s="35">
        <f>IF(OR('Hero Template Builder'!$E$9=$AS$15,'Hero Template Builder'!$E$9=$AS$16,'Hero Template Builder'!$E$9=$AS$17),'Hero Template Builder'!$F$9,0)</f>
        <v>0</v>
      </c>
      <c r="BA101" s="35">
        <f>IF(OR('Hero Template Builder'!$E$10=$AS$15,'Hero Template Builder'!$E$10=$AS$16,'Hero Template Builder'!$E$10=$AS$17),'Hero Template Builder'!$F$10,0)</f>
        <v>0</v>
      </c>
      <c r="BB101" s="35">
        <f>IF(OR('Hero Template Builder'!$E$11=$AS$15,'Hero Template Builder'!$E$11=$AS$16,'Hero Template Builder'!$E$11=$AS$17),'Hero Template Builder'!$F$11,0)</f>
        <v>0</v>
      </c>
      <c r="BC101" s="35">
        <f>IF(OR('Hero Template Builder'!$E$12=$AS$15,'Hero Template Builder'!$E$12=$AS$16,'Hero Template Builder'!$E$12=$AS$17),'Hero Template Builder'!$F$12,0)</f>
        <v>0</v>
      </c>
      <c r="BD101" s="35">
        <f>IF(OR('Hero Template Builder'!$E$13=$AS$15,'Hero Template Builder'!$E$13=$AS$16,'Hero Template Builder'!$E$13=$AS$17),'Hero Template Builder'!$F$13,0)</f>
        <v>0</v>
      </c>
      <c r="BE101" s="35">
        <f t="shared" si="122"/>
        <v>0</v>
      </c>
      <c r="BF101" s="35"/>
      <c r="BG101" s="35"/>
      <c r="BH101" s="35"/>
      <c r="BI101" s="2"/>
      <c r="BJ101" s="2"/>
      <c r="BK101" s="2"/>
      <c r="BL101" s="2"/>
      <c r="BM101" s="2"/>
      <c r="BN101" s="2"/>
      <c r="BO101" s="2"/>
      <c r="BP101" s="2"/>
      <c r="BQ101" s="2"/>
      <c r="BR101" s="2"/>
      <c r="BS101" s="2"/>
    </row>
    <row r="102">
      <c r="A102" s="2"/>
      <c r="B102" s="2"/>
      <c r="C102" s="2"/>
      <c r="D102" s="35"/>
      <c r="E102" s="35"/>
      <c r="F102" s="65"/>
      <c r="G102" s="65"/>
      <c r="H102" s="63"/>
      <c r="I102" s="63"/>
      <c r="J102" s="2"/>
      <c r="K102" s="67">
        <v>15.0</v>
      </c>
      <c r="L102" s="49" t="s">
        <v>267</v>
      </c>
      <c r="M102" s="49" t="s">
        <v>268</v>
      </c>
      <c r="N102" s="49" t="s">
        <v>269</v>
      </c>
      <c r="O102" s="49" t="s">
        <v>270</v>
      </c>
      <c r="P102" s="49" t="s">
        <v>271</v>
      </c>
      <c r="Q102" s="49" t="s">
        <v>272</v>
      </c>
      <c r="R102" s="49" t="s">
        <v>273</v>
      </c>
      <c r="S102" s="49" t="s">
        <v>274</v>
      </c>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35"/>
      <c r="AU102" s="73" t="s">
        <v>99</v>
      </c>
      <c r="AV102" s="35">
        <f>IF(AU102='Hero Template Builder'!E$4,'Hero Template Builder'!F$4,0)+IF(AU102='Hero Template Builder'!E$5,'Hero Template Builder'!F$5,0)+IF(AU102='Hero Template Builder'!E$6,'Hero Template Builder'!F$6,0)</f>
        <v>0</v>
      </c>
      <c r="AX102" s="6" t="s">
        <v>276</v>
      </c>
      <c r="AY102" s="35">
        <f>IF(OR('Hero Template Builder'!$E$8=$AS18,'Hero Template Builder'!$E$8=$AS$19,'Hero Template Builder'!$E$8=$AS$20),'Hero Template Builder'!$F$8,0)</f>
        <v>0</v>
      </c>
      <c r="AZ102" s="35">
        <f>IF(OR('Hero Template Builder'!$E$9=$AS18,'Hero Template Builder'!$E$9=$AS$19,'Hero Template Builder'!$E$9=$AS$20),'Hero Template Builder'!$F$9,0)</f>
        <v>0</v>
      </c>
      <c r="BA102" s="35">
        <f>IF(OR('Hero Template Builder'!$E$10=$AS18,'Hero Template Builder'!$E$10=$AS$19,'Hero Template Builder'!$E$10=$AS$20),'Hero Template Builder'!$F$10,0)</f>
        <v>20</v>
      </c>
      <c r="BB102" s="35">
        <f>IF(OR('Hero Template Builder'!$E$11=$AS18,'Hero Template Builder'!$E$11=$AS$19,'Hero Template Builder'!$E$11=$AS$20),'Hero Template Builder'!$F$11,0)</f>
        <v>20</v>
      </c>
      <c r="BC102" s="35">
        <f>IF(OR('Hero Template Builder'!$E$12=$AS18,'Hero Template Builder'!$E$12=$AS$19,'Hero Template Builder'!$E$12=$AS$20),'Hero Template Builder'!$F$12,0)</f>
        <v>0</v>
      </c>
      <c r="BD102" s="35">
        <f>IF(OR('Hero Template Builder'!$E$13=$AS18,'Hero Template Builder'!$E$13=$AS$19,'Hero Template Builder'!$E$13=$AS$20),'Hero Template Builder'!$F$13,0)</f>
        <v>0</v>
      </c>
      <c r="BE102" s="35">
        <f t="shared" si="122"/>
        <v>40</v>
      </c>
      <c r="BF102" s="35"/>
      <c r="BG102" s="35"/>
      <c r="BH102" s="35"/>
      <c r="BI102" s="2"/>
      <c r="BJ102" s="2"/>
      <c r="BK102" s="2"/>
      <c r="BL102" s="2"/>
      <c r="BM102" s="2"/>
      <c r="BN102" s="2"/>
      <c r="BO102" s="2"/>
      <c r="BP102" s="2"/>
      <c r="BQ102" s="2"/>
      <c r="BR102" s="2"/>
      <c r="BS102" s="2"/>
    </row>
    <row r="103">
      <c r="A103" s="2"/>
      <c r="B103" s="2"/>
      <c r="C103" s="2"/>
      <c r="D103" s="35"/>
      <c r="E103" s="35"/>
      <c r="F103" s="65"/>
      <c r="G103" s="65"/>
      <c r="H103" s="63"/>
      <c r="I103" s="63"/>
      <c r="J103" s="2"/>
      <c r="K103" s="67">
        <v>16.0</v>
      </c>
      <c r="L103" s="49" t="s">
        <v>267</v>
      </c>
      <c r="M103" s="49" t="s">
        <v>268</v>
      </c>
      <c r="N103" s="49" t="s">
        <v>269</v>
      </c>
      <c r="O103" s="49" t="s">
        <v>270</v>
      </c>
      <c r="P103" s="49" t="s">
        <v>271</v>
      </c>
      <c r="Q103" s="49" t="s">
        <v>272</v>
      </c>
      <c r="R103" s="49" t="s">
        <v>273</v>
      </c>
      <c r="S103" s="49" t="s">
        <v>274</v>
      </c>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35"/>
      <c r="AU103" s="73" t="s">
        <v>56</v>
      </c>
      <c r="AV103" s="35">
        <f>IF(AU103='Hero Template Builder'!E$4,'Hero Template Builder'!F$4,0)+IF(AU103='Hero Template Builder'!E$5,'Hero Template Builder'!F$5,0)+IF(AU103='Hero Template Builder'!E$6,'Hero Template Builder'!F$6,0)</f>
        <v>20</v>
      </c>
      <c r="AX103" s="6" t="s">
        <v>277</v>
      </c>
      <c r="AY103" s="35">
        <f>IF(OR('Hero Template Builder'!$E$8=$AS18,'Hero Template Builder'!$E$8=$AS19,'Hero Template Builder'!$E$8=$AS20),'Hero Template Builder'!$F$8,0)</f>
        <v>0</v>
      </c>
      <c r="AZ103" s="35">
        <f>IF(OR('Hero Template Builder'!$E$9=$AS18,'Hero Template Builder'!$E$9=$AS19,'Hero Template Builder'!$E$9=$AS20),'Hero Template Builder'!$F$9,0)</f>
        <v>0</v>
      </c>
      <c r="BA103" s="35">
        <f>IF(OR('Hero Template Builder'!$E$10=$AS18,'Hero Template Builder'!$E$10=$AS19,'Hero Template Builder'!$E$10=$AS20),'Hero Template Builder'!$F$10,0)</f>
        <v>20</v>
      </c>
      <c r="BB103" s="35">
        <f>IF(OR('Hero Template Builder'!$E$11=$AS18,'Hero Template Builder'!$E$11=$AS19,'Hero Template Builder'!$E$11=$AS20),'Hero Template Builder'!$F$11,0)</f>
        <v>20</v>
      </c>
      <c r="BC103" s="35">
        <f>IF(OR('Hero Template Builder'!$E$12=$AS18,'Hero Template Builder'!$E$12=$AS19,'Hero Template Builder'!$E$12=$AS20),'Hero Template Builder'!$F$12,0)</f>
        <v>0</v>
      </c>
      <c r="BD103" s="35">
        <f>IF(OR('Hero Template Builder'!$E$13=$AS18,'Hero Template Builder'!$E$13=$AS19,'Hero Template Builder'!$E$13=$AS20),'Hero Template Builder'!$F$13,0)</f>
        <v>0</v>
      </c>
      <c r="BE103" s="35">
        <f t="shared" si="122"/>
        <v>40</v>
      </c>
      <c r="BF103" s="35"/>
      <c r="BG103" s="35"/>
      <c r="BH103" s="35"/>
      <c r="BI103" s="2"/>
      <c r="BJ103" s="2"/>
      <c r="BK103" s="2"/>
      <c r="BL103" s="2"/>
      <c r="BM103" s="2"/>
      <c r="BN103" s="2"/>
      <c r="BO103" s="2"/>
      <c r="BP103" s="2"/>
      <c r="BQ103" s="2"/>
      <c r="BR103" s="2"/>
      <c r="BS103" s="2"/>
    </row>
    <row r="104">
      <c r="A104" s="2"/>
      <c r="B104" s="2"/>
      <c r="C104" s="2"/>
      <c r="D104" s="35"/>
      <c r="E104" s="35"/>
      <c r="F104" s="65"/>
      <c r="G104" s="65"/>
      <c r="H104" s="63"/>
      <c r="I104" s="63"/>
      <c r="J104" s="2"/>
      <c r="K104" s="67">
        <v>17.0</v>
      </c>
      <c r="L104" s="49" t="s">
        <v>267</v>
      </c>
      <c r="M104" s="49" t="s">
        <v>268</v>
      </c>
      <c r="N104" s="49" t="s">
        <v>269</v>
      </c>
      <c r="O104" s="49" t="s">
        <v>270</v>
      </c>
      <c r="P104" s="49" t="s">
        <v>271</v>
      </c>
      <c r="Q104" s="49" t="s">
        <v>272</v>
      </c>
      <c r="R104" s="49" t="s">
        <v>273</v>
      </c>
      <c r="S104" s="49" t="s">
        <v>274</v>
      </c>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35"/>
      <c r="AU104" s="73" t="s">
        <v>111</v>
      </c>
      <c r="AV104" s="35">
        <f>IF(AU104='Hero Template Builder'!E$4,'Hero Template Builder'!F$4,0)+IF(AU104='Hero Template Builder'!E$5,'Hero Template Builder'!F$5,0)+IF(AU104='Hero Template Builder'!E$6,'Hero Template Builder'!F$6,0)</f>
        <v>0</v>
      </c>
      <c r="AX104" s="6" t="s">
        <v>39</v>
      </c>
      <c r="AY104" s="35">
        <f>IF(OR('Hero Template Builder'!$E$8=$AS21,'Hero Template Builder'!$E$8=$AS$22,'Hero Template Builder'!$E$8=$AS$23),'Hero Template Builder'!$F$8,0)</f>
        <v>0</v>
      </c>
      <c r="AZ104" s="35">
        <f>IF(OR('Hero Template Builder'!$E$9=$AS21,'Hero Template Builder'!$E$9=$AS$22,'Hero Template Builder'!$E$9=$AS$23),'Hero Template Builder'!$F$9,0)</f>
        <v>0</v>
      </c>
      <c r="BA104" s="35">
        <f>IF(OR('Hero Template Builder'!$E$10=$AS21,'Hero Template Builder'!$E$10=$AS$22,'Hero Template Builder'!$E$10=$AS$23),'Hero Template Builder'!$F$10,0)</f>
        <v>0</v>
      </c>
      <c r="BB104" s="35">
        <f>IF(OR('Hero Template Builder'!$E$11=$AS21,'Hero Template Builder'!$E$11=$AS$22,'Hero Template Builder'!$E$11=$AS$23),'Hero Template Builder'!$F$11,0)</f>
        <v>0</v>
      </c>
      <c r="BC104" s="35">
        <f>IF(OR('Hero Template Builder'!$E$12=$AS21,'Hero Template Builder'!$E$12=$AS$22,'Hero Template Builder'!$E$12=$AS$23),'Hero Template Builder'!$F$12,0)</f>
        <v>0</v>
      </c>
      <c r="BD104" s="35">
        <f>IF(OR('Hero Template Builder'!$E$13=$AS21,'Hero Template Builder'!$E$13=$AS$22,'Hero Template Builder'!$E$13=$AS$23),'Hero Template Builder'!$F$13,0)</f>
        <v>0</v>
      </c>
      <c r="BE104" s="35">
        <f t="shared" si="122"/>
        <v>0</v>
      </c>
      <c r="BF104" s="35"/>
      <c r="BG104" s="35"/>
      <c r="BH104" s="35"/>
      <c r="BI104" s="2"/>
      <c r="BJ104" s="2"/>
      <c r="BK104" s="2"/>
      <c r="BL104" s="2"/>
      <c r="BM104" s="2"/>
      <c r="BN104" s="2"/>
      <c r="BO104" s="2"/>
      <c r="BP104" s="2"/>
      <c r="BQ104" s="2"/>
      <c r="BR104" s="2"/>
      <c r="BS104" s="2"/>
    </row>
    <row r="105">
      <c r="A105" s="2"/>
      <c r="B105" s="2"/>
      <c r="C105" s="2"/>
      <c r="D105" s="35"/>
      <c r="E105" s="35"/>
      <c r="F105" s="65"/>
      <c r="G105" s="65"/>
      <c r="H105" s="63"/>
      <c r="I105" s="63"/>
      <c r="J105" s="2"/>
      <c r="K105" s="67">
        <v>18.0</v>
      </c>
      <c r="L105" s="49" t="s">
        <v>267</v>
      </c>
      <c r="M105" s="49" t="s">
        <v>268</v>
      </c>
      <c r="N105" s="49" t="s">
        <v>269</v>
      </c>
      <c r="O105" s="49" t="s">
        <v>270</v>
      </c>
      <c r="P105" s="49" t="s">
        <v>271</v>
      </c>
      <c r="Q105" s="49" t="s">
        <v>272</v>
      </c>
      <c r="R105" s="49" t="s">
        <v>273</v>
      </c>
      <c r="S105" s="49" t="s">
        <v>274</v>
      </c>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35"/>
      <c r="AU105" s="73" t="s">
        <v>41</v>
      </c>
      <c r="AV105" s="35">
        <f>IF(AU105='Hero Template Builder'!E$4,'Hero Template Builder'!F$4,0)+IF(AU105='Hero Template Builder'!E$5,'Hero Template Builder'!F$5,0)+IF(AU105='Hero Template Builder'!E$6,'Hero Template Builder'!F$6,0)</f>
        <v>0</v>
      </c>
      <c r="AX105" s="6" t="s">
        <v>41</v>
      </c>
      <c r="AY105" s="35">
        <f>IF(OR('Hero Template Builder'!$E$8=$AS$24,'Hero Template Builder'!$E$8=$AS$25,'Hero Template Builder'!$E$8=$AS$26),'Hero Template Builder'!$F$8,0)</f>
        <v>0</v>
      </c>
      <c r="AZ105" s="35">
        <f>IF(OR('Hero Template Builder'!$E$9=$AS$24,'Hero Template Builder'!$E$9=$AS$25,'Hero Template Builder'!$E$9=$AS$26),'Hero Template Builder'!$F$9,0)</f>
        <v>0</v>
      </c>
      <c r="BA105" s="35">
        <f>IF(OR('Hero Template Builder'!$E$10=$AS$24,'Hero Template Builder'!$E$10=$AS$25,'Hero Template Builder'!$E$10=$AS$26),'Hero Template Builder'!$F$10,0)</f>
        <v>0</v>
      </c>
      <c r="BB105" s="35">
        <f>IF(OR('Hero Template Builder'!$E$11=$AS$24,'Hero Template Builder'!$E$11=$AS$25,'Hero Template Builder'!$E$11=$AS$26),'Hero Template Builder'!$F$11,0)</f>
        <v>0</v>
      </c>
      <c r="BC105" s="35">
        <f>IF(OR('Hero Template Builder'!$E$12=$AS$24,'Hero Template Builder'!$E$12=$AS$25,'Hero Template Builder'!$E$12=$AS$26),'Hero Template Builder'!$F$12,0)</f>
        <v>0</v>
      </c>
      <c r="BD105" s="35">
        <f>IF(OR('Hero Template Builder'!$E$13=$AS$24,'Hero Template Builder'!$E$13=$AS$25,'Hero Template Builder'!$E$13=$AS$26),'Hero Template Builder'!$F$13,0)</f>
        <v>0</v>
      </c>
      <c r="BE105" s="35">
        <f t="shared" si="122"/>
        <v>0</v>
      </c>
      <c r="BF105" s="35"/>
      <c r="BG105" s="35"/>
      <c r="BH105" s="35"/>
      <c r="BI105" s="2"/>
      <c r="BJ105" s="2"/>
      <c r="BK105" s="2"/>
      <c r="BL105" s="2"/>
      <c r="BM105" s="2"/>
      <c r="BN105" s="2"/>
      <c r="BO105" s="2"/>
      <c r="BP105" s="2"/>
      <c r="BQ105" s="2"/>
      <c r="BR105" s="2"/>
      <c r="BS105" s="2"/>
    </row>
    <row r="106">
      <c r="A106" s="2"/>
      <c r="B106" s="2"/>
      <c r="C106" s="2"/>
      <c r="D106" s="35"/>
      <c r="E106" s="35"/>
      <c r="F106" s="65"/>
      <c r="G106" s="65"/>
      <c r="H106" s="63"/>
      <c r="I106" s="63"/>
      <c r="J106" s="2"/>
      <c r="K106" s="67">
        <v>19.0</v>
      </c>
      <c r="L106" s="49" t="s">
        <v>267</v>
      </c>
      <c r="M106" s="49" t="s">
        <v>268</v>
      </c>
      <c r="N106" s="49" t="s">
        <v>269</v>
      </c>
      <c r="O106" s="49" t="s">
        <v>270</v>
      </c>
      <c r="P106" s="49" t="s">
        <v>271</v>
      </c>
      <c r="Q106" s="49" t="s">
        <v>272</v>
      </c>
      <c r="R106" s="49" t="s">
        <v>273</v>
      </c>
      <c r="S106" s="49" t="s">
        <v>274</v>
      </c>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35"/>
      <c r="AU106" s="73" t="s">
        <v>40</v>
      </c>
      <c r="AV106" s="35">
        <f>IF(AU106='Hero Template Builder'!E$4,'Hero Template Builder'!F$4,0)+IF(AU106='Hero Template Builder'!E$5,'Hero Template Builder'!F$5,0)+IF(AU106='Hero Template Builder'!E$6,'Hero Template Builder'!F$6,0)</f>
        <v>15</v>
      </c>
      <c r="AX106" s="6" t="s">
        <v>278</v>
      </c>
      <c r="AY106" s="35">
        <f>IF(OR('Hero Template Builder'!$E$8=$AS$27,'Hero Template Builder'!$E$8=$AS$28,'Hero Template Builder'!$E$8=$AS$29),'Hero Template Builder'!$F$8,0)</f>
        <v>0</v>
      </c>
      <c r="AZ106" s="35">
        <f>IF(OR('Hero Template Builder'!$E$9=$AS$27,'Hero Template Builder'!$E$9=$AS$28,'Hero Template Builder'!$E$9=$AS$29),'Hero Template Builder'!$F$9,0)</f>
        <v>0</v>
      </c>
      <c r="BA106" s="35">
        <f>IF(OR('Hero Template Builder'!$E$10=$AS$27,'Hero Template Builder'!$E$10=$AS$28,'Hero Template Builder'!$E$10=$AS$29),'Hero Template Builder'!$F$10,0)</f>
        <v>0</v>
      </c>
      <c r="BB106" s="35">
        <f>IF(OR('Hero Template Builder'!$E$11=$AS$27,'Hero Template Builder'!$E$11=$AS$28,'Hero Template Builder'!$E$11=$AS$29),'Hero Template Builder'!$F$11,0)</f>
        <v>0</v>
      </c>
      <c r="BC106" s="35">
        <f>IF(OR('Hero Template Builder'!$E$12=$AS$27,'Hero Template Builder'!$E$12=$AS$28,'Hero Template Builder'!$E$12=$AS$29),'Hero Template Builder'!$F$12,0)</f>
        <v>0</v>
      </c>
      <c r="BD106" s="35">
        <f>IF(OR('Hero Template Builder'!$E$13=$AS$27,'Hero Template Builder'!$E$13=$AS$28,'Hero Template Builder'!$E$13=$AS$29),'Hero Template Builder'!$F$13,0)</f>
        <v>0</v>
      </c>
      <c r="BE106" s="35">
        <f t="shared" si="122"/>
        <v>0</v>
      </c>
      <c r="BF106" s="35"/>
      <c r="BG106" s="35"/>
      <c r="BH106" s="35"/>
      <c r="BI106" s="2"/>
      <c r="BJ106" s="2"/>
      <c r="BK106" s="2"/>
      <c r="BL106" s="2"/>
      <c r="BM106" s="2"/>
      <c r="BN106" s="2"/>
      <c r="BO106" s="2"/>
      <c r="BP106" s="2"/>
      <c r="BQ106" s="2"/>
      <c r="BR106" s="2"/>
      <c r="BS106" s="2"/>
    </row>
    <row r="107">
      <c r="A107" s="2"/>
      <c r="B107" s="2"/>
      <c r="C107" s="2"/>
      <c r="D107" s="35"/>
      <c r="E107" s="35"/>
      <c r="F107" s="65"/>
      <c r="G107" s="65"/>
      <c r="H107" s="63"/>
      <c r="I107" s="63"/>
      <c r="J107" s="2"/>
      <c r="K107" s="67">
        <v>20.0</v>
      </c>
      <c r="L107" s="49" t="s">
        <v>267</v>
      </c>
      <c r="M107" s="49" t="s">
        <v>268</v>
      </c>
      <c r="N107" s="49" t="s">
        <v>269</v>
      </c>
      <c r="O107" s="49" t="s">
        <v>270</v>
      </c>
      <c r="P107" s="49" t="s">
        <v>271</v>
      </c>
      <c r="Q107" s="49" t="s">
        <v>272</v>
      </c>
      <c r="R107" s="49" t="s">
        <v>273</v>
      </c>
      <c r="S107" s="49" t="s">
        <v>274</v>
      </c>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35"/>
      <c r="AU107" s="73"/>
      <c r="AV107" s="35"/>
      <c r="AX107" s="6" t="s">
        <v>279</v>
      </c>
      <c r="AY107" s="35">
        <f>IF(OR('Hero Template Builder'!$E$8=$AS18,'Hero Template Builder'!$E$8=$AS19,'Hero Template Builder'!$E$8=$AS20),'Hero Template Builder'!$F$8,0)</f>
        <v>0</v>
      </c>
      <c r="AZ107" s="35">
        <f>IF(OR('Hero Template Builder'!$E$9=$AS18,'Hero Template Builder'!$E$9=$AS19,'Hero Template Builder'!$E$9=$AS20),'Hero Template Builder'!$F$9,0)</f>
        <v>0</v>
      </c>
      <c r="BA107" s="35">
        <f>IF(OR('Hero Template Builder'!$E$10=$AS18,'Hero Template Builder'!$E$10=$AS19,'Hero Template Builder'!$E$10=$AS20),'Hero Template Builder'!$F$10,0)</f>
        <v>20</v>
      </c>
      <c r="BB107" s="35">
        <f>IF(OR('Hero Template Builder'!$E$11=$AS18,'Hero Template Builder'!$E$11=$AS19,'Hero Template Builder'!$E$11=$AS20),'Hero Template Builder'!$F$11,0)</f>
        <v>20</v>
      </c>
      <c r="BC107" s="35">
        <f>IF(OR('Hero Template Builder'!$E$12=$AS18,'Hero Template Builder'!$E$12=$AS19,'Hero Template Builder'!$E$12=$AS20),'Hero Template Builder'!$F$12,0)</f>
        <v>0</v>
      </c>
      <c r="BD107" s="35">
        <f>IF(OR('Hero Template Builder'!$E$13=$AS18,'Hero Template Builder'!$E$13=$AS19,'Hero Template Builder'!$E$13=$AS20),'Hero Template Builder'!$F$13,0)</f>
        <v>0</v>
      </c>
      <c r="BE107" s="35">
        <f t="shared" si="122"/>
        <v>40</v>
      </c>
      <c r="BF107" s="35"/>
      <c r="BG107" s="35"/>
      <c r="BH107" s="35"/>
      <c r="BI107" s="2"/>
      <c r="BJ107" s="2"/>
      <c r="BK107" s="2"/>
      <c r="BL107" s="2"/>
      <c r="BM107" s="2"/>
      <c r="BN107" s="2"/>
      <c r="BO107" s="2"/>
      <c r="BP107" s="2"/>
      <c r="BQ107" s="2"/>
      <c r="BR107" s="2"/>
      <c r="BS107" s="2"/>
    </row>
    <row r="108">
      <c r="A108" s="2"/>
      <c r="B108" s="2"/>
      <c r="C108" s="2"/>
      <c r="D108" s="35"/>
      <c r="E108" s="35"/>
      <c r="F108" s="65"/>
      <c r="G108" s="65"/>
      <c r="H108" s="63"/>
      <c r="I108" s="63"/>
      <c r="J108" s="2"/>
      <c r="K108" s="35"/>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35"/>
      <c r="AU108" s="75"/>
      <c r="AV108" s="35"/>
      <c r="AW108" s="2"/>
      <c r="AX108" s="6" t="s">
        <v>280</v>
      </c>
      <c r="AY108" s="35">
        <f>IF(OR('Hero Template Builder'!$E$8=$AS$30,'Hero Template Builder'!$E$8=$AS$31,'Hero Template Builder'!$E$8=$AS$32),'Hero Template Builder'!$F$8,0)</f>
        <v>0</v>
      </c>
      <c r="AZ108" s="35">
        <f>IF(OR('Hero Template Builder'!$E$9=$AS$30,'Hero Template Builder'!$E$9=$AS$31,'Hero Template Builder'!$E$9=$AS$32),'Hero Template Builder'!$F$9,0)</f>
        <v>0</v>
      </c>
      <c r="BA108" s="35">
        <f>IF(OR('Hero Template Builder'!$E$10=$AS$30,'Hero Template Builder'!$E$10=$AS$31,'Hero Template Builder'!$E$10=$AS$32),'Hero Template Builder'!$F$10,0)</f>
        <v>0</v>
      </c>
      <c r="BB108" s="35">
        <f>IF(OR('Hero Template Builder'!$E$11=$AS$30,'Hero Template Builder'!$E$11=$AS$31,'Hero Template Builder'!$E$11=$AS$32),'Hero Template Builder'!$F$11,0)</f>
        <v>0</v>
      </c>
      <c r="BC108" s="35">
        <f>IF(OR('Hero Template Builder'!$E$12=$AS$30,'Hero Template Builder'!$E$12=$AS$31,'Hero Template Builder'!$E$12=$AS$32),'Hero Template Builder'!$F$12,0)</f>
        <v>12</v>
      </c>
      <c r="BD108" s="35">
        <f>IF(OR('Hero Template Builder'!$E$13=$AS$30,'Hero Template Builder'!$E$13=$AS$31,'Hero Template Builder'!$E$13=$AS$32),'Hero Template Builder'!$F$13,0)</f>
        <v>0</v>
      </c>
      <c r="BE108" s="35">
        <f t="shared" si="122"/>
        <v>12</v>
      </c>
      <c r="BF108" s="35"/>
      <c r="BG108" s="35"/>
      <c r="BH108" s="35"/>
      <c r="BI108" s="2"/>
      <c r="BJ108" s="2"/>
      <c r="BK108" s="2"/>
      <c r="BL108" s="2"/>
      <c r="BM108" s="2"/>
      <c r="BN108" s="2"/>
      <c r="BO108" s="2"/>
      <c r="BP108" s="2"/>
      <c r="BQ108" s="2"/>
      <c r="BR108" s="2"/>
      <c r="BS108" s="2"/>
    </row>
    <row r="109">
      <c r="A109" s="2"/>
      <c r="B109" s="2"/>
      <c r="C109" s="2"/>
      <c r="D109" s="35"/>
      <c r="E109" s="35"/>
      <c r="F109" s="65"/>
      <c r="G109" s="65"/>
      <c r="H109" s="63"/>
      <c r="I109" s="63"/>
      <c r="J109" s="2"/>
      <c r="K109" s="35"/>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35"/>
      <c r="AU109" s="75"/>
      <c r="AV109" s="35"/>
      <c r="AW109" s="2"/>
      <c r="AX109" s="2"/>
      <c r="AY109" s="35"/>
      <c r="AZ109" s="2"/>
      <c r="BA109" s="35"/>
      <c r="BB109" s="2"/>
      <c r="BC109" s="35"/>
      <c r="BD109" s="2"/>
      <c r="BE109" s="2"/>
      <c r="BF109" s="2"/>
      <c r="BG109" s="2"/>
      <c r="BH109" s="2"/>
      <c r="BI109" s="2"/>
      <c r="BJ109" s="2"/>
      <c r="BK109" s="2"/>
      <c r="BL109" s="2"/>
      <c r="BM109" s="2"/>
      <c r="BN109" s="2"/>
      <c r="BO109" s="2"/>
      <c r="BP109" s="2"/>
      <c r="BQ109" s="2"/>
      <c r="BR109" s="2"/>
      <c r="BS109" s="2"/>
    </row>
    <row r="110">
      <c r="A110" s="2"/>
      <c r="B110" s="2"/>
      <c r="C110" s="2"/>
      <c r="D110" s="35"/>
      <c r="E110" s="35"/>
      <c r="F110" s="65"/>
      <c r="G110" s="65"/>
      <c r="H110" s="63"/>
      <c r="I110" s="63"/>
      <c r="J110" s="2"/>
      <c r="K110" s="35"/>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35"/>
      <c r="AU110" s="75"/>
      <c r="AV110" s="35"/>
      <c r="AW110" s="2"/>
      <c r="AX110" s="2"/>
      <c r="AY110" s="35"/>
      <c r="AZ110" s="2"/>
      <c r="BA110" s="35"/>
      <c r="BB110" s="2"/>
      <c r="BC110" s="35"/>
      <c r="BD110" s="2"/>
      <c r="BE110" s="2"/>
      <c r="BF110" s="2"/>
      <c r="BG110" s="2"/>
      <c r="BH110" s="2"/>
      <c r="BI110" s="2"/>
      <c r="BJ110" s="2"/>
      <c r="BK110" s="2"/>
      <c r="BL110" s="2"/>
      <c r="BM110" s="2"/>
      <c r="BN110" s="2"/>
      <c r="BO110" s="2"/>
      <c r="BP110" s="2"/>
      <c r="BQ110" s="2"/>
      <c r="BR110" s="2"/>
      <c r="BS110" s="2"/>
    </row>
    <row r="111">
      <c r="A111" s="2"/>
      <c r="B111" s="2"/>
      <c r="C111" s="2"/>
      <c r="D111" s="35"/>
      <c r="E111" s="35"/>
      <c r="F111" s="65"/>
      <c r="G111" s="65"/>
      <c r="H111" s="63"/>
      <c r="I111" s="63"/>
      <c r="J111" s="2"/>
      <c r="K111" s="35"/>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35"/>
      <c r="AV111" s="35"/>
      <c r="AW111" s="2"/>
      <c r="AX111" s="6" t="s">
        <v>281</v>
      </c>
      <c r="AY111" s="11" t="s">
        <v>282</v>
      </c>
      <c r="AZ111" s="6" t="s">
        <v>283</v>
      </c>
      <c r="BA111" s="11" t="s">
        <v>284</v>
      </c>
      <c r="BB111" s="6" t="s">
        <v>19</v>
      </c>
      <c r="BC111" s="11" t="s">
        <v>285</v>
      </c>
      <c r="BD111" s="6" t="s">
        <v>19</v>
      </c>
      <c r="BE111" s="6"/>
      <c r="BF111" s="2"/>
      <c r="BG111" s="2"/>
      <c r="BH111" s="2"/>
      <c r="BI111" s="2"/>
      <c r="BJ111" s="2"/>
      <c r="BK111" s="2"/>
      <c r="BL111" s="2"/>
      <c r="BM111" s="2"/>
      <c r="BN111" s="2"/>
      <c r="BO111" s="2"/>
      <c r="BP111" s="2"/>
      <c r="BQ111" s="2"/>
      <c r="BR111" s="2"/>
      <c r="BS111" s="2"/>
    </row>
    <row r="112">
      <c r="A112" s="2"/>
      <c r="B112" s="2"/>
      <c r="C112" s="2"/>
      <c r="D112" s="35"/>
      <c r="E112" s="35"/>
      <c r="F112" s="65"/>
      <c r="G112" s="65"/>
      <c r="H112" s="63"/>
      <c r="I112" s="63"/>
      <c r="J112" s="2"/>
      <c r="K112" s="35"/>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35"/>
      <c r="AV112" s="35"/>
      <c r="AW112" s="2"/>
      <c r="AX112" s="6" t="s">
        <v>40</v>
      </c>
      <c r="AY112" s="2">
        <f>IF(OR('Hero Template Builder'!B$5=$AU$3,'Hero Template Builder'!B$5=$AU$4),'Hero Template Builder'!$D$5,0)</f>
        <v>0</v>
      </c>
      <c r="AZ112" s="76">
        <f>IF(OR('Hero Template Builder'!B$6=$AU$3,'Hero Template Builder'!B$6=$AU$4),'Hero Template Builder'!$D$6,0)</f>
        <v>170</v>
      </c>
      <c r="BA112" s="35">
        <f>IF(OR('Hero Template Builder'!B$7=AU$3,'Hero Template Builder'!B$7=AU$4),'Hero Template Builder'!D$7,0)</f>
        <v>0</v>
      </c>
      <c r="BB112" s="2">
        <f t="shared" ref="BB112:BB120" si="123">SUM(AY112:BA112)</f>
        <v>170</v>
      </c>
      <c r="BC112" s="11" t="s">
        <v>42</v>
      </c>
      <c r="BD112" s="77">
        <f>IF('Hero Template Builder'!$B$4=BC112,'Gear Leveling &amp; Effects'!$T$4+'Gear Leveling &amp; Effects'!$T$5*('Hero Template Builder'!$C$3-1),0)</f>
        <v>15</v>
      </c>
      <c r="BE112" s="2"/>
      <c r="BF112" s="2"/>
      <c r="BG112" s="2"/>
      <c r="BH112" s="2"/>
      <c r="BI112" s="2"/>
      <c r="BJ112" s="2"/>
      <c r="BK112" s="2"/>
      <c r="BL112" s="2"/>
      <c r="BM112" s="2"/>
      <c r="BN112" s="2"/>
      <c r="BO112" s="2"/>
      <c r="BP112" s="2"/>
      <c r="BQ112" s="2"/>
      <c r="BR112" s="2"/>
      <c r="BS112" s="2"/>
    </row>
    <row r="113">
      <c r="A113" s="2"/>
      <c r="B113" s="2"/>
      <c r="C113" s="2"/>
      <c r="D113" s="35"/>
      <c r="E113" s="35"/>
      <c r="F113" s="65"/>
      <c r="G113" s="65"/>
      <c r="H113" s="63"/>
      <c r="I113" s="63"/>
      <c r="J113" s="2"/>
      <c r="K113" s="35"/>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35"/>
      <c r="AV113" s="35"/>
      <c r="AW113" s="2"/>
      <c r="AX113" s="6" t="s">
        <v>266</v>
      </c>
      <c r="AY113" s="2">
        <f>IF(OR('Hero Template Builder'!B$5=$AU$5,'Hero Template Builder'!B$5=$AU$6),'Hero Template Builder'!$D$5,0)</f>
        <v>0</v>
      </c>
      <c r="AZ113" s="2">
        <f>IF(OR('Hero Template Builder'!B$6=$AU$5,'Hero Template Builder'!B$6=$AU$6),'Hero Template Builder'!$D$6,0)</f>
        <v>0</v>
      </c>
      <c r="BA113" s="2">
        <f>IF(OR('Hero Template Builder'!B$7=AU$5,'Hero Template Builder'!B$7=AU$6),'Hero Template Builder'!D$7,0)</f>
        <v>0</v>
      </c>
      <c r="BB113" s="2">
        <f t="shared" si="123"/>
        <v>0</v>
      </c>
      <c r="BC113" s="11" t="s">
        <v>41</v>
      </c>
      <c r="BD113" s="77">
        <f>IF('Hero Template Builder'!$B$4=BC113,'Gear Leveling &amp; Effects'!$V$4+'Gear Leveling &amp; Effects'!$V$5*('Hero Template Builder'!$C$3-1),0)</f>
        <v>0</v>
      </c>
      <c r="BF113" s="2"/>
      <c r="BG113" s="2"/>
      <c r="BH113" s="2"/>
      <c r="BI113" s="2"/>
      <c r="BJ113" s="2"/>
      <c r="BK113" s="2"/>
      <c r="BL113" s="2"/>
      <c r="BM113" s="2"/>
      <c r="BN113" s="2"/>
      <c r="BO113" s="2"/>
      <c r="BP113" s="2"/>
      <c r="BQ113" s="2"/>
      <c r="BR113" s="2"/>
      <c r="BS113" s="2"/>
    </row>
    <row r="114">
      <c r="A114" s="2"/>
      <c r="B114" s="2"/>
      <c r="C114" s="2"/>
      <c r="D114" s="35"/>
      <c r="E114" s="35"/>
      <c r="F114" s="65"/>
      <c r="G114" s="65"/>
      <c r="H114" s="63"/>
      <c r="I114" s="63"/>
      <c r="J114" s="2"/>
      <c r="K114" s="35"/>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35"/>
      <c r="AV114" s="35"/>
      <c r="AW114" s="2"/>
      <c r="AX114" s="6" t="s">
        <v>275</v>
      </c>
      <c r="AY114" s="2">
        <f>IF(OR('Hero Template Builder'!B$5=$AU$7,'Hero Template Builder'!B$5=$AU$8),'Hero Template Builder'!$D$5,0)</f>
        <v>0</v>
      </c>
      <c r="AZ114" s="2">
        <f>IF(OR('Hero Template Builder'!B$6=$AU$7,'Hero Template Builder'!B$6=$AU$8),'Hero Template Builder'!$D$6,0)</f>
        <v>0</v>
      </c>
      <c r="BA114" s="35">
        <f>IF(OR('Hero Template Builder'!B$7=AU$7,'Hero Template Builder'!B$7=AU$8),'Hero Template Builder'!D$7,0)</f>
        <v>25</v>
      </c>
      <c r="BB114" s="2">
        <f t="shared" si="123"/>
        <v>25</v>
      </c>
      <c r="BC114" s="6" t="s">
        <v>40</v>
      </c>
      <c r="BD114" s="77">
        <f>IF('Hero Template Builder'!$B$4=BC114,'Gear Leveling &amp; Effects'!$V$4+'Gear Leveling &amp; Effects'!$V$5*('Hero Template Builder'!$C$3-1),0)</f>
        <v>0</v>
      </c>
      <c r="BE114" s="2"/>
      <c r="BF114" s="2"/>
      <c r="BG114" s="2"/>
      <c r="BH114" s="2"/>
      <c r="BI114" s="2"/>
      <c r="BJ114" s="2"/>
      <c r="BK114" s="2"/>
      <c r="BL114" s="2"/>
      <c r="BM114" s="2"/>
      <c r="BN114" s="2"/>
      <c r="BO114" s="2"/>
      <c r="BP114" s="2"/>
      <c r="BQ114" s="2"/>
      <c r="BR114" s="2"/>
      <c r="BS114" s="2"/>
    </row>
    <row r="115">
      <c r="A115" s="2"/>
      <c r="B115" s="2"/>
      <c r="C115" s="2"/>
      <c r="D115" s="35"/>
      <c r="E115" s="35"/>
      <c r="F115" s="65"/>
      <c r="G115" s="65"/>
      <c r="H115" s="63"/>
      <c r="I115" s="63"/>
      <c r="J115" s="2"/>
      <c r="K115" s="35"/>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35"/>
      <c r="AV115" s="35"/>
      <c r="AW115" s="2"/>
      <c r="AX115" s="6" t="s">
        <v>276</v>
      </c>
      <c r="AY115" s="2">
        <f>IF(OR('Hero Template Builder'!B$5=$AU$9,'Hero Template Builder'!B$5=$AU$10),'Hero Template Builder'!$D$5,0)</f>
        <v>0</v>
      </c>
      <c r="AZ115" s="2">
        <f>IF(OR('Hero Template Builder'!B$6=$AU$9,'Hero Template Builder'!B$6=$AU$10),'Hero Template Builder'!$D$6,0)</f>
        <v>0</v>
      </c>
      <c r="BA115" s="2">
        <f>IF(OR('Hero Template Builder'!B$7=AU$9,'Hero Template Builder'!B$7=AU$10),'Hero Template Builder'!D$7,0)</f>
        <v>0</v>
      </c>
      <c r="BB115" s="2">
        <f t="shared" si="123"/>
        <v>0</v>
      </c>
      <c r="BC115" s="11" t="s">
        <v>43</v>
      </c>
      <c r="BD115" s="77">
        <f>IF('Hero Template Builder'!$B$4=BC115,'Gear Leveling &amp; Effects'!$W$4+'Gear Leveling &amp; Effects'!$W$5*('Hero Template Builder'!$C$3-1),0)</f>
        <v>0</v>
      </c>
      <c r="BE115" s="2"/>
      <c r="BF115" s="2"/>
      <c r="BG115" s="2"/>
      <c r="BH115" s="2"/>
      <c r="BI115" s="2"/>
      <c r="BJ115" s="2"/>
      <c r="BK115" s="2"/>
      <c r="BL115" s="2"/>
      <c r="BM115" s="2"/>
      <c r="BN115" s="2"/>
      <c r="BO115" s="2"/>
      <c r="BP115" s="2"/>
      <c r="BQ115" s="2"/>
      <c r="BR115" s="2"/>
      <c r="BS115" s="2"/>
    </row>
    <row r="116">
      <c r="A116" s="2"/>
      <c r="B116" s="2"/>
      <c r="C116" s="2"/>
      <c r="D116" s="35"/>
      <c r="E116" s="35"/>
      <c r="F116" s="65"/>
      <c r="G116" s="65"/>
      <c r="H116" s="63"/>
      <c r="I116" s="63"/>
      <c r="J116" s="2"/>
      <c r="K116" s="35"/>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35"/>
      <c r="AV116" s="35"/>
      <c r="AW116" s="2"/>
      <c r="AX116" s="6" t="s">
        <v>39</v>
      </c>
      <c r="AY116" s="2">
        <f>IF(OR('Hero Template Builder'!B$5=$AU$11,'Hero Template Builder'!B$5=$AU$12),'Hero Template Builder'!$D$5,0)</f>
        <v>0</v>
      </c>
      <c r="AZ116" s="2">
        <f>IF(OR('Hero Template Builder'!B$6=$AU$11,'Hero Template Builder'!B$6=$AU$12),'Hero Template Builder'!$D$6,0)</f>
        <v>0</v>
      </c>
      <c r="BA116" s="2">
        <f>IF(OR('Hero Template Builder'!B$7=AU$11,'Hero Template Builder'!B$7=AU$12),'Hero Template Builder'!D$7,0)</f>
        <v>0</v>
      </c>
      <c r="BB116" s="2">
        <f t="shared" si="123"/>
        <v>0</v>
      </c>
      <c r="BC116" s="35"/>
      <c r="BD116" s="2"/>
      <c r="BE116" s="2"/>
      <c r="BF116" s="2"/>
      <c r="BG116" s="2"/>
      <c r="BH116" s="2"/>
      <c r="BI116" s="2"/>
      <c r="BJ116" s="2"/>
      <c r="BK116" s="2"/>
      <c r="BL116" s="2"/>
      <c r="BM116" s="2"/>
      <c r="BN116" s="2"/>
      <c r="BO116" s="2"/>
      <c r="BP116" s="2"/>
      <c r="BQ116" s="2"/>
      <c r="BR116" s="2"/>
      <c r="BS116" s="2"/>
    </row>
    <row r="117">
      <c r="A117" s="2"/>
      <c r="B117" s="2"/>
      <c r="C117" s="2"/>
      <c r="D117" s="35"/>
      <c r="E117" s="35"/>
      <c r="F117" s="65"/>
      <c r="G117" s="65"/>
      <c r="H117" s="63"/>
      <c r="I117" s="63"/>
      <c r="J117" s="2"/>
      <c r="K117" s="35"/>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35"/>
      <c r="AV117" s="35"/>
      <c r="AW117" s="2"/>
      <c r="AX117" s="6" t="s">
        <v>286</v>
      </c>
      <c r="AY117" s="2">
        <f>IF(OR('Hero Template Builder'!B$5=$AU$13,'Hero Template Builder'!B$5=$AU$14),'Hero Template Builder'!$D$5,0)</f>
        <v>11</v>
      </c>
      <c r="AZ117" s="2">
        <f>IF(OR('Hero Template Builder'!B$6=$AU$13,'Hero Template Builder'!B$6=$AU$14),'Hero Template Builder'!$D$6,0)</f>
        <v>0</v>
      </c>
      <c r="BA117" s="2">
        <f>IF(OR('Hero Template Builder'!B$7=AU$13,'Hero Template Builder'!B$7=AU$14),'Hero Template Builder'!D$7,0)</f>
        <v>0</v>
      </c>
      <c r="BB117" s="2">
        <f t="shared" si="123"/>
        <v>11</v>
      </c>
      <c r="BC117" s="35"/>
      <c r="BD117" s="2"/>
      <c r="BE117" s="2"/>
      <c r="BF117" s="2"/>
      <c r="BG117" s="2"/>
      <c r="BH117" s="2"/>
      <c r="BI117" s="2"/>
      <c r="BJ117" s="2"/>
      <c r="BK117" s="2"/>
      <c r="BL117" s="2"/>
      <c r="BM117" s="2"/>
      <c r="BN117" s="2"/>
      <c r="BO117" s="2"/>
      <c r="BP117" s="2"/>
      <c r="BQ117" s="2"/>
      <c r="BR117" s="2"/>
      <c r="BS117" s="2"/>
    </row>
    <row r="118">
      <c r="A118" s="2"/>
      <c r="B118" s="2"/>
      <c r="C118" s="2"/>
      <c r="D118" s="35"/>
      <c r="E118" s="35"/>
      <c r="F118" s="65"/>
      <c r="G118" s="65"/>
      <c r="H118" s="63"/>
      <c r="I118" s="63"/>
      <c r="J118" s="2"/>
      <c r="K118" s="35"/>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35"/>
      <c r="AV118" s="35"/>
      <c r="AW118" s="2"/>
      <c r="AX118" s="6" t="s">
        <v>41</v>
      </c>
      <c r="AY118" s="76">
        <f>IF(OR('Hero Template Builder'!B$5=$AU$15,'Hero Template Builder'!B$5=$AU$16),'Hero Template Builder'!$D$5,0)</f>
        <v>0</v>
      </c>
      <c r="AZ118" s="76">
        <f>IF(OR('Hero Template Builder'!B$6=$AU$15,'Hero Template Builder'!B$6=$AU$16),'Hero Template Builder'!$D$6,0)</f>
        <v>0</v>
      </c>
      <c r="BA118" s="35">
        <f>IF(OR('Hero Template Builder'!B$7=AU$15,'Hero Template Builder'!B$7=AU$16),'Hero Template Builder'!D$7,0)</f>
        <v>0</v>
      </c>
      <c r="BB118" s="76">
        <f t="shared" si="123"/>
        <v>0</v>
      </c>
      <c r="BC118" s="35"/>
      <c r="BD118" s="2"/>
      <c r="BE118" s="2"/>
      <c r="BF118" s="2"/>
      <c r="BG118" s="2"/>
      <c r="BH118" s="2"/>
      <c r="BI118" s="2"/>
      <c r="BJ118" s="2"/>
      <c r="BK118" s="2"/>
      <c r="BL118" s="2"/>
      <c r="BM118" s="2"/>
      <c r="BN118" s="2"/>
      <c r="BO118" s="2"/>
      <c r="BP118" s="2"/>
      <c r="BQ118" s="2"/>
      <c r="BR118" s="2"/>
      <c r="BS118" s="2"/>
    </row>
    <row r="119">
      <c r="A119" s="2"/>
      <c r="B119" s="2"/>
      <c r="C119" s="2"/>
      <c r="D119" s="35"/>
      <c r="E119" s="35"/>
      <c r="F119" s="65"/>
      <c r="G119" s="65"/>
      <c r="H119" s="63"/>
      <c r="I119" s="63"/>
      <c r="J119" s="2"/>
      <c r="K119" s="35"/>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35"/>
      <c r="AV119" s="35"/>
      <c r="AW119" s="2"/>
      <c r="AX119" s="6" t="s">
        <v>287</v>
      </c>
      <c r="AY119" s="2">
        <f>IF(OR('Hero Template Builder'!B$5=$AU$17,'Hero Template Builder'!B$5=$AU$18),'Hero Template Builder'!$D$5,0)</f>
        <v>0</v>
      </c>
      <c r="AZ119" s="2">
        <f>IF(OR('Hero Template Builder'!B$6=$AU$17,'Hero Template Builder'!B$6=$AU$18),'Hero Template Builder'!$D$6,0)</f>
        <v>0</v>
      </c>
      <c r="BA119" s="2">
        <f>IF(OR('Hero Template Builder'!B$7=AU$17,'Hero Template Builder'!B$7=AU$18),'Hero Template Builder'!D$7,0)</f>
        <v>0</v>
      </c>
      <c r="BB119" s="2">
        <f t="shared" si="123"/>
        <v>0</v>
      </c>
      <c r="BC119" s="35"/>
      <c r="BD119" s="2"/>
      <c r="BE119" s="2"/>
      <c r="BF119" s="2"/>
      <c r="BG119" s="2"/>
      <c r="BH119" s="2"/>
      <c r="BI119" s="2"/>
      <c r="BJ119" s="2"/>
      <c r="BK119" s="2"/>
      <c r="BL119" s="2"/>
      <c r="BM119" s="2"/>
      <c r="BN119" s="2"/>
      <c r="BO119" s="2"/>
      <c r="BP119" s="2"/>
      <c r="BQ119" s="2"/>
      <c r="BR119" s="2"/>
      <c r="BS119" s="2"/>
    </row>
    <row r="120">
      <c r="A120" s="2"/>
      <c r="B120" s="2"/>
      <c r="C120" s="2"/>
      <c r="D120" s="35"/>
      <c r="E120" s="35"/>
      <c r="F120" s="65"/>
      <c r="G120" s="65"/>
      <c r="H120" s="63"/>
      <c r="I120" s="63"/>
      <c r="J120" s="2"/>
      <c r="K120" s="35"/>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35"/>
      <c r="AV120" s="35"/>
      <c r="AW120" s="2"/>
      <c r="AX120" s="6" t="s">
        <v>279</v>
      </c>
      <c r="AY120" s="2">
        <f>IF(OR('Hero Template Builder'!B$5=$AU$19,'Hero Template Builder'!B$5=$AU$20),'Hero Template Builder'!$D$5,0)</f>
        <v>0</v>
      </c>
      <c r="AZ120" s="2">
        <f>IF(OR('Hero Template Builder'!B$6=$AU$19,'Hero Template Builder'!B$6=$AU$20),'Hero Template Builder'!$D$6,0)</f>
        <v>0</v>
      </c>
      <c r="BA120" s="2">
        <f>IF(OR('Hero Template Builder'!B$7=AU$19,'Hero Template Builder'!B$7=AU$20),'Hero Template Builder'!D$7,0)</f>
        <v>0</v>
      </c>
      <c r="BB120" s="2">
        <f t="shared" si="123"/>
        <v>0</v>
      </c>
      <c r="BC120" s="35"/>
      <c r="BD120" s="2"/>
      <c r="BE120" s="2"/>
      <c r="BF120" s="2"/>
      <c r="BG120" s="2"/>
      <c r="BH120" s="2"/>
      <c r="BI120" s="2"/>
      <c r="BJ120" s="2"/>
      <c r="BK120" s="2"/>
      <c r="BL120" s="2"/>
      <c r="BM120" s="2"/>
      <c r="BN120" s="2"/>
      <c r="BO120" s="2"/>
      <c r="BP120" s="2"/>
      <c r="BQ120" s="2"/>
      <c r="BR120" s="2"/>
      <c r="BS120" s="2"/>
    </row>
    <row r="121">
      <c r="A121" s="2"/>
      <c r="B121" s="2"/>
      <c r="C121" s="2"/>
      <c r="D121" s="35"/>
      <c r="E121" s="35"/>
      <c r="F121" s="65"/>
      <c r="G121" s="65"/>
      <c r="H121" s="63"/>
      <c r="I121" s="63"/>
      <c r="J121" s="2"/>
      <c r="K121" s="35"/>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35"/>
      <c r="AV121" s="35"/>
      <c r="AW121" s="2"/>
      <c r="AX121" s="2"/>
      <c r="AY121" s="35"/>
      <c r="AZ121" s="2"/>
      <c r="BA121" s="35"/>
      <c r="BB121" s="2"/>
      <c r="BC121" s="35"/>
      <c r="BD121" s="2"/>
      <c r="BE121" s="2"/>
      <c r="BF121" s="2"/>
      <c r="BG121" s="2"/>
      <c r="BH121" s="2"/>
      <c r="BI121" s="2"/>
      <c r="BJ121" s="2"/>
      <c r="BK121" s="2"/>
      <c r="BL121" s="2"/>
      <c r="BM121" s="2"/>
      <c r="BN121" s="2"/>
      <c r="BO121" s="2"/>
      <c r="BP121" s="2"/>
      <c r="BQ121" s="2"/>
      <c r="BR121" s="2"/>
      <c r="BS121" s="2"/>
    </row>
    <row r="122">
      <c r="A122" s="2"/>
      <c r="B122" s="2"/>
      <c r="C122" s="2"/>
      <c r="D122" s="35"/>
      <c r="E122" s="35"/>
      <c r="F122" s="65"/>
      <c r="G122" s="65"/>
      <c r="H122" s="63"/>
      <c r="I122" s="63"/>
      <c r="J122" s="2"/>
      <c r="K122" s="35"/>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35"/>
      <c r="AV122" s="35"/>
      <c r="AW122" s="2"/>
      <c r="AX122" s="6" t="s">
        <v>288</v>
      </c>
      <c r="AY122" s="11" t="s">
        <v>282</v>
      </c>
      <c r="AZ122" s="6" t="s">
        <v>283</v>
      </c>
      <c r="BA122" s="11" t="s">
        <v>284</v>
      </c>
      <c r="BB122" s="6" t="s">
        <v>19</v>
      </c>
      <c r="BC122" s="11" t="s">
        <v>285</v>
      </c>
      <c r="BD122" s="6" t="s">
        <v>19</v>
      </c>
      <c r="BE122" s="6"/>
      <c r="BF122" s="2"/>
      <c r="BG122" s="2"/>
      <c r="BH122" s="2"/>
      <c r="BI122" s="2"/>
      <c r="BJ122" s="2"/>
      <c r="BK122" s="2"/>
      <c r="BL122" s="2"/>
      <c r="BM122" s="2"/>
      <c r="BN122" s="2"/>
      <c r="BO122" s="2"/>
      <c r="BP122" s="2"/>
      <c r="BQ122" s="2"/>
      <c r="BR122" s="2"/>
      <c r="BS122" s="2"/>
    </row>
    <row r="123">
      <c r="A123" s="2"/>
      <c r="B123" s="2"/>
      <c r="C123" s="2"/>
      <c r="D123" s="35"/>
      <c r="E123" s="35"/>
      <c r="F123" s="65"/>
      <c r="G123" s="65"/>
      <c r="H123" s="63"/>
      <c r="I123" s="63"/>
      <c r="J123" s="2"/>
      <c r="K123" s="35"/>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35"/>
      <c r="AV123" s="35"/>
      <c r="AW123" s="2"/>
      <c r="AX123" s="6" t="s">
        <v>40</v>
      </c>
      <c r="AY123" s="76">
        <f>IF(OR('Hero Template Builder'!B$10=AU$3,'Hero Template Builder'!B$10=AU$4),'Hero Template Builder'!D$10,0)</f>
        <v>170</v>
      </c>
      <c r="AZ123" s="35">
        <f>IF(OR('Hero Template Builder'!B$11=$AU$3,'Hero Template Builder'!B$11=$AU$4),'Hero Template Builder'!$D$11,0)</f>
        <v>0</v>
      </c>
      <c r="BA123" s="35">
        <f>IF(OR('Hero Template Builder'!B$12=AU$3,'Hero Template Builder'!B$12=AU$4),'Hero Template Builder'!D$12,0)</f>
        <v>0</v>
      </c>
      <c r="BB123" s="76">
        <f t="shared" ref="BB123:BB131" si="124">SUM(AY123:BA123)</f>
        <v>170</v>
      </c>
      <c r="BC123" s="11" t="s">
        <v>42</v>
      </c>
      <c r="BD123" s="78">
        <f>IF('Hero Template Builder'!$B$9=BC123,'Gear Leveling &amp; Effects'!$T$4+'Gear Leveling &amp; Effects'!$T$5*('Hero Template Builder'!$C$8-1),0)</f>
        <v>0</v>
      </c>
      <c r="BE123" s="79"/>
      <c r="BG123" s="2"/>
      <c r="BH123" s="2"/>
      <c r="BI123" s="2"/>
      <c r="BJ123" s="2"/>
      <c r="BK123" s="2"/>
      <c r="BL123" s="2"/>
      <c r="BM123" s="2"/>
      <c r="BN123" s="2"/>
      <c r="BO123" s="2"/>
      <c r="BP123" s="2"/>
      <c r="BQ123" s="2"/>
      <c r="BR123" s="2"/>
      <c r="BS123" s="2"/>
    </row>
    <row r="124">
      <c r="A124" s="2"/>
      <c r="B124" s="2"/>
      <c r="C124" s="2"/>
      <c r="D124" s="35"/>
      <c r="E124" s="35"/>
      <c r="F124" s="65"/>
      <c r="G124" s="65"/>
      <c r="H124" s="63"/>
      <c r="I124" s="63"/>
      <c r="J124" s="2"/>
      <c r="K124" s="35"/>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35"/>
      <c r="AV124" s="35"/>
      <c r="AW124" s="2"/>
      <c r="AX124" s="6" t="s">
        <v>266</v>
      </c>
      <c r="AY124" s="2">
        <f>IF(OR('Hero Template Builder'!B$10=AU$5,'Hero Template Builder'!B$10=AU$6),'Hero Template Builder'!D$10,0)</f>
        <v>0</v>
      </c>
      <c r="AZ124" s="2">
        <f>IF(OR('Hero Template Builder'!B$11=$AU$5,'Hero Template Builder'!B$11=$AU$6),'Hero Template Builder'!$D$11,0)</f>
        <v>0</v>
      </c>
      <c r="BA124" s="2">
        <f>IF(OR('Hero Template Builder'!B$12=AU$5,'Hero Template Builder'!B$12=AU$6),'Hero Template Builder'!D$12,0)</f>
        <v>0</v>
      </c>
      <c r="BB124" s="2">
        <f t="shared" si="124"/>
        <v>0</v>
      </c>
      <c r="BC124" s="11" t="s">
        <v>41</v>
      </c>
      <c r="BD124" s="80">
        <f>IF('Hero Template Builder'!$B$9=BC124,'Gear Leveling &amp; Effects'!$U$4+'Gear Leveling &amp; Effects'!$U$5*('Hero Template Builder'!$C$8-1),0)</f>
        <v>2150</v>
      </c>
      <c r="BE124" s="79"/>
      <c r="BG124" s="2"/>
      <c r="BH124" s="2"/>
      <c r="BI124" s="2"/>
      <c r="BJ124" s="2"/>
      <c r="BK124" s="2"/>
      <c r="BL124" s="2"/>
      <c r="BM124" s="2"/>
      <c r="BN124" s="2"/>
      <c r="BO124" s="2"/>
      <c r="BP124" s="2"/>
      <c r="BQ124" s="2"/>
      <c r="BR124" s="2"/>
      <c r="BS124" s="2"/>
    </row>
    <row r="125">
      <c r="A125" s="2"/>
      <c r="B125" s="2"/>
      <c r="C125" s="2"/>
      <c r="D125" s="35"/>
      <c r="E125" s="35"/>
      <c r="F125" s="65"/>
      <c r="G125" s="65"/>
      <c r="H125" s="63"/>
      <c r="I125" s="63"/>
      <c r="J125" s="2"/>
      <c r="K125" s="35"/>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35"/>
      <c r="AV125" s="35"/>
      <c r="AW125" s="2"/>
      <c r="AX125" s="6" t="s">
        <v>275</v>
      </c>
      <c r="AY125" s="2">
        <f>IF(OR('Hero Template Builder'!B$10=AU$7,'Hero Template Builder'!B$10=AU$8),'Hero Template Builder'!D$10,0)</f>
        <v>0</v>
      </c>
      <c r="AZ125" s="35">
        <f>IF(OR('Hero Template Builder'!B$11=$AU$7,'Hero Template Builder'!B$11=$AU$8),'Hero Template Builder'!$D$11,0)</f>
        <v>25</v>
      </c>
      <c r="BA125" s="35">
        <f>IF(OR('Hero Template Builder'!B$12=AU$7,'Hero Template Builder'!B$12=AU$8),'Hero Template Builder'!D$12,0)</f>
        <v>0</v>
      </c>
      <c r="BB125" s="2">
        <f t="shared" si="124"/>
        <v>25</v>
      </c>
      <c r="BC125" s="6" t="s">
        <v>40</v>
      </c>
      <c r="BD125" s="78">
        <f>IF('Hero Template Builder'!$B$9=BC125,'Gear Leveling &amp; Effects'!$V$4+'Gear Leveling &amp; Effects'!$V$5*('Hero Template Builder'!$C$8-1),0)</f>
        <v>0</v>
      </c>
      <c r="BE125" s="79"/>
      <c r="BF125" s="2"/>
      <c r="BG125" s="2"/>
      <c r="BH125" s="2"/>
      <c r="BI125" s="2"/>
      <c r="BJ125" s="2"/>
      <c r="BK125" s="2"/>
      <c r="BL125" s="2"/>
      <c r="BM125" s="2"/>
      <c r="BN125" s="2"/>
      <c r="BO125" s="2"/>
      <c r="BP125" s="2"/>
      <c r="BQ125" s="2"/>
      <c r="BR125" s="2"/>
      <c r="BS125" s="2"/>
    </row>
    <row r="126">
      <c r="A126" s="2"/>
      <c r="B126" s="2"/>
      <c r="C126" s="2"/>
      <c r="D126" s="35"/>
      <c r="E126" s="35"/>
      <c r="F126" s="65"/>
      <c r="G126" s="65"/>
      <c r="H126" s="63"/>
      <c r="I126" s="63"/>
      <c r="J126" s="2"/>
      <c r="K126" s="35"/>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35"/>
      <c r="AV126" s="35"/>
      <c r="AW126" s="2"/>
      <c r="AX126" s="6" t="s">
        <v>276</v>
      </c>
      <c r="AY126" s="2">
        <f>IF(OR('Hero Template Builder'!B$10=AU$9,'Hero Template Builder'!B$10=AU$10),'Hero Template Builder'!D$10,0)</f>
        <v>0</v>
      </c>
      <c r="AZ126" s="2">
        <f>IF(OR('Hero Template Builder'!B$11=$AU$9,'Hero Template Builder'!B$11=$AU$10),'Hero Template Builder'!$D$11,0)</f>
        <v>0</v>
      </c>
      <c r="BA126" s="2">
        <f>IF(OR('Hero Template Builder'!B$12=AU$9,'Hero Template Builder'!B$12=AU$10),'Hero Template Builder'!D$12,0)</f>
        <v>0</v>
      </c>
      <c r="BB126" s="2">
        <f t="shared" si="124"/>
        <v>0</v>
      </c>
      <c r="BC126" s="11" t="s">
        <v>43</v>
      </c>
      <c r="BD126" s="78">
        <f>IF('Hero Template Builder'!$B$9=BC126,'Gear Leveling &amp; Effects'!$W$4+'Gear Leveling &amp; Effects'!$W$5*('Hero Template Builder'!$C$8-1),0)</f>
        <v>0</v>
      </c>
      <c r="BE126" s="79"/>
      <c r="BF126" s="2"/>
      <c r="BG126" s="2"/>
      <c r="BH126" s="2"/>
      <c r="BI126" s="2"/>
      <c r="BJ126" s="2"/>
      <c r="BK126" s="2"/>
      <c r="BL126" s="2"/>
      <c r="BM126" s="2"/>
      <c r="BN126" s="2"/>
      <c r="BO126" s="2"/>
      <c r="BP126" s="2"/>
      <c r="BQ126" s="2"/>
      <c r="BR126" s="2"/>
      <c r="BS126" s="2"/>
    </row>
    <row r="127">
      <c r="A127" s="2"/>
      <c r="B127" s="2"/>
      <c r="C127" s="2"/>
      <c r="D127" s="35"/>
      <c r="E127" s="35"/>
      <c r="F127" s="65"/>
      <c r="G127" s="65"/>
      <c r="H127" s="63"/>
      <c r="I127" s="63"/>
      <c r="J127" s="2"/>
      <c r="K127" s="35"/>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35"/>
      <c r="AV127" s="35"/>
      <c r="AW127" s="2"/>
      <c r="AX127" s="6" t="s">
        <v>39</v>
      </c>
      <c r="AY127" s="2">
        <f>IF(OR('Hero Template Builder'!B$10=AU$11,'Hero Template Builder'!B$10=AU$12),'Hero Template Builder'!D$10,0)</f>
        <v>0</v>
      </c>
      <c r="AZ127" s="2">
        <f>IF(OR('Hero Template Builder'!B$11=$AU$11,'Hero Template Builder'!B$11=$AU$12),'Hero Template Builder'!$D$11,0)</f>
        <v>0</v>
      </c>
      <c r="BA127" s="2">
        <f>IF(OR('Hero Template Builder'!B$12=AU$11,'Hero Template Builder'!B$12=AU$12),'Hero Template Builder'!D$12,0)</f>
        <v>0</v>
      </c>
      <c r="BB127" s="2">
        <f t="shared" si="124"/>
        <v>0</v>
      </c>
      <c r="BC127" s="35"/>
      <c r="BD127" s="2"/>
      <c r="BE127" s="2"/>
      <c r="BF127" s="2"/>
      <c r="BG127" s="2"/>
      <c r="BH127" s="2"/>
      <c r="BI127" s="2"/>
      <c r="BJ127" s="2"/>
      <c r="BK127" s="2"/>
      <c r="BL127" s="2"/>
      <c r="BM127" s="2"/>
      <c r="BN127" s="2"/>
      <c r="BO127" s="2"/>
      <c r="BP127" s="2"/>
      <c r="BQ127" s="2"/>
      <c r="BR127" s="2"/>
      <c r="BS127" s="2"/>
    </row>
    <row r="128">
      <c r="A128" s="2"/>
      <c r="B128" s="2"/>
      <c r="C128" s="2"/>
      <c r="D128" s="35"/>
      <c r="E128" s="35"/>
      <c r="F128" s="65"/>
      <c r="G128" s="65"/>
      <c r="H128" s="63"/>
      <c r="I128" s="63"/>
      <c r="J128" s="2"/>
      <c r="K128" s="35"/>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35"/>
      <c r="AV128" s="35"/>
      <c r="AW128" s="2"/>
      <c r="AX128" s="6" t="s">
        <v>286</v>
      </c>
      <c r="AY128" s="2">
        <f>IF(OR('Hero Template Builder'!B$10=AU$13,'Hero Template Builder'!B$10=AU$14),'Hero Template Builder'!D$10,0)</f>
        <v>0</v>
      </c>
      <c r="AZ128" s="2">
        <f>IF(OR('Hero Template Builder'!B$11=$AU$13,'Hero Template Builder'!B$11=$AU$14),'Hero Template Builder'!$D$11,0)</f>
        <v>0</v>
      </c>
      <c r="BA128" s="2">
        <f>IF(OR('Hero Template Builder'!B$12=AU$13,'Hero Template Builder'!B$12=AU$14),'Hero Template Builder'!D$12,0)</f>
        <v>0</v>
      </c>
      <c r="BB128" s="2">
        <f t="shared" si="124"/>
        <v>0</v>
      </c>
      <c r="BC128" s="35"/>
      <c r="BD128" s="2"/>
      <c r="BE128" s="2"/>
      <c r="BF128" s="2"/>
      <c r="BG128" s="2"/>
      <c r="BH128" s="2"/>
      <c r="BI128" s="2"/>
      <c r="BJ128" s="2"/>
      <c r="BK128" s="2"/>
      <c r="BL128" s="2"/>
      <c r="BM128" s="2"/>
      <c r="BN128" s="2"/>
      <c r="BO128" s="2"/>
      <c r="BP128" s="2"/>
      <c r="BQ128" s="2"/>
      <c r="BR128" s="2"/>
      <c r="BS128" s="2"/>
    </row>
    <row r="129">
      <c r="A129" s="2"/>
      <c r="B129" s="2"/>
      <c r="C129" s="2"/>
      <c r="D129" s="35"/>
      <c r="E129" s="35"/>
      <c r="F129" s="65"/>
      <c r="G129" s="65"/>
      <c r="H129" s="63"/>
      <c r="I129" s="63"/>
      <c r="J129" s="2"/>
      <c r="K129" s="35"/>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35"/>
      <c r="AV129" s="35"/>
      <c r="AW129" s="2"/>
      <c r="AX129" s="6" t="s">
        <v>41</v>
      </c>
      <c r="AY129" s="76">
        <f>IF(OR('Hero Template Builder'!B$10=AU$15,'Hero Template Builder'!B$10=AU$16),'Hero Template Builder'!D$10,0)</f>
        <v>0</v>
      </c>
      <c r="AZ129" s="35">
        <f>IF(OR('Hero Template Builder'!B$11=$AU$15,'Hero Template Builder'!B$11=$AU$16),'Hero Template Builder'!$D$11,0)</f>
        <v>0</v>
      </c>
      <c r="BA129" s="35">
        <f>IF(OR('Hero Template Builder'!B$12=AU$15,'Hero Template Builder'!B$12=AU$16),'Hero Template Builder'!D$12,0)</f>
        <v>0</v>
      </c>
      <c r="BB129" s="76">
        <f t="shared" si="124"/>
        <v>0</v>
      </c>
      <c r="BC129" s="35"/>
      <c r="BD129" s="2"/>
      <c r="BE129" s="2"/>
      <c r="BF129" s="2"/>
      <c r="BG129" s="2"/>
      <c r="BH129" s="2"/>
      <c r="BI129" s="2"/>
      <c r="BJ129" s="2"/>
      <c r="BK129" s="2"/>
      <c r="BL129" s="2"/>
      <c r="BM129" s="2"/>
      <c r="BN129" s="2"/>
      <c r="BO129" s="2"/>
      <c r="BP129" s="2"/>
      <c r="BQ129" s="2"/>
      <c r="BR129" s="2"/>
      <c r="BS129" s="2"/>
    </row>
    <row r="130">
      <c r="A130" s="2"/>
      <c r="B130" s="2"/>
      <c r="C130" s="2"/>
      <c r="D130" s="35"/>
      <c r="E130" s="35"/>
      <c r="F130" s="65"/>
      <c r="G130" s="65"/>
      <c r="H130" s="63"/>
      <c r="I130" s="63"/>
      <c r="J130" s="2"/>
      <c r="K130" s="35"/>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35"/>
      <c r="AV130" s="35"/>
      <c r="AW130" s="2"/>
      <c r="AX130" s="6" t="s">
        <v>287</v>
      </c>
      <c r="AY130" s="2">
        <f>IF(OR('Hero Template Builder'!B$10=AU$17,'Hero Template Builder'!B$10=AU$18),'Hero Template Builder'!D$10,0)</f>
        <v>0</v>
      </c>
      <c r="AZ130" s="2">
        <f>IF(OR('Hero Template Builder'!B$11=$AU$17,'Hero Template Builder'!B$11=$AU$18),'Hero Template Builder'!$D$11,0)</f>
        <v>0</v>
      </c>
      <c r="BA130" s="2">
        <f>IF(OR('Hero Template Builder'!B$12=AU$17,'Hero Template Builder'!B$12=AU$18),'Hero Template Builder'!D$12,0)</f>
        <v>11</v>
      </c>
      <c r="BB130" s="2">
        <f t="shared" si="124"/>
        <v>11</v>
      </c>
      <c r="BC130" s="35"/>
      <c r="BD130" s="2"/>
      <c r="BE130" s="2"/>
      <c r="BF130" s="2"/>
      <c r="BG130" s="2"/>
      <c r="BH130" s="2"/>
      <c r="BI130" s="2"/>
      <c r="BJ130" s="2"/>
      <c r="BK130" s="2"/>
      <c r="BL130" s="2"/>
      <c r="BM130" s="2"/>
      <c r="BN130" s="2"/>
      <c r="BO130" s="2"/>
      <c r="BP130" s="2"/>
      <c r="BQ130" s="2"/>
      <c r="BR130" s="2"/>
      <c r="BS130" s="2"/>
    </row>
    <row r="131">
      <c r="A131" s="2"/>
      <c r="B131" s="2"/>
      <c r="C131" s="2"/>
      <c r="D131" s="35"/>
      <c r="E131" s="35"/>
      <c r="F131" s="65"/>
      <c r="G131" s="65"/>
      <c r="H131" s="63"/>
      <c r="I131" s="63"/>
      <c r="J131" s="2"/>
      <c r="K131" s="35"/>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35"/>
      <c r="AV131" s="35"/>
      <c r="AW131" s="2"/>
      <c r="AX131" s="6" t="s">
        <v>279</v>
      </c>
      <c r="AY131" s="2">
        <f>IF(OR('Hero Template Builder'!B$10=AU$19,'Hero Template Builder'!B$10=AU$20),'Hero Template Builder'!D$10,0)</f>
        <v>0</v>
      </c>
      <c r="AZ131" s="2">
        <f>IF(OR('Hero Template Builder'!B$11=$AU$19,'Hero Template Builder'!B$11=$AU$20),'Hero Template Builder'!$D$11,0)</f>
        <v>0</v>
      </c>
      <c r="BA131" s="2">
        <f>IF(OR('Hero Template Builder'!B$12=AU$19,'Hero Template Builder'!B$12=AU$20),'Hero Template Builder'!D$12,0)</f>
        <v>0</v>
      </c>
      <c r="BB131" s="2">
        <f t="shared" si="124"/>
        <v>0</v>
      </c>
      <c r="BC131" s="35"/>
      <c r="BD131" s="2"/>
      <c r="BE131" s="2"/>
      <c r="BF131" s="2"/>
      <c r="BG131" s="2"/>
      <c r="BH131" s="2"/>
      <c r="BI131" s="2"/>
      <c r="BJ131" s="2"/>
      <c r="BK131" s="2"/>
      <c r="BL131" s="2"/>
      <c r="BM131" s="2"/>
      <c r="BN131" s="2"/>
      <c r="BO131" s="2"/>
      <c r="BP131" s="2"/>
      <c r="BQ131" s="2"/>
      <c r="BR131" s="2"/>
      <c r="BS131" s="2"/>
    </row>
    <row r="132">
      <c r="A132" s="2"/>
      <c r="B132" s="2"/>
      <c r="C132" s="2"/>
      <c r="D132" s="35"/>
      <c r="E132" s="35"/>
      <c r="F132" s="65"/>
      <c r="G132" s="65"/>
      <c r="H132" s="63"/>
      <c r="I132" s="63"/>
      <c r="J132" s="2"/>
      <c r="K132" s="35"/>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35"/>
      <c r="AV132" s="35"/>
      <c r="AW132" s="2"/>
      <c r="AX132" s="2"/>
      <c r="AY132" s="35"/>
      <c r="AZ132" s="2"/>
      <c r="BA132" s="35"/>
      <c r="BB132" s="2"/>
      <c r="BC132" s="35"/>
      <c r="BD132" s="2"/>
      <c r="BE132" s="2"/>
      <c r="BF132" s="2"/>
      <c r="BG132" s="2"/>
      <c r="BH132" s="2"/>
      <c r="BI132" s="2"/>
      <c r="BJ132" s="2"/>
      <c r="BK132" s="2"/>
      <c r="BL132" s="2"/>
      <c r="BM132" s="2"/>
      <c r="BN132" s="2"/>
      <c r="BO132" s="2"/>
      <c r="BP132" s="2"/>
      <c r="BQ132" s="2"/>
      <c r="BR132" s="2"/>
      <c r="BS132" s="2"/>
    </row>
    <row r="133">
      <c r="A133" s="2"/>
      <c r="B133" s="2"/>
      <c r="C133" s="2"/>
      <c r="D133" s="35"/>
      <c r="E133" s="35"/>
      <c r="F133" s="65"/>
      <c r="G133" s="65"/>
      <c r="H133" s="63"/>
      <c r="I133" s="63"/>
      <c r="J133" s="2"/>
      <c r="K133" s="35"/>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35"/>
      <c r="AV133" s="35"/>
      <c r="AW133" s="2"/>
      <c r="AX133" s="6" t="s">
        <v>289</v>
      </c>
      <c r="AY133" s="11" t="s">
        <v>282</v>
      </c>
      <c r="AZ133" s="6" t="s">
        <v>283</v>
      </c>
      <c r="BA133" s="11" t="s">
        <v>284</v>
      </c>
      <c r="BB133" s="6" t="s">
        <v>19</v>
      </c>
      <c r="BC133" s="11" t="s">
        <v>285</v>
      </c>
      <c r="BD133" s="6" t="s">
        <v>19</v>
      </c>
      <c r="BE133" s="6"/>
      <c r="BF133" s="2"/>
      <c r="BG133" s="2"/>
      <c r="BH133" s="2"/>
      <c r="BI133" s="2"/>
      <c r="BJ133" s="2"/>
      <c r="BK133" s="2"/>
      <c r="BL133" s="2"/>
      <c r="BM133" s="2"/>
      <c r="BN133" s="2"/>
      <c r="BO133" s="2"/>
      <c r="BP133" s="2"/>
      <c r="BQ133" s="2"/>
      <c r="BR133" s="2"/>
      <c r="BS133" s="2"/>
    </row>
    <row r="134">
      <c r="A134" s="2"/>
      <c r="B134" s="2"/>
      <c r="C134" s="2"/>
      <c r="D134" s="35"/>
      <c r="E134" s="35"/>
      <c r="F134" s="65"/>
      <c r="G134" s="65"/>
      <c r="H134" s="63"/>
      <c r="I134" s="63"/>
      <c r="J134" s="2"/>
      <c r="K134" s="35"/>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35"/>
      <c r="AV134" s="35"/>
      <c r="AW134" s="2"/>
      <c r="AX134" s="6" t="s">
        <v>40</v>
      </c>
      <c r="AY134" s="2">
        <f>IF(OR('Hero Template Builder'!B$15=AU$3,'Hero Template Builder'!B$15=AU$4),'Hero Template Builder'!D$15,0)</f>
        <v>0</v>
      </c>
      <c r="AZ134" s="35">
        <f>IF(OR('Hero Template Builder'!B$16=AU$3,'Hero Template Builder'!B$16=AU$4),'Hero Template Builder'!D$16,0)</f>
        <v>0</v>
      </c>
      <c r="BA134" s="35">
        <f>IF(OR('Hero Template Builder'!B$17=AU$3,'Hero Template Builder'!B$17=AU$4),'Hero Template Builder'!D$17,0)</f>
        <v>170</v>
      </c>
      <c r="BB134" s="2">
        <f t="shared" ref="BB134:BB142" si="125">SUM(AY134:BA134)</f>
        <v>170</v>
      </c>
      <c r="BC134" s="11" t="s">
        <v>42</v>
      </c>
      <c r="BD134" s="77">
        <f>IF('Hero Template Builder'!$B$14=BC134,'Gear Leveling &amp; Effects'!$T$4+'Gear Leveling &amp; Effects'!$T$5*('Hero Template Builder'!$C$13-1),0)</f>
        <v>0</v>
      </c>
      <c r="BF134" s="2"/>
      <c r="BG134" s="2"/>
      <c r="BH134" s="2"/>
      <c r="BI134" s="2"/>
      <c r="BJ134" s="2"/>
      <c r="BK134" s="2"/>
      <c r="BL134" s="2"/>
      <c r="BM134" s="2"/>
      <c r="BN134" s="2"/>
      <c r="BO134" s="2"/>
      <c r="BP134" s="2"/>
      <c r="BQ134" s="2"/>
      <c r="BR134" s="2"/>
      <c r="BS134" s="2"/>
    </row>
    <row r="135">
      <c r="A135" s="2"/>
      <c r="B135" s="2"/>
      <c r="C135" s="2"/>
      <c r="D135" s="35"/>
      <c r="E135" s="35"/>
      <c r="F135" s="65"/>
      <c r="G135" s="65"/>
      <c r="H135" s="63"/>
      <c r="I135" s="63"/>
      <c r="J135" s="2"/>
      <c r="K135" s="35"/>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35"/>
      <c r="AV135" s="35"/>
      <c r="AW135" s="2"/>
      <c r="AX135" s="6" t="s">
        <v>266</v>
      </c>
      <c r="AY135" s="2">
        <f>IF(OR('Hero Template Builder'!B$15=AU$5,'Hero Template Builder'!B$15=AU$6),'Hero Template Builder'!D$15,0)</f>
        <v>11</v>
      </c>
      <c r="AZ135" s="2">
        <f>IF(OR('Hero Template Builder'!B$16=AU$5,'Hero Template Builder'!B$16=AU$6),'Hero Template Builder'!D$16,0)</f>
        <v>0</v>
      </c>
      <c r="BA135" s="2">
        <f>IF(OR('Hero Template Builder'!B$17=AU$5,'Hero Template Builder'!B$17=AU$6),'Hero Template Builder'!D$17,0)</f>
        <v>0</v>
      </c>
      <c r="BB135" s="2">
        <f t="shared" si="125"/>
        <v>11</v>
      </c>
      <c r="BC135" s="11" t="s">
        <v>41</v>
      </c>
      <c r="BD135" s="77">
        <f>IF('Hero Template Builder'!$B$14=BC135,'Gear Leveling &amp; Effects'!$U$4+'Gear Leveling &amp; Effects'!$U$5*('Hero Template Builder'!$C$13-1),0)</f>
        <v>0</v>
      </c>
      <c r="BE135" s="2"/>
      <c r="BF135" s="2"/>
      <c r="BG135" s="2"/>
      <c r="BH135" s="2"/>
      <c r="BI135" s="2"/>
      <c r="BJ135" s="2"/>
      <c r="BK135" s="2"/>
      <c r="BL135" s="2"/>
      <c r="BM135" s="2"/>
      <c r="BN135" s="2"/>
      <c r="BO135" s="2"/>
      <c r="BP135" s="2"/>
      <c r="BQ135" s="2"/>
      <c r="BR135" s="2"/>
      <c r="BS135" s="2"/>
    </row>
    <row r="136">
      <c r="A136" s="2"/>
      <c r="B136" s="2"/>
      <c r="C136" s="2"/>
      <c r="D136" s="35"/>
      <c r="E136" s="35"/>
      <c r="F136" s="65"/>
      <c r="G136" s="65"/>
      <c r="H136" s="63"/>
      <c r="I136" s="63"/>
      <c r="J136" s="2"/>
      <c r="K136" s="35"/>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35"/>
      <c r="AV136" s="35"/>
      <c r="AW136" s="2"/>
      <c r="AX136" s="6" t="s">
        <v>275</v>
      </c>
      <c r="AY136" s="2">
        <f>IF(OR('Hero Template Builder'!B$15=AU$7,'Hero Template Builder'!B$15=AU$8),'Hero Template Builder'!D$15,0)</f>
        <v>0</v>
      </c>
      <c r="AZ136" s="35">
        <f>IF(OR('Hero Template Builder'!B$16=AU$7,'Hero Template Builder'!B$16=AU$8),'Hero Template Builder'!D$16,0)</f>
        <v>0</v>
      </c>
      <c r="BA136" s="35">
        <f>IF(OR('Hero Template Builder'!B$17=AU$7,'Hero Template Builder'!B$17=AU$8),'Hero Template Builder'!D$17,0)</f>
        <v>0</v>
      </c>
      <c r="BB136" s="2">
        <f t="shared" si="125"/>
        <v>0</v>
      </c>
      <c r="BC136" s="6" t="s">
        <v>40</v>
      </c>
      <c r="BD136" s="81">
        <f>IF('Hero Template Builder'!$B$14=BC136,'Gear Leveling &amp; Effects'!$V$4+'Gear Leveling &amp; Effects'!$V$5*('Hero Template Builder'!$C$13-1),0)</f>
        <v>205</v>
      </c>
      <c r="BE136" s="2"/>
      <c r="BF136" s="2"/>
      <c r="BG136" s="2"/>
      <c r="BH136" s="2"/>
      <c r="BI136" s="2"/>
      <c r="BJ136" s="2"/>
      <c r="BK136" s="2"/>
      <c r="BL136" s="2"/>
      <c r="BM136" s="2"/>
      <c r="BN136" s="2"/>
      <c r="BO136" s="2"/>
      <c r="BP136" s="2"/>
      <c r="BQ136" s="2"/>
      <c r="BR136" s="2"/>
      <c r="BS136" s="2"/>
    </row>
    <row r="137">
      <c r="A137" s="2"/>
      <c r="B137" s="2"/>
      <c r="C137" s="2"/>
      <c r="D137" s="35"/>
      <c r="E137" s="35"/>
      <c r="F137" s="65"/>
      <c r="G137" s="65"/>
      <c r="H137" s="63"/>
      <c r="I137" s="63"/>
      <c r="J137" s="2"/>
      <c r="K137" s="35"/>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35"/>
      <c r="AV137" s="35"/>
      <c r="AW137" s="2"/>
      <c r="AX137" s="6" t="s">
        <v>276</v>
      </c>
      <c r="AY137" s="2">
        <f>IF(OR('Hero Template Builder'!B$15=AU$9,'Hero Template Builder'!B$15=AU$10),'Hero Template Builder'!D$15,0)</f>
        <v>0</v>
      </c>
      <c r="AZ137" s="2">
        <f>IF(OR('Hero Template Builder'!B$16=AU$9,'Hero Template Builder'!B$16=AU$10),'Hero Template Builder'!D$16,0)</f>
        <v>0</v>
      </c>
      <c r="BA137" s="2">
        <f>IF(OR('Hero Template Builder'!B$17=AU$9,'Hero Template Builder'!B$17=AU$10),'Hero Template Builder'!D$17,0)</f>
        <v>0</v>
      </c>
      <c r="BB137" s="2">
        <f t="shared" si="125"/>
        <v>0</v>
      </c>
      <c r="BC137" s="11" t="s">
        <v>43</v>
      </c>
      <c r="BD137" s="77">
        <f>IF('Hero Template Builder'!$B$14=BC137,'Gear Leveling &amp; Effects'!$W$4+'Gear Leveling &amp; Effects'!$W$5*('Hero Template Builder'!$C$13-1),0)</f>
        <v>0</v>
      </c>
      <c r="BE137" s="2"/>
      <c r="BF137" s="2"/>
      <c r="BG137" s="2"/>
      <c r="BH137" s="2"/>
      <c r="BI137" s="2"/>
      <c r="BJ137" s="2"/>
      <c r="BK137" s="2"/>
      <c r="BL137" s="2"/>
      <c r="BM137" s="2"/>
      <c r="BN137" s="2"/>
      <c r="BO137" s="2"/>
      <c r="BP137" s="2"/>
      <c r="BQ137" s="2"/>
      <c r="BR137" s="2"/>
      <c r="BS137" s="2"/>
    </row>
    <row r="138">
      <c r="A138" s="2"/>
      <c r="B138" s="2"/>
      <c r="C138" s="2"/>
      <c r="D138" s="35"/>
      <c r="E138" s="35"/>
      <c r="F138" s="65"/>
      <c r="G138" s="65"/>
      <c r="H138" s="63"/>
      <c r="I138" s="63"/>
      <c r="J138" s="2"/>
      <c r="K138" s="35"/>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35"/>
      <c r="AV138" s="35"/>
      <c r="AW138" s="2"/>
      <c r="AX138" s="6" t="s">
        <v>39</v>
      </c>
      <c r="AY138" s="2">
        <f>IF(OR('Hero Template Builder'!B$15=AU$11,'Hero Template Builder'!B$15=AU$12),'Hero Template Builder'!D$15,0)</f>
        <v>0</v>
      </c>
      <c r="AZ138" s="2">
        <f>IF(OR('Hero Template Builder'!B$16=AU$11,'Hero Template Builder'!B$16=AU$12),'Hero Template Builder'!D$16,0)</f>
        <v>0</v>
      </c>
      <c r="BA138" s="2">
        <f>IF(OR('Hero Template Builder'!B$17=AU$11,'Hero Template Builder'!B$17=AU$12),'Hero Template Builder'!D$17,0)</f>
        <v>0</v>
      </c>
      <c r="BB138" s="2">
        <f t="shared" si="125"/>
        <v>0</v>
      </c>
      <c r="BC138" s="35"/>
      <c r="BD138" s="2"/>
      <c r="BE138" s="2"/>
      <c r="BF138" s="2"/>
      <c r="BG138" s="2"/>
      <c r="BH138" s="2"/>
      <c r="BI138" s="2"/>
      <c r="BJ138" s="2"/>
      <c r="BK138" s="2"/>
      <c r="BL138" s="2"/>
      <c r="BM138" s="2"/>
      <c r="BN138" s="2"/>
      <c r="BO138" s="2"/>
      <c r="BP138" s="2"/>
      <c r="BQ138" s="2"/>
      <c r="BR138" s="2"/>
      <c r="BS138" s="2"/>
    </row>
    <row r="139">
      <c r="A139" s="2"/>
      <c r="B139" s="2"/>
      <c r="C139" s="2"/>
      <c r="D139" s="35"/>
      <c r="E139" s="35"/>
      <c r="F139" s="65"/>
      <c r="G139" s="65"/>
      <c r="H139" s="63"/>
      <c r="I139" s="63"/>
      <c r="J139" s="2"/>
      <c r="K139" s="35"/>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35"/>
      <c r="AV139" s="35"/>
      <c r="AW139" s="2"/>
      <c r="AX139" s="6" t="s">
        <v>286</v>
      </c>
      <c r="AY139" s="2">
        <f>IF(OR('Hero Template Builder'!B$15=AU$13,'Hero Template Builder'!B$15=AU$14),'Hero Template Builder'!D$15,0)</f>
        <v>0</v>
      </c>
      <c r="AZ139" s="2">
        <f>IF(OR('Hero Template Builder'!B$16=AU$13,'Hero Template Builder'!B$16=AU$14),'Hero Template Builder'!D$16,0)</f>
        <v>11</v>
      </c>
      <c r="BA139" s="2">
        <f>IF(OR('Hero Template Builder'!B$17=AU$13,'Hero Template Builder'!B$17=AU$14),'Hero Template Builder'!D$17,0)</f>
        <v>0</v>
      </c>
      <c r="BB139" s="2">
        <f t="shared" si="125"/>
        <v>11</v>
      </c>
      <c r="BC139" s="35"/>
      <c r="BD139" s="2"/>
      <c r="BE139" s="2"/>
      <c r="BF139" s="2"/>
      <c r="BG139" s="2"/>
      <c r="BH139" s="2"/>
      <c r="BI139" s="2"/>
      <c r="BJ139" s="2"/>
      <c r="BK139" s="2"/>
      <c r="BL139" s="2"/>
      <c r="BM139" s="2"/>
      <c r="BN139" s="2"/>
      <c r="BO139" s="2"/>
      <c r="BP139" s="2"/>
      <c r="BQ139" s="2"/>
      <c r="BR139" s="2"/>
      <c r="BS139" s="2"/>
    </row>
    <row r="140">
      <c r="A140" s="2"/>
      <c r="B140" s="2"/>
      <c r="C140" s="2"/>
      <c r="D140" s="35"/>
      <c r="E140" s="35"/>
      <c r="F140" s="65"/>
      <c r="G140" s="65"/>
      <c r="H140" s="63"/>
      <c r="I140" s="63"/>
      <c r="J140" s="2"/>
      <c r="K140" s="35"/>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35"/>
      <c r="AV140" s="35"/>
      <c r="AW140" s="2"/>
      <c r="AX140" s="6" t="s">
        <v>41</v>
      </c>
      <c r="AY140" s="76">
        <f>IF(OR('Hero Template Builder'!B$15=AU$15,'Hero Template Builder'!B$15=AU$16),'Hero Template Builder'!D$15,0)</f>
        <v>0</v>
      </c>
      <c r="AZ140" s="35">
        <f>IF(OR('Hero Template Builder'!B$16=AU$15,'Hero Template Builder'!B$16=AU$16),'Hero Template Builder'!D$16,0)</f>
        <v>0</v>
      </c>
      <c r="BA140" s="35">
        <f>IF(OR('Hero Template Builder'!B$17=AU$15,'Hero Template Builder'!B$17=AU$16),'Hero Template Builder'!D$17,0)</f>
        <v>0</v>
      </c>
      <c r="BB140" s="76">
        <f t="shared" si="125"/>
        <v>0</v>
      </c>
      <c r="BC140" s="35"/>
      <c r="BD140" s="2"/>
      <c r="BE140" s="2"/>
      <c r="BF140" s="2"/>
      <c r="BG140" s="2"/>
      <c r="BH140" s="2"/>
      <c r="BI140" s="2"/>
      <c r="BJ140" s="2"/>
      <c r="BK140" s="2"/>
      <c r="BL140" s="2"/>
      <c r="BM140" s="2"/>
      <c r="BN140" s="2"/>
      <c r="BO140" s="2"/>
      <c r="BP140" s="2"/>
      <c r="BQ140" s="2"/>
      <c r="BR140" s="2"/>
      <c r="BS140" s="2"/>
    </row>
    <row r="141">
      <c r="A141" s="2"/>
      <c r="B141" s="2"/>
      <c r="C141" s="2"/>
      <c r="D141" s="35"/>
      <c r="E141" s="35"/>
      <c r="F141" s="65"/>
      <c r="G141" s="65"/>
      <c r="H141" s="63"/>
      <c r="I141" s="63"/>
      <c r="J141" s="2"/>
      <c r="K141" s="35"/>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35"/>
      <c r="AV141" s="35"/>
      <c r="AW141" s="2"/>
      <c r="AX141" s="6" t="s">
        <v>287</v>
      </c>
      <c r="AY141" s="2">
        <f>IF(OR('Hero Template Builder'!B$15=AU$17,'Hero Template Builder'!B$15=AU$18),'Hero Template Builder'!D$15,0)</f>
        <v>0</v>
      </c>
      <c r="AZ141" s="2">
        <f>IF(OR('Hero Template Builder'!B$16=AU$17,'Hero Template Builder'!B$16=AU$18),'Hero Template Builder'!D$16,0)</f>
        <v>0</v>
      </c>
      <c r="BA141" s="2">
        <f>IF(OR('Hero Template Builder'!B$17=AU$17,'Hero Template Builder'!B$17=AU$18),'Hero Template Builder'!D$17,0)</f>
        <v>0</v>
      </c>
      <c r="BB141" s="2">
        <f t="shared" si="125"/>
        <v>0</v>
      </c>
      <c r="BC141" s="35"/>
      <c r="BD141" s="2"/>
      <c r="BE141" s="2"/>
      <c r="BF141" s="2"/>
      <c r="BG141" s="2"/>
      <c r="BH141" s="2"/>
      <c r="BI141" s="2"/>
      <c r="BJ141" s="2"/>
      <c r="BK141" s="2"/>
      <c r="BL141" s="2"/>
      <c r="BM141" s="2"/>
      <c r="BN141" s="2"/>
      <c r="BO141" s="2"/>
      <c r="BP141" s="2"/>
      <c r="BQ141" s="2"/>
      <c r="BR141" s="2"/>
      <c r="BS141" s="2"/>
    </row>
    <row r="142">
      <c r="A142" s="2"/>
      <c r="B142" s="2"/>
      <c r="C142" s="2"/>
      <c r="D142" s="35"/>
      <c r="E142" s="35"/>
      <c r="F142" s="65"/>
      <c r="G142" s="65"/>
      <c r="H142" s="63"/>
      <c r="I142" s="63"/>
      <c r="J142" s="2"/>
      <c r="K142" s="35"/>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35"/>
      <c r="AV142" s="35"/>
      <c r="AW142" s="2"/>
      <c r="AX142" s="6" t="s">
        <v>279</v>
      </c>
      <c r="AY142" s="2">
        <f>IF(OR('Hero Template Builder'!B$15=AU$19,'Hero Template Builder'!B$15=AU$20),'Hero Template Builder'!D$15,0)</f>
        <v>0</v>
      </c>
      <c r="AZ142" s="2">
        <f>IF(OR('Hero Template Builder'!B$16=AU$19,'Hero Template Builder'!B$16=AU$20),'Hero Template Builder'!D$16,0)</f>
        <v>0</v>
      </c>
      <c r="BA142" s="2">
        <f>IF(OR('Hero Template Builder'!B$17=AU$19,'Hero Template Builder'!B$17=AU$20),'Hero Template Builder'!D$17,0)</f>
        <v>0</v>
      </c>
      <c r="BB142" s="2">
        <f t="shared" si="125"/>
        <v>0</v>
      </c>
      <c r="BC142" s="35"/>
      <c r="BD142" s="2"/>
      <c r="BE142" s="2"/>
      <c r="BF142" s="2"/>
      <c r="BG142" s="2"/>
      <c r="BH142" s="2"/>
      <c r="BI142" s="2"/>
      <c r="BJ142" s="2"/>
      <c r="BK142" s="2"/>
      <c r="BL142" s="2"/>
      <c r="BM142" s="2"/>
      <c r="BN142" s="2"/>
      <c r="BO142" s="2"/>
      <c r="BP142" s="2"/>
      <c r="BQ142" s="2"/>
      <c r="BR142" s="2"/>
      <c r="BS142" s="2"/>
    </row>
    <row r="143">
      <c r="A143" s="2"/>
      <c r="B143" s="2"/>
      <c r="C143" s="2"/>
      <c r="D143" s="35"/>
      <c r="E143" s="35"/>
      <c r="F143" s="65"/>
      <c r="G143" s="65"/>
      <c r="H143" s="63"/>
      <c r="I143" s="63"/>
      <c r="J143" s="2"/>
      <c r="K143" s="35"/>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35"/>
      <c r="AV143" s="35"/>
      <c r="AW143" s="2"/>
      <c r="AX143" s="2"/>
      <c r="AY143" s="35"/>
      <c r="AZ143" s="2"/>
      <c r="BA143" s="35"/>
      <c r="BB143" s="2"/>
      <c r="BC143" s="35"/>
      <c r="BD143" s="2"/>
      <c r="BE143" s="2"/>
      <c r="BF143" s="2"/>
      <c r="BG143" s="2"/>
      <c r="BH143" s="2"/>
      <c r="BI143" s="2"/>
      <c r="BJ143" s="2"/>
      <c r="BK143" s="2"/>
      <c r="BL143" s="2"/>
      <c r="BM143" s="2"/>
      <c r="BN143" s="2"/>
      <c r="BO143" s="2"/>
      <c r="BP143" s="2"/>
      <c r="BQ143" s="2"/>
      <c r="BR143" s="2"/>
      <c r="BS143" s="2"/>
    </row>
    <row r="144">
      <c r="A144" s="2"/>
      <c r="B144" s="2"/>
      <c r="C144" s="2"/>
      <c r="D144" s="35"/>
      <c r="E144" s="35"/>
      <c r="F144" s="65"/>
      <c r="G144" s="65"/>
      <c r="H144" s="63"/>
      <c r="I144" s="63"/>
      <c r="J144" s="2"/>
      <c r="K144" s="35"/>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35"/>
      <c r="AV144" s="35"/>
      <c r="AW144" s="2"/>
      <c r="AX144" s="6" t="s">
        <v>290</v>
      </c>
      <c r="AY144" s="11" t="s">
        <v>282</v>
      </c>
      <c r="AZ144" s="6" t="s">
        <v>283</v>
      </c>
      <c r="BA144" s="11" t="s">
        <v>284</v>
      </c>
      <c r="BB144" s="6" t="s">
        <v>19</v>
      </c>
      <c r="BC144" s="11" t="s">
        <v>285</v>
      </c>
      <c r="BD144" s="6" t="s">
        <v>19</v>
      </c>
      <c r="BE144" s="6"/>
      <c r="BF144" s="2"/>
      <c r="BG144" s="2"/>
      <c r="BH144" s="2"/>
      <c r="BI144" s="2"/>
      <c r="BJ144" s="2"/>
      <c r="BK144" s="2"/>
      <c r="BL144" s="2"/>
      <c r="BM144" s="2"/>
      <c r="BN144" s="2"/>
      <c r="BO144" s="2"/>
      <c r="BP144" s="2"/>
      <c r="BQ144" s="2"/>
      <c r="BR144" s="2"/>
      <c r="BS144" s="2"/>
    </row>
    <row r="145">
      <c r="A145" s="2"/>
      <c r="B145" s="2"/>
      <c r="C145" s="2"/>
      <c r="D145" s="35"/>
      <c r="E145" s="35"/>
      <c r="F145" s="65"/>
      <c r="G145" s="65"/>
      <c r="H145" s="63"/>
      <c r="I145" s="63"/>
      <c r="J145" s="2"/>
      <c r="K145" s="35"/>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35"/>
      <c r="AV145" s="35"/>
      <c r="AW145" s="2"/>
      <c r="AX145" s="6" t="s">
        <v>40</v>
      </c>
      <c r="AY145" s="2">
        <f>IF(OR('Hero Template Builder'!B$20=AU$3,'Hero Template Builder'!B$20=AU$4),'Hero Template Builder'!D$20,0)</f>
        <v>0</v>
      </c>
      <c r="AZ145" s="2">
        <f>IF(OR('Hero Template Builder'!B$21=AU$3,'Hero Template Builder'!B$21=AU$4),'Hero Template Builder'!D$21,0)</f>
        <v>0</v>
      </c>
      <c r="BA145" s="76">
        <f>IF(OR('Hero Template Builder'!B$22=AU$3,'Hero Template Builder'!B$22=AU$4),'Hero Template Builder'!D$22,0)</f>
        <v>210</v>
      </c>
      <c r="BB145" s="2">
        <f t="shared" ref="BB145:BB153" si="126">SUM(AY145:BA145)</f>
        <v>210</v>
      </c>
      <c r="BC145" s="11" t="s">
        <v>42</v>
      </c>
      <c r="BD145" s="77">
        <f>IF('Hero Template Builder'!$B$19=BC145,'Gear Leveling &amp; Effects'!$T$4+'Gear Leveling &amp; Effects'!$T$5*('Hero Template Builder'!$C$18-1),0)</f>
        <v>0</v>
      </c>
      <c r="BF145" s="2"/>
      <c r="BG145" s="2"/>
      <c r="BH145" s="2"/>
      <c r="BI145" s="2"/>
      <c r="BJ145" s="2"/>
      <c r="BK145" s="2"/>
      <c r="BL145" s="2"/>
      <c r="BM145" s="2"/>
      <c r="BN145" s="2"/>
      <c r="BO145" s="2"/>
      <c r="BP145" s="2"/>
      <c r="BQ145" s="2"/>
      <c r="BR145" s="2"/>
      <c r="BS145" s="2"/>
    </row>
    <row r="146">
      <c r="A146" s="2"/>
      <c r="B146" s="2"/>
      <c r="C146" s="2"/>
      <c r="D146" s="35"/>
      <c r="E146" s="35"/>
      <c r="F146" s="65"/>
      <c r="G146" s="65"/>
      <c r="H146" s="63"/>
      <c r="I146" s="63"/>
      <c r="J146" s="2"/>
      <c r="K146" s="35"/>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35"/>
      <c r="AV146" s="35"/>
      <c r="AW146" s="2"/>
      <c r="AX146" s="6" t="s">
        <v>266</v>
      </c>
      <c r="AY146" s="2">
        <f>IF(OR('Hero Template Builder'!B$20=AU$5,'Hero Template Builder'!B$20=AU$6),'Hero Template Builder'!D$20,0)</f>
        <v>0</v>
      </c>
      <c r="AZ146" s="2">
        <f>IF(OR('Hero Template Builder'!B$21=AU$5,'Hero Template Builder'!B$21=AU$6),'Hero Template Builder'!D$21,0)</f>
        <v>0</v>
      </c>
      <c r="BA146" s="2">
        <f>IF(OR('Hero Template Builder'!B$22=AU$5,'Hero Template Builder'!B$22=AU$6),'Hero Template Builder'!D$22,0)</f>
        <v>0</v>
      </c>
      <c r="BB146" s="2">
        <f t="shared" si="126"/>
        <v>0</v>
      </c>
      <c r="BC146" s="11" t="s">
        <v>41</v>
      </c>
      <c r="BD146" s="81">
        <f>IF('Hero Template Builder'!$B$19=BC146,'Gear Leveling &amp; Effects'!$U$4+'Gear Leveling &amp; Effects'!$U$5*('Hero Template Builder'!$C$18-1),0)</f>
        <v>2650</v>
      </c>
      <c r="BE146" s="2"/>
      <c r="BF146" s="2"/>
      <c r="BG146" s="2"/>
      <c r="BH146" s="2"/>
      <c r="BI146" s="2"/>
      <c r="BJ146" s="2"/>
      <c r="BK146" s="2"/>
      <c r="BL146" s="2"/>
      <c r="BM146" s="2"/>
      <c r="BN146" s="2"/>
      <c r="BO146" s="2"/>
      <c r="BP146" s="2"/>
      <c r="BQ146" s="2"/>
      <c r="BR146" s="2"/>
      <c r="BS146" s="2"/>
    </row>
    <row r="147">
      <c r="A147" s="2"/>
      <c r="B147" s="2"/>
      <c r="C147" s="2"/>
      <c r="D147" s="35"/>
      <c r="E147" s="35"/>
      <c r="F147" s="65"/>
      <c r="G147" s="65"/>
      <c r="H147" s="63"/>
      <c r="I147" s="63"/>
      <c r="J147" s="2"/>
      <c r="K147" s="35"/>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35"/>
      <c r="AV147" s="35"/>
      <c r="AW147" s="2"/>
      <c r="AX147" s="6" t="s">
        <v>275</v>
      </c>
      <c r="AY147" s="2">
        <f>IF(OR('Hero Template Builder'!B$20=AU$7,'Hero Template Builder'!B$20=AU$8),'Hero Template Builder'!D$20,0)</f>
        <v>0</v>
      </c>
      <c r="AZ147" s="2">
        <f>IF(OR('Hero Template Builder'!B$21=AU$7,'Hero Template Builder'!B$21=AU$8),'Hero Template Builder'!D$21,0)</f>
        <v>0</v>
      </c>
      <c r="BA147" s="2">
        <f>IF(OR('Hero Template Builder'!B$22=AU$7,'Hero Template Builder'!B$22=AU$8),'Hero Template Builder'!D$22,0)</f>
        <v>0</v>
      </c>
      <c r="BB147" s="2">
        <f t="shared" si="126"/>
        <v>0</v>
      </c>
      <c r="BC147" s="6" t="s">
        <v>40</v>
      </c>
      <c r="BD147" s="77">
        <f>IF('Hero Template Builder'!$B$19=BC147,'Gear Leveling &amp; Effects'!$V$4+'Gear Leveling &amp; Effects'!$V$5*('Hero Template Builder'!$C$18-1),0)</f>
        <v>0</v>
      </c>
      <c r="BE147" s="2"/>
      <c r="BF147" s="2"/>
      <c r="BG147" s="2"/>
      <c r="BH147" s="2"/>
      <c r="BI147" s="2"/>
      <c r="BJ147" s="2"/>
      <c r="BK147" s="2"/>
      <c r="BL147" s="2"/>
      <c r="BM147" s="2"/>
      <c r="BN147" s="2"/>
      <c r="BO147" s="2"/>
      <c r="BP147" s="2"/>
      <c r="BQ147" s="2"/>
      <c r="BR147" s="2"/>
      <c r="BS147" s="2"/>
    </row>
    <row r="148">
      <c r="A148" s="2"/>
      <c r="B148" s="2"/>
      <c r="C148" s="2"/>
      <c r="D148" s="35"/>
      <c r="E148" s="35"/>
      <c r="F148" s="65"/>
      <c r="G148" s="65"/>
      <c r="H148" s="63"/>
      <c r="I148" s="63"/>
      <c r="J148" s="2"/>
      <c r="K148" s="35"/>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35"/>
      <c r="AV148" s="35"/>
      <c r="AW148" s="2"/>
      <c r="AX148" s="6" t="s">
        <v>276</v>
      </c>
      <c r="AY148" s="2">
        <f>IF(OR('Hero Template Builder'!B$20=AU$9,'Hero Template Builder'!B$20=AU$10),'Hero Template Builder'!D$20,0)</f>
        <v>0</v>
      </c>
      <c r="AZ148" s="2">
        <f>IF(OR('Hero Template Builder'!B$21=AU$9,'Hero Template Builder'!B$21=AU$10),'Hero Template Builder'!D$21,0)</f>
        <v>0</v>
      </c>
      <c r="BA148" s="2">
        <f>IF(OR('Hero Template Builder'!B$22=AU$9,'Hero Template Builder'!B$22=AU$10),'Hero Template Builder'!D$22,0)</f>
        <v>0</v>
      </c>
      <c r="BB148" s="2">
        <f t="shared" si="126"/>
        <v>0</v>
      </c>
      <c r="BC148" s="11" t="s">
        <v>43</v>
      </c>
      <c r="BD148" s="77">
        <f>IF('Hero Template Builder'!$B$19=BC148,'Gear Leveling &amp; Effects'!$W$4+'Gear Leveling &amp; Effects'!$W$5*('Hero Template Builder'!$C$18-1),0)</f>
        <v>0</v>
      </c>
      <c r="BE148" s="2"/>
      <c r="BF148" s="2"/>
      <c r="BG148" s="2"/>
      <c r="BH148" s="2"/>
      <c r="BI148" s="2"/>
      <c r="BJ148" s="2"/>
      <c r="BK148" s="2"/>
      <c r="BL148" s="2"/>
      <c r="BM148" s="2"/>
      <c r="BN148" s="2"/>
      <c r="BO148" s="2"/>
      <c r="BP148" s="2"/>
      <c r="BQ148" s="2"/>
      <c r="BR148" s="2"/>
      <c r="BS148" s="2"/>
    </row>
    <row r="149">
      <c r="A149" s="2"/>
      <c r="B149" s="2"/>
      <c r="C149" s="2"/>
      <c r="D149" s="35"/>
      <c r="E149" s="35"/>
      <c r="F149" s="65"/>
      <c r="G149" s="65"/>
      <c r="H149" s="63"/>
      <c r="I149" s="63"/>
      <c r="J149" s="2"/>
      <c r="K149" s="35"/>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35"/>
      <c r="AV149" s="35"/>
      <c r="AW149" s="2"/>
      <c r="AX149" s="6" t="s">
        <v>39</v>
      </c>
      <c r="AY149" s="2">
        <f>IF(OR('Hero Template Builder'!B$20=AU$11,'Hero Template Builder'!B$20=AU$12),'Hero Template Builder'!D$20,0)</f>
        <v>0</v>
      </c>
      <c r="AZ149" s="2">
        <f>IF(OR('Hero Template Builder'!B$21=AU$11,'Hero Template Builder'!B$21=AU$12),'Hero Template Builder'!D$21,0)</f>
        <v>0</v>
      </c>
      <c r="BA149" s="2">
        <f>IF(OR('Hero Template Builder'!B$22=AU$11,'Hero Template Builder'!B$22=AU$12),'Hero Template Builder'!D$22,0)</f>
        <v>0</v>
      </c>
      <c r="BB149" s="2">
        <f t="shared" si="126"/>
        <v>0</v>
      </c>
      <c r="BC149" s="35"/>
      <c r="BD149" s="2"/>
      <c r="BE149" s="2"/>
      <c r="BF149" s="2"/>
      <c r="BG149" s="2"/>
      <c r="BH149" s="2"/>
      <c r="BI149" s="2"/>
      <c r="BJ149" s="2"/>
      <c r="BK149" s="2"/>
      <c r="BL149" s="2"/>
      <c r="BM149" s="2"/>
      <c r="BN149" s="2"/>
      <c r="BO149" s="2"/>
      <c r="BP149" s="2"/>
      <c r="BQ149" s="2"/>
      <c r="BR149" s="2"/>
      <c r="BS149" s="2"/>
    </row>
    <row r="150">
      <c r="A150" s="2"/>
      <c r="B150" s="2"/>
      <c r="C150" s="2"/>
      <c r="D150" s="35"/>
      <c r="E150" s="35"/>
      <c r="F150" s="65"/>
      <c r="G150" s="65"/>
      <c r="H150" s="63"/>
      <c r="I150" s="63"/>
      <c r="J150" s="2"/>
      <c r="K150" s="35"/>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35"/>
      <c r="AV150" s="35"/>
      <c r="AW150" s="2"/>
      <c r="AX150" s="6" t="s">
        <v>286</v>
      </c>
      <c r="AY150" s="2">
        <f>IF(OR('Hero Template Builder'!B$20=AU$13,'Hero Template Builder'!B$20=AU$14),'Hero Template Builder'!D$20,0)</f>
        <v>13</v>
      </c>
      <c r="AZ150" s="2">
        <f>IF(OR('Hero Template Builder'!B$21=AU$13,'Hero Template Builder'!B$21=AU$14),'Hero Template Builder'!D$21,0)</f>
        <v>0</v>
      </c>
      <c r="BA150" s="2">
        <f>IF(OR('Hero Template Builder'!B$22=AU$13,'Hero Template Builder'!B$22=AU$14),'Hero Template Builder'!D$22,0)</f>
        <v>0</v>
      </c>
      <c r="BB150" s="2">
        <f t="shared" si="126"/>
        <v>13</v>
      </c>
      <c r="BC150" s="35"/>
      <c r="BD150" s="2"/>
      <c r="BE150" s="2"/>
      <c r="BF150" s="2"/>
      <c r="BG150" s="2"/>
      <c r="BH150" s="2"/>
      <c r="BI150" s="2"/>
      <c r="BJ150" s="2"/>
      <c r="BK150" s="2"/>
      <c r="BL150" s="2"/>
      <c r="BM150" s="2"/>
      <c r="BN150" s="2"/>
      <c r="BO150" s="2"/>
      <c r="BP150" s="2"/>
      <c r="BQ150" s="2"/>
      <c r="BR150" s="2"/>
      <c r="BS150" s="2"/>
    </row>
    <row r="151">
      <c r="A151" s="2"/>
      <c r="B151" s="2"/>
      <c r="C151" s="2"/>
      <c r="D151" s="35"/>
      <c r="E151" s="35"/>
      <c r="F151" s="65"/>
      <c r="G151" s="65"/>
      <c r="H151" s="63"/>
      <c r="I151" s="63"/>
      <c r="J151" s="2"/>
      <c r="K151" s="35"/>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35"/>
      <c r="AV151" s="35"/>
      <c r="AW151" s="2"/>
      <c r="AX151" s="6" t="s">
        <v>41</v>
      </c>
      <c r="AY151" s="76">
        <f>IF(OR('Hero Template Builder'!B$20=AU$15,'Hero Template Builder'!B$20=AU$16),'Hero Template Builder'!D$20,0)</f>
        <v>0</v>
      </c>
      <c r="AZ151" s="76">
        <f>IF(OR('Hero Template Builder'!B$21=AU$15,'Hero Template Builder'!B$21=AU$16),'Hero Template Builder'!D$21,0)</f>
        <v>0</v>
      </c>
      <c r="BA151" s="2">
        <f>IF(OR('Hero Template Builder'!B$22=AU$15,'Hero Template Builder'!B$22=AU$16),'Hero Template Builder'!D$22,0)</f>
        <v>0</v>
      </c>
      <c r="BB151" s="76">
        <f t="shared" si="126"/>
        <v>0</v>
      </c>
      <c r="BC151" s="35"/>
      <c r="BD151" s="2"/>
      <c r="BE151" s="2"/>
      <c r="BF151" s="2"/>
      <c r="BG151" s="2"/>
      <c r="BH151" s="2"/>
      <c r="BI151" s="2"/>
      <c r="BJ151" s="2"/>
      <c r="BK151" s="2"/>
      <c r="BL151" s="2"/>
      <c r="BM151" s="2"/>
      <c r="BN151" s="2"/>
      <c r="BO151" s="2"/>
      <c r="BP151" s="2"/>
      <c r="BQ151" s="2"/>
      <c r="BR151" s="2"/>
      <c r="BS151" s="2"/>
    </row>
    <row r="152">
      <c r="A152" s="2"/>
      <c r="B152" s="2"/>
      <c r="C152" s="2"/>
      <c r="D152" s="35"/>
      <c r="E152" s="35"/>
      <c r="F152" s="65"/>
      <c r="G152" s="65"/>
      <c r="H152" s="63"/>
      <c r="I152" s="63"/>
      <c r="J152" s="2"/>
      <c r="K152" s="35"/>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35"/>
      <c r="AV152" s="35"/>
      <c r="AW152" s="2"/>
      <c r="AX152" s="6" t="s">
        <v>287</v>
      </c>
      <c r="AY152" s="2">
        <f>IF(OR('Hero Template Builder'!B$20=AU$17,'Hero Template Builder'!B$20=AU$18),'Hero Template Builder'!D$20,0)</f>
        <v>0</v>
      </c>
      <c r="AZ152" s="2">
        <f>IF(OR('Hero Template Builder'!B$21=AU$17,'Hero Template Builder'!B$21=AU$18),'Hero Template Builder'!D$21,0)</f>
        <v>13</v>
      </c>
      <c r="BA152" s="2">
        <f>IF(OR('Hero Template Builder'!B$22=AU$17,'Hero Template Builder'!B$22=AU$18),'Hero Template Builder'!D$22,0)</f>
        <v>0</v>
      </c>
      <c r="BB152" s="2">
        <f t="shared" si="126"/>
        <v>13</v>
      </c>
      <c r="BC152" s="35"/>
      <c r="BD152" s="2"/>
      <c r="BE152" s="2"/>
      <c r="BF152" s="2"/>
      <c r="BG152" s="2"/>
      <c r="BH152" s="2"/>
      <c r="BI152" s="2"/>
      <c r="BJ152" s="2"/>
      <c r="BK152" s="2"/>
      <c r="BL152" s="2"/>
      <c r="BM152" s="2"/>
      <c r="BN152" s="2"/>
      <c r="BO152" s="2"/>
      <c r="BP152" s="2"/>
      <c r="BQ152" s="2"/>
      <c r="BR152" s="2"/>
      <c r="BS152" s="2"/>
    </row>
    <row r="153">
      <c r="A153" s="2"/>
      <c r="B153" s="2"/>
      <c r="C153" s="2"/>
      <c r="D153" s="35"/>
      <c r="E153" s="35"/>
      <c r="F153" s="65"/>
      <c r="G153" s="65"/>
      <c r="H153" s="63"/>
      <c r="I153" s="63"/>
      <c r="J153" s="2"/>
      <c r="K153" s="35"/>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35"/>
      <c r="AV153" s="35"/>
      <c r="AW153" s="2"/>
      <c r="AX153" s="6" t="s">
        <v>279</v>
      </c>
      <c r="AY153" s="2">
        <f>IF(OR('Hero Template Builder'!B$20=AU$19,'Hero Template Builder'!B$20=AU$20),'Hero Template Builder'!D$20,0)</f>
        <v>0</v>
      </c>
      <c r="AZ153" s="2">
        <f>IF(OR('Hero Template Builder'!B$21=AU$19,'Hero Template Builder'!B$21=AU$20),'Hero Template Builder'!D$21,0)</f>
        <v>0</v>
      </c>
      <c r="BA153" s="2">
        <f>IF(OR('Hero Template Builder'!B$22=AU$19,'Hero Template Builder'!B$22=AU$20),'Hero Template Builder'!D$22,0)</f>
        <v>0</v>
      </c>
      <c r="BB153" s="2">
        <f t="shared" si="126"/>
        <v>0</v>
      </c>
      <c r="BC153" s="35"/>
      <c r="BD153" s="2"/>
      <c r="BE153" s="2"/>
      <c r="BF153" s="2"/>
      <c r="BG153" s="2"/>
      <c r="BH153" s="2"/>
      <c r="BI153" s="2"/>
      <c r="BJ153" s="2"/>
      <c r="BK153" s="2"/>
      <c r="BL153" s="2"/>
      <c r="BM153" s="2"/>
      <c r="BN153" s="2"/>
      <c r="BO153" s="2"/>
      <c r="BP153" s="2"/>
      <c r="BQ153" s="2"/>
      <c r="BR153" s="2"/>
      <c r="BS153" s="2"/>
    </row>
    <row r="154">
      <c r="A154" s="2"/>
      <c r="B154" s="2"/>
      <c r="C154" s="2"/>
      <c r="D154" s="35"/>
      <c r="E154" s="35"/>
      <c r="F154" s="65"/>
      <c r="G154" s="65"/>
      <c r="H154" s="63"/>
      <c r="I154" s="63"/>
      <c r="J154" s="2"/>
      <c r="K154" s="35"/>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35"/>
      <c r="AV154" s="35"/>
      <c r="AW154" s="2"/>
      <c r="AX154" s="2"/>
      <c r="AY154" s="35"/>
      <c r="AZ154" s="2"/>
      <c r="BA154" s="35"/>
      <c r="BB154" s="2"/>
      <c r="BC154" s="35"/>
      <c r="BD154" s="2"/>
      <c r="BE154" s="2"/>
      <c r="BF154" s="2"/>
      <c r="BG154" s="2"/>
      <c r="BH154" s="2"/>
      <c r="BI154" s="2"/>
      <c r="BJ154" s="2"/>
      <c r="BK154" s="2"/>
      <c r="BL154" s="2"/>
      <c r="BM154" s="2"/>
      <c r="BN154" s="2"/>
      <c r="BO154" s="2"/>
      <c r="BP154" s="2"/>
      <c r="BQ154" s="2"/>
      <c r="BR154" s="2"/>
      <c r="BS154" s="2"/>
    </row>
    <row r="155">
      <c r="A155" s="2"/>
      <c r="B155" s="2"/>
      <c r="C155" s="2"/>
      <c r="D155" s="35"/>
      <c r="E155" s="35"/>
      <c r="F155" s="65"/>
      <c r="G155" s="65"/>
      <c r="H155" s="63"/>
      <c r="I155" s="63"/>
      <c r="J155" s="2"/>
      <c r="K155" s="35"/>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35"/>
      <c r="AV155" s="35"/>
      <c r="AW155" s="2"/>
      <c r="AX155" s="6" t="s">
        <v>291</v>
      </c>
      <c r="AY155" s="11" t="s">
        <v>282</v>
      </c>
      <c r="AZ155" s="6" t="s">
        <v>283</v>
      </c>
      <c r="BA155" s="11" t="s">
        <v>284</v>
      </c>
      <c r="BB155" s="6" t="s">
        <v>19</v>
      </c>
      <c r="BC155" s="11" t="s">
        <v>285</v>
      </c>
      <c r="BD155" s="6" t="s">
        <v>19</v>
      </c>
      <c r="BE155" s="6"/>
      <c r="BF155" s="2"/>
      <c r="BG155" s="2"/>
      <c r="BH155" s="2"/>
      <c r="BI155" s="2"/>
      <c r="BJ155" s="2"/>
      <c r="BK155" s="2"/>
      <c r="BL155" s="2"/>
      <c r="BM155" s="2"/>
      <c r="BN155" s="2"/>
      <c r="BO155" s="2"/>
      <c r="BP155" s="2"/>
      <c r="BQ155" s="2"/>
      <c r="BR155" s="2"/>
      <c r="BS155" s="2"/>
    </row>
    <row r="156">
      <c r="A156" s="2"/>
      <c r="B156" s="2"/>
      <c r="C156" s="2"/>
      <c r="D156" s="35"/>
      <c r="E156" s="35"/>
      <c r="F156" s="65"/>
      <c r="G156" s="65"/>
      <c r="H156" s="63"/>
      <c r="I156" s="63"/>
      <c r="J156" s="2"/>
      <c r="K156" s="35"/>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35"/>
      <c r="AV156" s="35"/>
      <c r="AW156" s="2"/>
      <c r="AX156" s="6" t="s">
        <v>40</v>
      </c>
      <c r="AY156" s="76">
        <f>IF(OR('Hero Template Builder'!B$25=AU$3,'Hero Template Builder'!B$25=AU$4),'Hero Template Builder'!D$25,0)</f>
        <v>210</v>
      </c>
      <c r="AZ156" s="35">
        <f>IF(OR('Hero Template Builder'!B$26=AU$3,'Hero Template Builder'!B$26=AU$4),'Hero Template Builder'!D$26,0)</f>
        <v>0</v>
      </c>
      <c r="BA156" s="35">
        <f>IF(OR('Hero Template Builder'!B$27=AU$3,'Hero Template Builder'!B$27=AU$4),'Hero Template Builder'!D$27,0)</f>
        <v>0</v>
      </c>
      <c r="BB156" s="76">
        <f t="shared" ref="BB156:BB164" si="127">SUM(AY156:BA156)</f>
        <v>210</v>
      </c>
      <c r="BC156" s="11" t="s">
        <v>42</v>
      </c>
      <c r="BD156" s="77">
        <f>IF('Hero Template Builder'!$B$24=BC156,'Gear Leveling &amp; Effects'!$T$4+'Gear Leveling &amp; Effects'!$T$5*('Hero Template Builder'!$C$23-1),0)</f>
        <v>0</v>
      </c>
      <c r="BF156" s="2"/>
      <c r="BG156" s="2"/>
      <c r="BH156" s="2"/>
      <c r="BI156" s="2"/>
      <c r="BJ156" s="2"/>
      <c r="BK156" s="2"/>
      <c r="BL156" s="2"/>
      <c r="BM156" s="2"/>
      <c r="BN156" s="2"/>
      <c r="BO156" s="2"/>
      <c r="BP156" s="2"/>
      <c r="BQ156" s="2"/>
      <c r="BR156" s="2"/>
      <c r="BS156" s="2"/>
    </row>
    <row r="157">
      <c r="A157" s="2"/>
      <c r="B157" s="2"/>
      <c r="C157" s="2"/>
      <c r="D157" s="35"/>
      <c r="E157" s="35"/>
      <c r="F157" s="65"/>
      <c r="G157" s="65"/>
      <c r="H157" s="63"/>
      <c r="I157" s="63"/>
      <c r="J157" s="2"/>
      <c r="K157" s="35"/>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35"/>
      <c r="AV157" s="35"/>
      <c r="AW157" s="2"/>
      <c r="AX157" s="6" t="s">
        <v>266</v>
      </c>
      <c r="AY157" s="2">
        <f>IF(OR('Hero Template Builder'!B$25=AU$5,'Hero Template Builder'!B$25=AU$6),'Hero Template Builder'!D$25,0)</f>
        <v>0</v>
      </c>
      <c r="AZ157" s="2">
        <f>IF(OR('Hero Template Builder'!B$26=AU$5,'Hero Template Builder'!B$26=AU$6),'Hero Template Builder'!D$26,0)</f>
        <v>0</v>
      </c>
      <c r="BA157" s="2">
        <f>IF(OR('Hero Template Builder'!B$27=AU$5,'Hero Template Builder'!B$27=AU$6),'Hero Template Builder'!D$27,0)</f>
        <v>0</v>
      </c>
      <c r="BB157" s="2">
        <f t="shared" si="127"/>
        <v>0</v>
      </c>
      <c r="BC157" s="11" t="s">
        <v>41</v>
      </c>
      <c r="BD157" s="77">
        <f>IF('Hero Template Builder'!$B$24=BC157,'Gear Leveling &amp; Effects'!$U$4+'Gear Leveling &amp; Effects'!$U$5*('Hero Template Builder'!$C$23-1),0)</f>
        <v>0</v>
      </c>
      <c r="BE157" s="2"/>
      <c r="BF157" s="2"/>
      <c r="BG157" s="2"/>
      <c r="BH157" s="2"/>
      <c r="BI157" s="2"/>
      <c r="BJ157" s="2"/>
      <c r="BK157" s="2"/>
      <c r="BL157" s="2"/>
      <c r="BM157" s="2"/>
      <c r="BN157" s="2"/>
      <c r="BO157" s="2"/>
      <c r="BP157" s="2"/>
      <c r="BQ157" s="2"/>
      <c r="BR157" s="2"/>
      <c r="BS157" s="2"/>
    </row>
    <row r="158">
      <c r="A158" s="2"/>
      <c r="B158" s="2"/>
      <c r="C158" s="2"/>
      <c r="D158" s="35"/>
      <c r="E158" s="35"/>
      <c r="F158" s="65"/>
      <c r="G158" s="65"/>
      <c r="H158" s="63"/>
      <c r="I158" s="63"/>
      <c r="J158" s="2"/>
      <c r="K158" s="35"/>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35"/>
      <c r="AV158" s="35"/>
      <c r="AW158" s="2"/>
      <c r="AX158" s="6" t="s">
        <v>275</v>
      </c>
      <c r="AY158" s="2">
        <f>IF(OR('Hero Template Builder'!B$25=AU$7,'Hero Template Builder'!B$25=AU$8),'Hero Template Builder'!D$25,0)</f>
        <v>0</v>
      </c>
      <c r="AZ158" s="35">
        <f>IF(OR('Hero Template Builder'!B$26=AU$7,'Hero Template Builder'!B$26=AU$8),'Hero Template Builder'!D$26,0)</f>
        <v>30</v>
      </c>
      <c r="BA158" s="35">
        <f>IF(OR('Hero Template Builder'!B$27=AU$7,'Hero Template Builder'!B$27=AU$8),'Hero Template Builder'!D$27,0)</f>
        <v>0</v>
      </c>
      <c r="BB158" s="2">
        <f t="shared" si="127"/>
        <v>30</v>
      </c>
      <c r="BC158" s="6" t="s">
        <v>40</v>
      </c>
      <c r="BD158" s="77">
        <f>IF('Hero Template Builder'!$B$24=BC158,'Gear Leveling &amp; Effects'!$V$4+'Gear Leveling &amp; Effects'!$V$5*('Hero Template Builder'!$C$23-1),0)</f>
        <v>0</v>
      </c>
      <c r="BE158" s="2"/>
      <c r="BF158" s="2"/>
      <c r="BG158" s="2"/>
      <c r="BH158" s="2"/>
      <c r="BI158" s="2"/>
      <c r="BJ158" s="2"/>
      <c r="BK158" s="2"/>
      <c r="BM158" s="2"/>
      <c r="BN158" s="2"/>
      <c r="BO158" s="2"/>
      <c r="BP158" s="2"/>
      <c r="BQ158" s="2"/>
      <c r="BR158" s="2"/>
      <c r="BS158" s="2"/>
    </row>
    <row r="159">
      <c r="A159" s="2"/>
      <c r="B159" s="2"/>
      <c r="C159" s="2"/>
      <c r="D159" s="35"/>
      <c r="E159" s="35"/>
      <c r="F159" s="65"/>
      <c r="G159" s="65"/>
      <c r="H159" s="63"/>
      <c r="I159" s="63"/>
      <c r="J159" s="2"/>
      <c r="K159" s="35"/>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35"/>
      <c r="AV159" s="35"/>
      <c r="AW159" s="2"/>
      <c r="AX159" s="6" t="s">
        <v>276</v>
      </c>
      <c r="AY159" s="2">
        <f>IF(OR('Hero Template Builder'!B$25=AU$9,'Hero Template Builder'!B$25=AU$10),'Hero Template Builder'!D$25,0)</f>
        <v>0</v>
      </c>
      <c r="AZ159" s="2">
        <f>IF(OR('Hero Template Builder'!B$26=AU$9,'Hero Template Builder'!B$26=AU$10),'Hero Template Builder'!D$26,0)</f>
        <v>0</v>
      </c>
      <c r="BA159" s="2">
        <f>IF(OR('Hero Template Builder'!B$27=AU$9,'Hero Template Builder'!B$27=AU$10),'Hero Template Builder'!D$27,0)</f>
        <v>0</v>
      </c>
      <c r="BB159" s="2">
        <f t="shared" si="127"/>
        <v>0</v>
      </c>
      <c r="BC159" s="11" t="s">
        <v>43</v>
      </c>
      <c r="BD159" s="77">
        <f>IF('Hero Template Builder'!$B$24=BC159,'Gear Leveling &amp; Effects'!$W$4+'Gear Leveling &amp; Effects'!$W$5*('Hero Template Builder'!$C$23-1),0)</f>
        <v>18</v>
      </c>
      <c r="BE159" s="2"/>
      <c r="BF159" s="2"/>
      <c r="BG159" s="2"/>
      <c r="BH159" s="2"/>
      <c r="BI159" s="2"/>
      <c r="BJ159" s="2"/>
      <c r="BK159" s="2"/>
      <c r="BM159" s="2"/>
      <c r="BN159" s="2"/>
      <c r="BO159" s="2"/>
      <c r="BP159" s="2"/>
      <c r="BQ159" s="2"/>
      <c r="BR159" s="2"/>
      <c r="BS159" s="2"/>
    </row>
    <row r="160">
      <c r="A160" s="2"/>
      <c r="B160" s="2"/>
      <c r="C160" s="2"/>
      <c r="D160" s="35"/>
      <c r="E160" s="35"/>
      <c r="F160" s="65"/>
      <c r="G160" s="65"/>
      <c r="H160" s="63"/>
      <c r="I160" s="63"/>
      <c r="J160" s="2"/>
      <c r="K160" s="35"/>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35"/>
      <c r="AV160" s="35"/>
      <c r="AW160" s="2"/>
      <c r="AX160" s="6" t="s">
        <v>39</v>
      </c>
      <c r="AY160" s="2">
        <f>IF(OR('Hero Template Builder'!B$25=AU$11,'Hero Template Builder'!B$25=AU$12),'Hero Template Builder'!D$25,0)</f>
        <v>0</v>
      </c>
      <c r="AZ160" s="2">
        <f>IF(OR('Hero Template Builder'!B$26=AU$11,'Hero Template Builder'!B$26=AU$12),'Hero Template Builder'!D$26,0)</f>
        <v>0</v>
      </c>
      <c r="BA160" s="2">
        <f>IF(OR('Hero Template Builder'!B$27=AU$11,'Hero Template Builder'!B$27=AU$12),'Hero Template Builder'!D$27,0)</f>
        <v>0</v>
      </c>
      <c r="BB160" s="2">
        <f t="shared" si="127"/>
        <v>0</v>
      </c>
      <c r="BC160" s="35"/>
      <c r="BD160" s="2"/>
      <c r="BE160" s="2"/>
      <c r="BF160" s="2"/>
      <c r="BG160" s="2"/>
      <c r="BH160" s="2"/>
      <c r="BI160" s="2"/>
      <c r="BJ160" s="2"/>
      <c r="BK160" s="2"/>
      <c r="BM160" s="2"/>
      <c r="BN160" s="2"/>
      <c r="BO160" s="2"/>
      <c r="BP160" s="2"/>
      <c r="BQ160" s="2"/>
      <c r="BR160" s="2"/>
      <c r="BS160" s="2"/>
    </row>
    <row r="161">
      <c r="A161" s="2"/>
      <c r="B161" s="2"/>
      <c r="C161" s="2"/>
      <c r="D161" s="35"/>
      <c r="E161" s="35"/>
      <c r="F161" s="65"/>
      <c r="G161" s="65"/>
      <c r="H161" s="63"/>
      <c r="I161" s="63"/>
      <c r="J161" s="2"/>
      <c r="K161" s="35"/>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35"/>
      <c r="AV161" s="35"/>
      <c r="AW161" s="2"/>
      <c r="AX161" s="6" t="s">
        <v>286</v>
      </c>
      <c r="AY161" s="2">
        <f>IF(OR('Hero Template Builder'!B$25=AU$13,'Hero Template Builder'!B$25=AU$14),'Hero Template Builder'!D$25,0)</f>
        <v>0</v>
      </c>
      <c r="AZ161" s="2">
        <f>IF(OR('Hero Template Builder'!B$26=AU$13,'Hero Template Builder'!B$26=AU$14),'Hero Template Builder'!D$26,0)</f>
        <v>0</v>
      </c>
      <c r="BA161" s="2">
        <f>IF(OR('Hero Template Builder'!B$27=AU$13,'Hero Template Builder'!B$27=AU$14),'Hero Template Builder'!D$27,0)</f>
        <v>0</v>
      </c>
      <c r="BB161" s="2">
        <f t="shared" si="127"/>
        <v>0</v>
      </c>
      <c r="BC161" s="35"/>
      <c r="BD161" s="2"/>
      <c r="BE161" s="2"/>
      <c r="BF161" s="2"/>
      <c r="BG161" s="2"/>
      <c r="BH161" s="2"/>
      <c r="BI161" s="2"/>
      <c r="BJ161" s="2"/>
      <c r="BK161" s="2"/>
      <c r="BM161" s="2"/>
      <c r="BN161" s="2"/>
      <c r="BO161" s="2"/>
      <c r="BP161" s="2"/>
      <c r="BQ161" s="2"/>
      <c r="BR161" s="2"/>
      <c r="BS161" s="2"/>
    </row>
    <row r="162">
      <c r="A162" s="2"/>
      <c r="B162" s="2"/>
      <c r="C162" s="2"/>
      <c r="D162" s="35"/>
      <c r="E162" s="35"/>
      <c r="F162" s="65"/>
      <c r="G162" s="65"/>
      <c r="H162" s="63"/>
      <c r="I162" s="63"/>
      <c r="J162" s="2"/>
      <c r="K162" s="35"/>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35"/>
      <c r="AV162" s="35"/>
      <c r="AW162" s="2"/>
      <c r="AX162" s="6" t="s">
        <v>41</v>
      </c>
      <c r="AY162" s="76">
        <f>IF(OR('Hero Template Builder'!B$25=AU$15,'Hero Template Builder'!B$25=AU$16),'Hero Template Builder'!D$25,0)</f>
        <v>0</v>
      </c>
      <c r="AZ162" s="35">
        <f>IF(OR('Hero Template Builder'!B$26=AU$15,'Hero Template Builder'!B$26=AU$16),'Hero Template Builder'!D$26,0)</f>
        <v>0</v>
      </c>
      <c r="BA162" s="35">
        <f>IF(OR('Hero Template Builder'!B$27=AU$15,'Hero Template Builder'!B$27=AU$16),'Hero Template Builder'!D$27,0)</f>
        <v>0</v>
      </c>
      <c r="BB162" s="76">
        <f t="shared" si="127"/>
        <v>0</v>
      </c>
      <c r="BC162" s="35"/>
      <c r="BD162" s="2"/>
      <c r="BE162" s="2"/>
      <c r="BF162" s="2"/>
      <c r="BG162" s="2"/>
      <c r="BH162" s="2"/>
      <c r="BI162" s="2"/>
      <c r="BJ162" s="2"/>
      <c r="BK162" s="2"/>
      <c r="BM162" s="2"/>
      <c r="BN162" s="2"/>
      <c r="BO162" s="2"/>
      <c r="BP162" s="2"/>
      <c r="BQ162" s="2"/>
      <c r="BR162" s="2"/>
      <c r="BS162" s="2"/>
    </row>
    <row r="163">
      <c r="A163" s="2"/>
      <c r="B163" s="2"/>
      <c r="C163" s="2"/>
      <c r="D163" s="35"/>
      <c r="E163" s="35"/>
      <c r="F163" s="65"/>
      <c r="G163" s="65"/>
      <c r="H163" s="63"/>
      <c r="I163" s="63"/>
      <c r="J163" s="2"/>
      <c r="K163" s="35"/>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35"/>
      <c r="AV163" s="35"/>
      <c r="AW163" s="2"/>
      <c r="AX163" s="6" t="s">
        <v>287</v>
      </c>
      <c r="AY163" s="2">
        <f>IF(OR('Hero Template Builder'!B$25=AU$17,'Hero Template Builder'!B$25=AU$18),'Hero Template Builder'!D$25,0)</f>
        <v>0</v>
      </c>
      <c r="AZ163" s="2">
        <f>IF(OR('Hero Template Builder'!B$26=AU$17,'Hero Template Builder'!B$26=AU$18),'Hero Template Builder'!D$26,0)</f>
        <v>0</v>
      </c>
      <c r="BA163" s="2">
        <f>IF(OR('Hero Template Builder'!B$27=AU$17,'Hero Template Builder'!B$27=AU$18),'Hero Template Builder'!D$27,0)</f>
        <v>13</v>
      </c>
      <c r="BB163" s="2">
        <f t="shared" si="127"/>
        <v>13</v>
      </c>
      <c r="BC163" s="35"/>
      <c r="BD163" s="2"/>
      <c r="BE163" s="2"/>
      <c r="BF163" s="2"/>
      <c r="BG163" s="2"/>
      <c r="BH163" s="2"/>
      <c r="BI163" s="2"/>
      <c r="BJ163" s="2"/>
      <c r="BK163" s="2"/>
      <c r="BM163" s="2"/>
      <c r="BN163" s="2"/>
      <c r="BO163" s="2"/>
      <c r="BP163" s="2"/>
      <c r="BQ163" s="2"/>
      <c r="BR163" s="2"/>
      <c r="BS163" s="2"/>
    </row>
    <row r="164">
      <c r="A164" s="2"/>
      <c r="B164" s="2"/>
      <c r="C164" s="2"/>
      <c r="D164" s="35"/>
      <c r="E164" s="35"/>
      <c r="F164" s="65"/>
      <c r="G164" s="65"/>
      <c r="H164" s="63"/>
      <c r="I164" s="63"/>
      <c r="J164" s="2"/>
      <c r="K164" s="35"/>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35"/>
      <c r="AV164" s="35"/>
      <c r="AW164" s="2"/>
      <c r="AX164" s="6" t="s">
        <v>279</v>
      </c>
      <c r="AY164" s="2">
        <f>IF(OR('Hero Template Builder'!B$25=AU$19,'Hero Template Builder'!B$25=AU$20),'Hero Template Builder'!D$25,0)</f>
        <v>0</v>
      </c>
      <c r="AZ164" s="2">
        <f>IF(OR('Hero Template Builder'!B$26=AU$19,'Hero Template Builder'!B$26=AU$20),'Hero Template Builder'!D$26,0)</f>
        <v>0</v>
      </c>
      <c r="BA164" s="2">
        <f>IF(OR('Hero Template Builder'!B$27=AU$19,'Hero Template Builder'!B$27=AU$20),'Hero Template Builder'!D$27,0)</f>
        <v>0</v>
      </c>
      <c r="BB164" s="2">
        <f t="shared" si="127"/>
        <v>0</v>
      </c>
      <c r="BC164" s="35"/>
      <c r="BD164" s="2"/>
      <c r="BE164" s="2"/>
      <c r="BF164" s="2"/>
      <c r="BG164" s="2"/>
      <c r="BH164" s="2"/>
      <c r="BI164" s="2"/>
      <c r="BJ164" s="2"/>
      <c r="BK164" s="2"/>
      <c r="BM164" s="2"/>
      <c r="BN164" s="2"/>
      <c r="BO164" s="2"/>
      <c r="BP164" s="2"/>
      <c r="BQ164" s="2"/>
      <c r="BR164" s="2"/>
      <c r="BS164" s="2"/>
    </row>
    <row r="165">
      <c r="A165" s="2"/>
      <c r="B165" s="2"/>
      <c r="C165" s="2"/>
      <c r="D165" s="35"/>
      <c r="E165" s="35"/>
      <c r="F165" s="65"/>
      <c r="G165" s="65"/>
      <c r="H165" s="63"/>
      <c r="I165" s="63"/>
      <c r="J165" s="2"/>
      <c r="K165" s="35"/>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35"/>
      <c r="AV165" s="35"/>
      <c r="AW165" s="2"/>
      <c r="AX165" s="2"/>
      <c r="AY165" s="35"/>
      <c r="AZ165" s="2"/>
      <c r="BA165" s="35"/>
      <c r="BB165" s="2"/>
      <c r="BC165" s="35"/>
      <c r="BD165" s="2"/>
      <c r="BE165" s="2"/>
      <c r="BF165" s="2"/>
      <c r="BG165" s="2"/>
      <c r="BH165" s="2"/>
      <c r="BI165" s="2"/>
      <c r="BJ165" s="2"/>
      <c r="BK165" s="2"/>
      <c r="BM165" s="2"/>
      <c r="BN165" s="2"/>
      <c r="BO165" s="2"/>
      <c r="BP165" s="2"/>
      <c r="BQ165" s="2"/>
      <c r="BR165" s="2"/>
      <c r="BS165" s="2"/>
    </row>
  </sheetData>
  <mergeCells count="4">
    <mergeCell ref="AB1:AD1"/>
    <mergeCell ref="AE1:AG1"/>
    <mergeCell ref="AH1:AJ1"/>
    <mergeCell ref="BD1:BH1"/>
  </mergeCell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2" width="21.57"/>
    <col customWidth="1" min="5" max="5" width="15.86"/>
    <col customWidth="1" min="6" max="6" width="14.57"/>
    <col customWidth="1" min="9" max="9" width="15.86"/>
    <col customWidth="1" min="10" max="10" width="14.57"/>
    <col customWidth="1" min="13" max="13" width="15.86"/>
    <col customWidth="1" min="14" max="14" width="14.57"/>
    <col customWidth="1" min="17" max="17" width="15.86"/>
    <col customWidth="1" min="18" max="18" width="14.71"/>
    <col customWidth="1" min="21" max="21" width="15.86"/>
    <col customWidth="1" min="22" max="22" width="14.57"/>
    <col customWidth="1" min="25" max="25" width="15.86"/>
    <col customWidth="1" min="26" max="26" width="14.57"/>
  </cols>
  <sheetData>
    <row r="1">
      <c r="A1" s="555" t="s">
        <v>784</v>
      </c>
      <c r="B1" s="325"/>
      <c r="C1" s="370" t="s">
        <v>15</v>
      </c>
      <c r="D1" s="324"/>
      <c r="E1" s="324"/>
      <c r="F1" s="324"/>
      <c r="G1" s="324"/>
      <c r="H1" s="324"/>
      <c r="I1" s="324"/>
      <c r="J1" s="325"/>
      <c r="K1" s="370" t="s">
        <v>16</v>
      </c>
      <c r="L1" s="324"/>
      <c r="M1" s="324"/>
      <c r="N1" s="324"/>
      <c r="O1" s="324"/>
      <c r="P1" s="324"/>
      <c r="Q1" s="324"/>
      <c r="R1" s="325"/>
      <c r="S1" s="370" t="s">
        <v>17</v>
      </c>
      <c r="T1" s="324"/>
      <c r="U1" s="324"/>
      <c r="V1" s="324"/>
      <c r="W1" s="324"/>
      <c r="X1" s="324"/>
      <c r="Y1" s="324"/>
      <c r="Z1" s="325"/>
      <c r="AA1" s="86"/>
    </row>
    <row r="2" ht="30.0" customHeight="1">
      <c r="A2" s="556" t="s">
        <v>8</v>
      </c>
      <c r="B2" s="557" t="s">
        <v>609</v>
      </c>
      <c r="C2" s="558" t="s">
        <v>785</v>
      </c>
      <c r="D2" s="559" t="s">
        <v>786</v>
      </c>
      <c r="E2" s="560" t="s">
        <v>787</v>
      </c>
      <c r="F2" s="561" t="s">
        <v>788</v>
      </c>
      <c r="G2" s="560" t="s">
        <v>785</v>
      </c>
      <c r="H2" s="562" t="s">
        <v>786</v>
      </c>
      <c r="I2" s="559" t="s">
        <v>787</v>
      </c>
      <c r="J2" s="563" t="s">
        <v>788</v>
      </c>
      <c r="K2" s="564" t="s">
        <v>785</v>
      </c>
      <c r="L2" s="565" t="s">
        <v>786</v>
      </c>
      <c r="M2" s="565" t="s">
        <v>787</v>
      </c>
      <c r="N2" s="566" t="s">
        <v>788</v>
      </c>
      <c r="O2" s="565" t="s">
        <v>785</v>
      </c>
      <c r="P2" s="565" t="s">
        <v>786</v>
      </c>
      <c r="Q2" s="565" t="s">
        <v>787</v>
      </c>
      <c r="R2" s="567" t="s">
        <v>788</v>
      </c>
      <c r="S2" s="564" t="s">
        <v>785</v>
      </c>
      <c r="T2" s="565" t="s">
        <v>786</v>
      </c>
      <c r="U2" s="565" t="s">
        <v>787</v>
      </c>
      <c r="V2" s="566" t="s">
        <v>788</v>
      </c>
      <c r="W2" s="565" t="s">
        <v>785</v>
      </c>
      <c r="X2" s="565" t="s">
        <v>786</v>
      </c>
      <c r="Y2" s="565" t="s">
        <v>787</v>
      </c>
      <c r="Z2" s="568" t="s">
        <v>788</v>
      </c>
      <c r="AA2" s="86"/>
    </row>
    <row r="3">
      <c r="A3" s="569">
        <v>1.0</v>
      </c>
      <c r="B3" s="570">
        <v>5000.0</v>
      </c>
      <c r="C3" s="571">
        <v>1.0</v>
      </c>
      <c r="D3" s="572">
        <v>250.0</v>
      </c>
      <c r="E3" s="572">
        <v>0.0</v>
      </c>
      <c r="F3" s="573">
        <f t="shared" ref="F3:F37" si="1">E3/$I$38</f>
        <v>0</v>
      </c>
      <c r="G3" s="574">
        <v>36.0</v>
      </c>
      <c r="H3" s="572">
        <v>18000.0</v>
      </c>
      <c r="I3" s="575">
        <f>$E37+$D37</f>
        <v>295250</v>
      </c>
      <c r="J3" s="576">
        <f t="shared" ref="J3:J37" si="2">I3/$I$38</f>
        <v>0.2485792465</v>
      </c>
      <c r="K3" s="571">
        <v>1.0</v>
      </c>
      <c r="L3" s="572">
        <v>350.0</v>
      </c>
      <c r="M3" s="572">
        <v>0.0</v>
      </c>
      <c r="N3" s="573">
        <f t="shared" ref="N3:N37" si="3">M3/$Q$38</f>
        <v>0</v>
      </c>
      <c r="O3" s="574">
        <v>36.0</v>
      </c>
      <c r="P3" s="572">
        <v>21600.0</v>
      </c>
      <c r="Q3" s="572">
        <f>$M37+$L37</f>
        <v>358250</v>
      </c>
      <c r="R3" s="576">
        <f t="shared" ref="R3:R37" si="4">Q3/$Q$38</f>
        <v>0.2506629537</v>
      </c>
      <c r="S3" s="571">
        <v>1.0</v>
      </c>
      <c r="T3" s="572">
        <v>500.0</v>
      </c>
      <c r="U3" s="572">
        <v>0.0</v>
      </c>
      <c r="V3" s="573">
        <f t="shared" ref="V3:V37" si="5">U3/$Y$38</f>
        <v>0</v>
      </c>
      <c r="W3" s="574">
        <v>36.0</v>
      </c>
      <c r="X3" s="572">
        <v>27000.0</v>
      </c>
      <c r="Y3" s="572">
        <f>$U37+$T37</f>
        <v>453330</v>
      </c>
      <c r="Z3" s="577">
        <f t="shared" ref="Z3:Z37" si="6">Y3/$Y$38</f>
        <v>0.2528670876</v>
      </c>
      <c r="AA3" s="2"/>
    </row>
    <row r="4">
      <c r="A4" s="578">
        <v>2.0</v>
      </c>
      <c r="B4" s="579">
        <v>10000.0</v>
      </c>
      <c r="C4" s="528">
        <v>2.0</v>
      </c>
      <c r="D4" s="580">
        <v>500.0</v>
      </c>
      <c r="E4" s="580">
        <f t="shared" ref="E4:E37" si="7">$E3+$D3</f>
        <v>250</v>
      </c>
      <c r="F4" s="581">
        <f t="shared" si="1"/>
        <v>0.0002104820038</v>
      </c>
      <c r="G4" s="582">
        <v>37.0</v>
      </c>
      <c r="H4" s="580">
        <v>18500.0</v>
      </c>
      <c r="I4" s="580">
        <f t="shared" ref="I4:I37" si="8">$I3+$H3</f>
        <v>313250</v>
      </c>
      <c r="J4" s="583">
        <f t="shared" si="2"/>
        <v>0.2637339507</v>
      </c>
      <c r="K4" s="528">
        <v>2.0</v>
      </c>
      <c r="L4" s="580">
        <v>700.0</v>
      </c>
      <c r="M4" s="580">
        <f t="shared" ref="M4:M37" si="9">$M3+$L3</f>
        <v>350</v>
      </c>
      <c r="N4" s="581">
        <f t="shared" si="3"/>
        <v>0.0002448905339</v>
      </c>
      <c r="O4" s="582">
        <v>37.0</v>
      </c>
      <c r="P4" s="580">
        <v>22200.0</v>
      </c>
      <c r="Q4" s="580">
        <f t="shared" ref="Q4:Q37" si="10">$Q3+$P3</f>
        <v>379850</v>
      </c>
      <c r="R4" s="583">
        <f t="shared" si="4"/>
        <v>0.265776198</v>
      </c>
      <c r="S4" s="528">
        <v>2.0</v>
      </c>
      <c r="T4" s="580">
        <v>1000.0</v>
      </c>
      <c r="U4" s="580">
        <f t="shared" ref="U4:U37" si="11">$U3+$T3</f>
        <v>500</v>
      </c>
      <c r="V4" s="581">
        <f t="shared" si="5"/>
        <v>0.0002788995738</v>
      </c>
      <c r="W4" s="582">
        <v>37.0</v>
      </c>
      <c r="X4" s="580">
        <v>27790.0</v>
      </c>
      <c r="Y4" s="580">
        <f t="shared" ref="Y4:Y37" si="12">$Y3+$X3</f>
        <v>480330</v>
      </c>
      <c r="Z4" s="584">
        <f t="shared" si="6"/>
        <v>0.2679276646</v>
      </c>
      <c r="AA4" s="2"/>
    </row>
    <row r="5">
      <c r="A5" s="578">
        <v>3.0</v>
      </c>
      <c r="B5" s="579">
        <v>20000.0</v>
      </c>
      <c r="C5" s="528">
        <v>3.0</v>
      </c>
      <c r="D5" s="580">
        <v>750.0</v>
      </c>
      <c r="E5" s="580">
        <f t="shared" si="7"/>
        <v>750</v>
      </c>
      <c r="F5" s="581">
        <f t="shared" si="1"/>
        <v>0.0006314460114</v>
      </c>
      <c r="G5" s="582">
        <v>38.0</v>
      </c>
      <c r="H5" s="580">
        <v>19000.0</v>
      </c>
      <c r="I5" s="580">
        <f t="shared" si="8"/>
        <v>331750</v>
      </c>
      <c r="J5" s="583">
        <f t="shared" si="2"/>
        <v>0.279309619</v>
      </c>
      <c r="K5" s="528">
        <v>3.0</v>
      </c>
      <c r="L5" s="580">
        <v>1050.0</v>
      </c>
      <c r="M5" s="580">
        <f t="shared" si="9"/>
        <v>1050</v>
      </c>
      <c r="N5" s="581">
        <f t="shared" si="3"/>
        <v>0.0007346716018</v>
      </c>
      <c r="O5" s="582">
        <v>38.0</v>
      </c>
      <c r="P5" s="580">
        <v>22800.0</v>
      </c>
      <c r="Q5" s="580">
        <f t="shared" si="10"/>
        <v>402050</v>
      </c>
      <c r="R5" s="583">
        <f t="shared" si="4"/>
        <v>0.2813092548</v>
      </c>
      <c r="S5" s="528">
        <v>3.0</v>
      </c>
      <c r="T5" s="580">
        <v>1500.0</v>
      </c>
      <c r="U5" s="580">
        <f t="shared" si="11"/>
        <v>1500</v>
      </c>
      <c r="V5" s="581">
        <f t="shared" si="5"/>
        <v>0.0008366987215</v>
      </c>
      <c r="W5" s="582">
        <v>38.0</v>
      </c>
      <c r="X5" s="580">
        <v>28500.0</v>
      </c>
      <c r="Y5" s="580">
        <f t="shared" si="12"/>
        <v>508120</v>
      </c>
      <c r="Z5" s="584">
        <f t="shared" si="6"/>
        <v>0.2834289029</v>
      </c>
      <c r="AA5" s="2"/>
    </row>
    <row r="6">
      <c r="A6" s="578">
        <v>4.0</v>
      </c>
      <c r="B6" s="579">
        <v>30000.0</v>
      </c>
      <c r="C6" s="528">
        <v>4.0</v>
      </c>
      <c r="D6" s="580">
        <v>1000.0</v>
      </c>
      <c r="E6" s="580">
        <f t="shared" si="7"/>
        <v>1500</v>
      </c>
      <c r="F6" s="581">
        <f t="shared" si="1"/>
        <v>0.001262892023</v>
      </c>
      <c r="G6" s="582">
        <v>39.0</v>
      </c>
      <c r="H6" s="580">
        <v>19500.0</v>
      </c>
      <c r="I6" s="580">
        <f t="shared" si="8"/>
        <v>350750</v>
      </c>
      <c r="J6" s="583">
        <f t="shared" si="2"/>
        <v>0.2953062513</v>
      </c>
      <c r="K6" s="528">
        <v>4.0</v>
      </c>
      <c r="L6" s="580">
        <v>1400.0</v>
      </c>
      <c r="M6" s="580">
        <f t="shared" si="9"/>
        <v>2100</v>
      </c>
      <c r="N6" s="581">
        <f t="shared" si="3"/>
        <v>0.001469343204</v>
      </c>
      <c r="O6" s="582">
        <v>39.0</v>
      </c>
      <c r="P6" s="580">
        <v>23400.0</v>
      </c>
      <c r="Q6" s="580">
        <f t="shared" si="10"/>
        <v>424850</v>
      </c>
      <c r="R6" s="583">
        <f t="shared" si="4"/>
        <v>0.2972621238</v>
      </c>
      <c r="S6" s="528">
        <v>4.0</v>
      </c>
      <c r="T6" s="580">
        <v>2000.0</v>
      </c>
      <c r="U6" s="580">
        <f t="shared" si="11"/>
        <v>3000</v>
      </c>
      <c r="V6" s="581">
        <f t="shared" si="5"/>
        <v>0.001673397443</v>
      </c>
      <c r="W6" s="582">
        <v>39.0</v>
      </c>
      <c r="X6" s="580">
        <v>29290.0</v>
      </c>
      <c r="Y6" s="580">
        <f t="shared" si="12"/>
        <v>536620</v>
      </c>
      <c r="Z6" s="584">
        <f t="shared" si="6"/>
        <v>0.2993261786</v>
      </c>
      <c r="AA6" s="2"/>
    </row>
    <row r="7">
      <c r="A7" s="585">
        <v>5.0</v>
      </c>
      <c r="B7" s="586">
        <v>40000.0</v>
      </c>
      <c r="C7" s="528">
        <v>5.0</v>
      </c>
      <c r="D7" s="580">
        <v>1250.0</v>
      </c>
      <c r="E7" s="580">
        <f t="shared" si="7"/>
        <v>2500</v>
      </c>
      <c r="F7" s="581">
        <f t="shared" si="1"/>
        <v>0.002104820038</v>
      </c>
      <c r="G7" s="582">
        <v>40.0</v>
      </c>
      <c r="H7" s="580">
        <v>20000.0</v>
      </c>
      <c r="I7" s="580">
        <f t="shared" si="8"/>
        <v>370250</v>
      </c>
      <c r="J7" s="583">
        <f t="shared" si="2"/>
        <v>0.3117238476</v>
      </c>
      <c r="K7" s="528">
        <v>5.0</v>
      </c>
      <c r="L7" s="580">
        <v>1750.0</v>
      </c>
      <c r="M7" s="580">
        <f t="shared" si="9"/>
        <v>3500</v>
      </c>
      <c r="N7" s="581">
        <f t="shared" si="3"/>
        <v>0.002448905339</v>
      </c>
      <c r="O7" s="582">
        <v>40.0</v>
      </c>
      <c r="P7" s="580">
        <v>24000.0</v>
      </c>
      <c r="Q7" s="580">
        <f t="shared" si="10"/>
        <v>448250</v>
      </c>
      <c r="R7" s="583">
        <f t="shared" si="4"/>
        <v>0.3136348052</v>
      </c>
      <c r="S7" s="528">
        <v>5.0</v>
      </c>
      <c r="T7" s="580">
        <v>2500.0</v>
      </c>
      <c r="U7" s="580">
        <f t="shared" si="11"/>
        <v>5000</v>
      </c>
      <c r="V7" s="581">
        <f t="shared" si="5"/>
        <v>0.002788995738</v>
      </c>
      <c r="W7" s="582">
        <v>40.0</v>
      </c>
      <c r="X7" s="580">
        <v>30000.0</v>
      </c>
      <c r="Y7" s="580">
        <f t="shared" si="12"/>
        <v>565910</v>
      </c>
      <c r="Z7" s="584">
        <f t="shared" si="6"/>
        <v>0.3156641157</v>
      </c>
      <c r="AA7" s="2"/>
    </row>
    <row r="8">
      <c r="A8" s="560">
        <v>6.0</v>
      </c>
      <c r="B8" s="557" t="s">
        <v>184</v>
      </c>
      <c r="C8" s="528">
        <v>6.0</v>
      </c>
      <c r="D8" s="580">
        <v>1500.0</v>
      </c>
      <c r="E8" s="580">
        <f t="shared" si="7"/>
        <v>3750</v>
      </c>
      <c r="F8" s="581">
        <f t="shared" si="1"/>
        <v>0.003157230057</v>
      </c>
      <c r="G8" s="582">
        <v>41.0</v>
      </c>
      <c r="H8" s="580">
        <v>20500.0</v>
      </c>
      <c r="I8" s="580">
        <f t="shared" si="8"/>
        <v>390250</v>
      </c>
      <c r="J8" s="583">
        <f t="shared" si="2"/>
        <v>0.3285624079</v>
      </c>
      <c r="K8" s="528">
        <v>6.0</v>
      </c>
      <c r="L8" s="580">
        <v>2100.0</v>
      </c>
      <c r="M8" s="580">
        <f t="shared" si="9"/>
        <v>5250</v>
      </c>
      <c r="N8" s="581">
        <f t="shared" si="3"/>
        <v>0.003673358009</v>
      </c>
      <c r="O8" s="582">
        <v>41.0</v>
      </c>
      <c r="P8" s="580">
        <v>24600.0</v>
      </c>
      <c r="Q8" s="580">
        <f t="shared" si="10"/>
        <v>472250</v>
      </c>
      <c r="R8" s="583">
        <f t="shared" si="4"/>
        <v>0.330427299</v>
      </c>
      <c r="S8" s="528">
        <v>6.0</v>
      </c>
      <c r="T8" s="580">
        <v>3000.0</v>
      </c>
      <c r="U8" s="580">
        <f t="shared" si="11"/>
        <v>7500</v>
      </c>
      <c r="V8" s="581">
        <f t="shared" si="5"/>
        <v>0.004183493608</v>
      </c>
      <c r="W8" s="582">
        <v>41.0</v>
      </c>
      <c r="X8" s="580">
        <v>30790.0</v>
      </c>
      <c r="Y8" s="580">
        <f t="shared" si="12"/>
        <v>595910</v>
      </c>
      <c r="Z8" s="584">
        <f t="shared" si="6"/>
        <v>0.3323980901</v>
      </c>
      <c r="AA8" s="2"/>
    </row>
    <row r="9">
      <c r="A9" s="587"/>
      <c r="B9" s="587"/>
      <c r="C9" s="528">
        <v>7.0</v>
      </c>
      <c r="D9" s="580">
        <v>1750.0</v>
      </c>
      <c r="E9" s="580">
        <f t="shared" si="7"/>
        <v>5250</v>
      </c>
      <c r="F9" s="581">
        <f t="shared" si="1"/>
        <v>0.00442012208</v>
      </c>
      <c r="G9" s="582">
        <v>42.0</v>
      </c>
      <c r="H9" s="580">
        <v>21000.0</v>
      </c>
      <c r="I9" s="580">
        <f t="shared" si="8"/>
        <v>410750</v>
      </c>
      <c r="J9" s="583">
        <f t="shared" si="2"/>
        <v>0.3458219322</v>
      </c>
      <c r="K9" s="528">
        <v>7.0</v>
      </c>
      <c r="L9" s="580">
        <v>2450.0</v>
      </c>
      <c r="M9" s="580">
        <f t="shared" si="9"/>
        <v>7350</v>
      </c>
      <c r="N9" s="581">
        <f t="shared" si="3"/>
        <v>0.005142701213</v>
      </c>
      <c r="O9" s="582">
        <v>42.0</v>
      </c>
      <c r="P9" s="580">
        <v>25200.0</v>
      </c>
      <c r="Q9" s="580">
        <f t="shared" si="10"/>
        <v>496850</v>
      </c>
      <c r="R9" s="583">
        <f t="shared" si="4"/>
        <v>0.3476396051</v>
      </c>
      <c r="S9" s="528">
        <v>7.0</v>
      </c>
      <c r="T9" s="580">
        <v>3500.0</v>
      </c>
      <c r="U9" s="580">
        <f t="shared" si="11"/>
        <v>10500</v>
      </c>
      <c r="V9" s="581">
        <f t="shared" si="5"/>
        <v>0.005856891051</v>
      </c>
      <c r="W9" s="582">
        <v>42.0</v>
      </c>
      <c r="X9" s="580">
        <v>31500.0</v>
      </c>
      <c r="Y9" s="580">
        <f t="shared" si="12"/>
        <v>626700</v>
      </c>
      <c r="Z9" s="584">
        <f t="shared" si="6"/>
        <v>0.3495727259</v>
      </c>
      <c r="AA9" s="2"/>
    </row>
    <row r="10">
      <c r="A10" s="365" t="s">
        <v>789</v>
      </c>
      <c r="B10" s="325"/>
      <c r="C10" s="528">
        <v>8.0</v>
      </c>
      <c r="D10" s="580">
        <v>2000.0</v>
      </c>
      <c r="E10" s="580">
        <f t="shared" si="7"/>
        <v>7000</v>
      </c>
      <c r="F10" s="581">
        <f t="shared" si="1"/>
        <v>0.005893496106</v>
      </c>
      <c r="G10" s="582">
        <v>43.0</v>
      </c>
      <c r="H10" s="580">
        <v>21500.0</v>
      </c>
      <c r="I10" s="580">
        <f t="shared" si="8"/>
        <v>431750</v>
      </c>
      <c r="J10" s="583">
        <f t="shared" si="2"/>
        <v>0.3635024205</v>
      </c>
      <c r="K10" s="528">
        <v>8.0</v>
      </c>
      <c r="L10" s="580">
        <v>2800.0</v>
      </c>
      <c r="M10" s="580">
        <f t="shared" si="9"/>
        <v>9800</v>
      </c>
      <c r="N10" s="581">
        <f t="shared" si="3"/>
        <v>0.00685693495</v>
      </c>
      <c r="O10" s="582">
        <v>43.0</v>
      </c>
      <c r="P10" s="580">
        <v>25800.0</v>
      </c>
      <c r="Q10" s="580">
        <f t="shared" si="10"/>
        <v>522050</v>
      </c>
      <c r="R10" s="583">
        <f t="shared" si="4"/>
        <v>0.3652717235</v>
      </c>
      <c r="S10" s="528">
        <v>8.0</v>
      </c>
      <c r="T10" s="580">
        <v>4000.0</v>
      </c>
      <c r="U10" s="580">
        <f t="shared" si="11"/>
        <v>14000</v>
      </c>
      <c r="V10" s="581">
        <f t="shared" si="5"/>
        <v>0.007809188068</v>
      </c>
      <c r="W10" s="582">
        <v>43.0</v>
      </c>
      <c r="X10" s="580">
        <v>32290.0</v>
      </c>
      <c r="Y10" s="580">
        <f t="shared" si="12"/>
        <v>658200</v>
      </c>
      <c r="Z10" s="584">
        <f t="shared" si="6"/>
        <v>0.367143399</v>
      </c>
      <c r="AA10" s="2"/>
    </row>
    <row r="11">
      <c r="A11" s="366" t="s">
        <v>609</v>
      </c>
      <c r="B11" s="588">
        <f>sum($I$38,$Q$38,$Y$38,$B$3:$B$6)</f>
        <v>4474720</v>
      </c>
      <c r="C11" s="528">
        <v>9.0</v>
      </c>
      <c r="D11" s="580">
        <v>2250.0</v>
      </c>
      <c r="E11" s="580">
        <f t="shared" si="7"/>
        <v>9000</v>
      </c>
      <c r="F11" s="581">
        <f t="shared" si="1"/>
        <v>0.007577352136</v>
      </c>
      <c r="G11" s="582">
        <v>44.0</v>
      </c>
      <c r="H11" s="580">
        <v>22000.0</v>
      </c>
      <c r="I11" s="580">
        <f t="shared" si="8"/>
        <v>453250</v>
      </c>
      <c r="J11" s="583">
        <f t="shared" si="2"/>
        <v>0.3816038729</v>
      </c>
      <c r="K11" s="528">
        <v>9.0</v>
      </c>
      <c r="L11" s="580">
        <v>3150.0</v>
      </c>
      <c r="M11" s="580">
        <f t="shared" si="9"/>
        <v>12600</v>
      </c>
      <c r="N11" s="581">
        <f t="shared" si="3"/>
        <v>0.008816059222</v>
      </c>
      <c r="O11" s="582">
        <v>44.0</v>
      </c>
      <c r="P11" s="580">
        <v>26400.0</v>
      </c>
      <c r="Q11" s="580">
        <f t="shared" si="10"/>
        <v>547850</v>
      </c>
      <c r="R11" s="583">
        <f t="shared" si="4"/>
        <v>0.3833236543</v>
      </c>
      <c r="S11" s="528">
        <v>9.0</v>
      </c>
      <c r="T11" s="580">
        <v>4500.0</v>
      </c>
      <c r="U11" s="580">
        <f t="shared" si="11"/>
        <v>18000</v>
      </c>
      <c r="V11" s="581">
        <f t="shared" si="5"/>
        <v>0.01004038466</v>
      </c>
      <c r="W11" s="582">
        <v>44.0</v>
      </c>
      <c r="X11" s="580">
        <v>33000.0</v>
      </c>
      <c r="Y11" s="580">
        <f t="shared" si="12"/>
        <v>690490</v>
      </c>
      <c r="Z11" s="584">
        <f t="shared" si="6"/>
        <v>0.3851547335</v>
      </c>
      <c r="AA11" s="2"/>
    </row>
    <row r="12">
      <c r="A12" s="368" t="s">
        <v>790</v>
      </c>
      <c r="B12" s="369">
        <v>92.0</v>
      </c>
      <c r="C12" s="528">
        <v>10.0</v>
      </c>
      <c r="D12" s="580">
        <v>2500.0</v>
      </c>
      <c r="E12" s="580">
        <f t="shared" si="7"/>
        <v>11250</v>
      </c>
      <c r="F12" s="581">
        <f t="shared" si="1"/>
        <v>0.00947169017</v>
      </c>
      <c r="G12" s="582">
        <v>45.0</v>
      </c>
      <c r="H12" s="580">
        <v>22500.0</v>
      </c>
      <c r="I12" s="580">
        <f t="shared" si="8"/>
        <v>475250</v>
      </c>
      <c r="J12" s="583">
        <f t="shared" si="2"/>
        <v>0.4001262892</v>
      </c>
      <c r="K12" s="528">
        <v>10.0</v>
      </c>
      <c r="L12" s="580">
        <v>3500.0</v>
      </c>
      <c r="M12" s="580">
        <f t="shared" si="9"/>
        <v>15750</v>
      </c>
      <c r="N12" s="581">
        <f t="shared" si="3"/>
        <v>0.01102007403</v>
      </c>
      <c r="O12" s="582">
        <v>45.0</v>
      </c>
      <c r="P12" s="580">
        <v>27000.0</v>
      </c>
      <c r="Q12" s="580">
        <f t="shared" si="10"/>
        <v>574250</v>
      </c>
      <c r="R12" s="583">
        <f t="shared" si="4"/>
        <v>0.4017953975</v>
      </c>
      <c r="S12" s="528">
        <v>10.0</v>
      </c>
      <c r="T12" s="580">
        <v>5000.0</v>
      </c>
      <c r="U12" s="580">
        <f t="shared" si="11"/>
        <v>22500</v>
      </c>
      <c r="V12" s="581">
        <f t="shared" si="5"/>
        <v>0.01255048082</v>
      </c>
      <c r="W12" s="582">
        <v>45.0</v>
      </c>
      <c r="X12" s="580">
        <v>33790.0</v>
      </c>
      <c r="Y12" s="580">
        <f t="shared" si="12"/>
        <v>723490</v>
      </c>
      <c r="Z12" s="584">
        <f t="shared" si="6"/>
        <v>0.4035621054</v>
      </c>
      <c r="AA12" s="2"/>
    </row>
    <row r="13">
      <c r="A13" s="589" t="s">
        <v>791</v>
      </c>
      <c r="B13" s="325"/>
      <c r="C13" s="528">
        <v>11.0</v>
      </c>
      <c r="D13" s="580">
        <v>3300.0</v>
      </c>
      <c r="E13" s="580">
        <f t="shared" si="7"/>
        <v>13750</v>
      </c>
      <c r="F13" s="581">
        <f t="shared" si="1"/>
        <v>0.01157651021</v>
      </c>
      <c r="G13" s="582">
        <v>46.0</v>
      </c>
      <c r="H13" s="580">
        <v>23000.0</v>
      </c>
      <c r="I13" s="580">
        <f t="shared" si="8"/>
        <v>497750</v>
      </c>
      <c r="J13" s="583">
        <f t="shared" si="2"/>
        <v>0.4190696695</v>
      </c>
      <c r="K13" s="528">
        <v>11.0</v>
      </c>
      <c r="L13" s="580">
        <v>4400.0</v>
      </c>
      <c r="M13" s="580">
        <f t="shared" si="9"/>
        <v>19250</v>
      </c>
      <c r="N13" s="581">
        <f t="shared" si="3"/>
        <v>0.01346897937</v>
      </c>
      <c r="O13" s="582">
        <v>46.0</v>
      </c>
      <c r="P13" s="580">
        <v>27600.0</v>
      </c>
      <c r="Q13" s="580">
        <f t="shared" si="10"/>
        <v>601250</v>
      </c>
      <c r="R13" s="583">
        <f t="shared" si="4"/>
        <v>0.4206869529</v>
      </c>
      <c r="S13" s="528">
        <v>11.0</v>
      </c>
      <c r="T13" s="580">
        <v>6100.0</v>
      </c>
      <c r="U13" s="580">
        <f t="shared" si="11"/>
        <v>27500</v>
      </c>
      <c r="V13" s="581">
        <f t="shared" si="5"/>
        <v>0.01533947656</v>
      </c>
      <c r="W13" s="582">
        <v>46.0</v>
      </c>
      <c r="X13" s="580">
        <v>34500.0</v>
      </c>
      <c r="Y13" s="580">
        <f t="shared" si="12"/>
        <v>757280</v>
      </c>
      <c r="Z13" s="584">
        <f t="shared" si="6"/>
        <v>0.4224101386</v>
      </c>
      <c r="AA13" s="2"/>
    </row>
    <row r="14">
      <c r="A14" s="590" t="s">
        <v>609</v>
      </c>
      <c r="B14" s="371">
        <f>B11*B12</f>
        <v>411674240</v>
      </c>
      <c r="C14" s="528">
        <v>12.0</v>
      </c>
      <c r="D14" s="580">
        <v>4200.0</v>
      </c>
      <c r="E14" s="580">
        <f t="shared" si="7"/>
        <v>17050</v>
      </c>
      <c r="F14" s="581">
        <f t="shared" si="1"/>
        <v>0.01435487266</v>
      </c>
      <c r="G14" s="582">
        <v>47.0</v>
      </c>
      <c r="H14" s="580">
        <v>23500.0</v>
      </c>
      <c r="I14" s="580">
        <f t="shared" si="8"/>
        <v>520750</v>
      </c>
      <c r="J14" s="583">
        <f t="shared" si="2"/>
        <v>0.4384340139</v>
      </c>
      <c r="K14" s="528">
        <v>12.0</v>
      </c>
      <c r="L14" s="580">
        <v>5400.0</v>
      </c>
      <c r="M14" s="580">
        <f t="shared" si="9"/>
        <v>23650</v>
      </c>
      <c r="N14" s="581">
        <f t="shared" si="3"/>
        <v>0.01654760322</v>
      </c>
      <c r="O14" s="582">
        <v>47.0</v>
      </c>
      <c r="P14" s="580">
        <v>28200.0</v>
      </c>
      <c r="Q14" s="580">
        <f t="shared" si="10"/>
        <v>628850</v>
      </c>
      <c r="R14" s="583">
        <f t="shared" si="4"/>
        <v>0.4399983208</v>
      </c>
      <c r="S14" s="528">
        <v>12.0</v>
      </c>
      <c r="T14" s="580">
        <v>7200.0</v>
      </c>
      <c r="U14" s="580">
        <f t="shared" si="11"/>
        <v>33600</v>
      </c>
      <c r="V14" s="581">
        <f t="shared" si="5"/>
        <v>0.01874205136</v>
      </c>
      <c r="W14" s="582">
        <v>47.0</v>
      </c>
      <c r="X14" s="580">
        <v>35290.0</v>
      </c>
      <c r="Y14" s="580">
        <f t="shared" si="12"/>
        <v>791780</v>
      </c>
      <c r="Z14" s="584">
        <f t="shared" si="6"/>
        <v>0.4416542092</v>
      </c>
      <c r="AA14" s="2"/>
    </row>
    <row r="15">
      <c r="A15" s="587"/>
      <c r="B15" s="587"/>
      <c r="C15" s="528">
        <v>13.0</v>
      </c>
      <c r="D15" s="580">
        <v>5200.0</v>
      </c>
      <c r="E15" s="580">
        <f t="shared" si="7"/>
        <v>21250</v>
      </c>
      <c r="F15" s="581">
        <f t="shared" si="1"/>
        <v>0.01789097032</v>
      </c>
      <c r="G15" s="582">
        <v>48.0</v>
      </c>
      <c r="H15" s="580">
        <v>24000.0</v>
      </c>
      <c r="I15" s="580">
        <f t="shared" si="8"/>
        <v>544250</v>
      </c>
      <c r="J15" s="583">
        <f t="shared" si="2"/>
        <v>0.4582193222</v>
      </c>
      <c r="K15" s="528">
        <v>13.0</v>
      </c>
      <c r="L15" s="580">
        <v>6500.0</v>
      </c>
      <c r="M15" s="580">
        <f t="shared" si="9"/>
        <v>29050</v>
      </c>
      <c r="N15" s="581">
        <f t="shared" si="3"/>
        <v>0.02032591432</v>
      </c>
      <c r="O15" s="582">
        <v>48.0</v>
      </c>
      <c r="P15" s="580">
        <v>28800.0</v>
      </c>
      <c r="Q15" s="580">
        <f t="shared" si="10"/>
        <v>657050</v>
      </c>
      <c r="R15" s="583">
        <f t="shared" si="4"/>
        <v>0.4597295009</v>
      </c>
      <c r="S15" s="528">
        <v>13.0</v>
      </c>
      <c r="T15" s="580">
        <v>8500.0</v>
      </c>
      <c r="U15" s="580">
        <f t="shared" si="11"/>
        <v>40800</v>
      </c>
      <c r="V15" s="581">
        <f t="shared" si="5"/>
        <v>0.02275820523</v>
      </c>
      <c r="W15" s="582">
        <v>48.0</v>
      </c>
      <c r="X15" s="580">
        <v>36000.0</v>
      </c>
      <c r="Y15" s="580">
        <f t="shared" si="12"/>
        <v>827070</v>
      </c>
      <c r="Z15" s="584">
        <f t="shared" si="6"/>
        <v>0.4613389411</v>
      </c>
      <c r="AA15" s="2"/>
    </row>
    <row r="16">
      <c r="A16" s="591" t="s">
        <v>792</v>
      </c>
      <c r="B16" s="187"/>
      <c r="C16" s="528">
        <v>14.0</v>
      </c>
      <c r="D16" s="580">
        <v>6300.0</v>
      </c>
      <c r="E16" s="580">
        <f t="shared" si="7"/>
        <v>26450</v>
      </c>
      <c r="F16" s="581">
        <f t="shared" si="1"/>
        <v>0.022268996</v>
      </c>
      <c r="G16" s="582">
        <v>49.0</v>
      </c>
      <c r="H16" s="580">
        <v>24500.0</v>
      </c>
      <c r="I16" s="580">
        <f t="shared" si="8"/>
        <v>568250</v>
      </c>
      <c r="J16" s="583">
        <f t="shared" si="2"/>
        <v>0.4784255946</v>
      </c>
      <c r="K16" s="528">
        <v>14.0</v>
      </c>
      <c r="L16" s="580">
        <v>7700.0</v>
      </c>
      <c r="M16" s="580">
        <f t="shared" si="9"/>
        <v>35550</v>
      </c>
      <c r="N16" s="581">
        <f t="shared" si="3"/>
        <v>0.02487388138</v>
      </c>
      <c r="O16" s="582">
        <v>49.0</v>
      </c>
      <c r="P16" s="580">
        <v>29400.0</v>
      </c>
      <c r="Q16" s="580">
        <f t="shared" si="10"/>
        <v>685850</v>
      </c>
      <c r="R16" s="583">
        <f t="shared" si="4"/>
        <v>0.4798804934</v>
      </c>
      <c r="S16" s="528">
        <v>14.0</v>
      </c>
      <c r="T16" s="580">
        <v>9800.0</v>
      </c>
      <c r="U16" s="580">
        <f t="shared" si="11"/>
        <v>49300</v>
      </c>
      <c r="V16" s="581">
        <f t="shared" si="5"/>
        <v>0.02749949798</v>
      </c>
      <c r="W16" s="582">
        <v>49.0</v>
      </c>
      <c r="X16" s="580">
        <v>36790.0</v>
      </c>
      <c r="Y16" s="580">
        <f t="shared" si="12"/>
        <v>863070</v>
      </c>
      <c r="Z16" s="584">
        <f t="shared" si="6"/>
        <v>0.4814197104</v>
      </c>
      <c r="AA16" s="2"/>
    </row>
    <row r="17">
      <c r="A17" s="592" t="s">
        <v>15</v>
      </c>
      <c r="B17" s="183"/>
      <c r="C17" s="528">
        <v>15.0</v>
      </c>
      <c r="D17" s="580">
        <v>7500.0</v>
      </c>
      <c r="E17" s="580">
        <f t="shared" si="7"/>
        <v>32750</v>
      </c>
      <c r="F17" s="581">
        <f t="shared" si="1"/>
        <v>0.0275731425</v>
      </c>
      <c r="G17" s="582">
        <v>50.0</v>
      </c>
      <c r="H17" s="580">
        <v>25000.0</v>
      </c>
      <c r="I17" s="580">
        <f t="shared" si="8"/>
        <v>592750</v>
      </c>
      <c r="J17" s="583">
        <f t="shared" si="2"/>
        <v>0.499052831</v>
      </c>
      <c r="K17" s="528">
        <v>15.0</v>
      </c>
      <c r="L17" s="580">
        <v>9000.0</v>
      </c>
      <c r="M17" s="580">
        <f t="shared" si="9"/>
        <v>43250</v>
      </c>
      <c r="N17" s="581">
        <f t="shared" si="3"/>
        <v>0.03026147312</v>
      </c>
      <c r="O17" s="582">
        <v>50.0</v>
      </c>
      <c r="P17" s="580">
        <v>30000.0</v>
      </c>
      <c r="Q17" s="580">
        <f t="shared" si="10"/>
        <v>715250</v>
      </c>
      <c r="R17" s="583">
        <f t="shared" si="4"/>
        <v>0.5004512983</v>
      </c>
      <c r="S17" s="528">
        <v>15.0</v>
      </c>
      <c r="T17" s="580">
        <v>11300.0</v>
      </c>
      <c r="U17" s="580">
        <f t="shared" si="11"/>
        <v>59100</v>
      </c>
      <c r="V17" s="581">
        <f t="shared" si="5"/>
        <v>0.03296592963</v>
      </c>
      <c r="W17" s="582">
        <v>50.0</v>
      </c>
      <c r="X17" s="580">
        <v>37500.0</v>
      </c>
      <c r="Y17" s="580">
        <f t="shared" si="12"/>
        <v>899860</v>
      </c>
      <c r="Z17" s="584">
        <f t="shared" si="6"/>
        <v>0.501941141</v>
      </c>
      <c r="AA17" s="2"/>
    </row>
    <row r="18">
      <c r="A18" s="593" t="s">
        <v>785</v>
      </c>
      <c r="B18" s="594" t="s">
        <v>544</v>
      </c>
      <c r="C18" s="528">
        <v>16.0</v>
      </c>
      <c r="D18" s="580">
        <v>8000.0</v>
      </c>
      <c r="E18" s="580">
        <f t="shared" si="7"/>
        <v>40250</v>
      </c>
      <c r="F18" s="581">
        <f t="shared" si="1"/>
        <v>0.03388760261</v>
      </c>
      <c r="G18" s="582">
        <v>51.0</v>
      </c>
      <c r="H18" s="580">
        <v>25500.0</v>
      </c>
      <c r="I18" s="580">
        <f t="shared" si="8"/>
        <v>617750</v>
      </c>
      <c r="J18" s="583">
        <f t="shared" si="2"/>
        <v>0.5201010314</v>
      </c>
      <c r="K18" s="528">
        <v>16.0</v>
      </c>
      <c r="L18" s="580">
        <v>9600.0</v>
      </c>
      <c r="M18" s="580">
        <f t="shared" si="9"/>
        <v>52250</v>
      </c>
      <c r="N18" s="581">
        <f t="shared" si="3"/>
        <v>0.03655865828</v>
      </c>
      <c r="O18" s="582">
        <v>51.0</v>
      </c>
      <c r="P18" s="580">
        <v>30600.0</v>
      </c>
      <c r="Q18" s="580">
        <f t="shared" si="10"/>
        <v>745250</v>
      </c>
      <c r="R18" s="583">
        <f t="shared" si="4"/>
        <v>0.5214419155</v>
      </c>
      <c r="S18" s="528">
        <v>16.0</v>
      </c>
      <c r="T18" s="580">
        <v>12000.0</v>
      </c>
      <c r="U18" s="580">
        <f t="shared" si="11"/>
        <v>70400</v>
      </c>
      <c r="V18" s="581">
        <f t="shared" si="5"/>
        <v>0.03926906</v>
      </c>
      <c r="W18" s="582">
        <v>51.0</v>
      </c>
      <c r="X18" s="580">
        <v>38290.0</v>
      </c>
      <c r="Y18" s="580">
        <f t="shared" si="12"/>
        <v>937360</v>
      </c>
      <c r="Z18" s="584">
        <f t="shared" si="6"/>
        <v>0.5228586091</v>
      </c>
      <c r="AA18" s="2"/>
    </row>
    <row r="19">
      <c r="A19" s="595">
        <v>20.0</v>
      </c>
      <c r="B19" s="596">
        <v>40.0</v>
      </c>
      <c r="C19" s="528">
        <v>17.0</v>
      </c>
      <c r="D19" s="580">
        <v>8500.0</v>
      </c>
      <c r="E19" s="580">
        <f t="shared" si="7"/>
        <v>48250</v>
      </c>
      <c r="F19" s="581">
        <f t="shared" si="1"/>
        <v>0.04062302673</v>
      </c>
      <c r="G19" s="582">
        <v>52.0</v>
      </c>
      <c r="H19" s="580">
        <v>26000.0</v>
      </c>
      <c r="I19" s="580">
        <f t="shared" si="8"/>
        <v>643250</v>
      </c>
      <c r="J19" s="583">
        <f t="shared" si="2"/>
        <v>0.5415701957</v>
      </c>
      <c r="K19" s="528">
        <v>17.0</v>
      </c>
      <c r="L19" s="580">
        <v>10200.0</v>
      </c>
      <c r="M19" s="580">
        <f t="shared" si="9"/>
        <v>61850</v>
      </c>
      <c r="N19" s="581">
        <f t="shared" si="3"/>
        <v>0.04327565578</v>
      </c>
      <c r="O19" s="582">
        <v>52.0</v>
      </c>
      <c r="P19" s="580">
        <v>31200.0</v>
      </c>
      <c r="Q19" s="580">
        <f t="shared" si="10"/>
        <v>775850</v>
      </c>
      <c r="R19" s="583">
        <f t="shared" si="4"/>
        <v>0.542852345</v>
      </c>
      <c r="S19" s="528">
        <v>17.0</v>
      </c>
      <c r="T19" s="580">
        <v>12800.0</v>
      </c>
      <c r="U19" s="580">
        <f t="shared" si="11"/>
        <v>82400</v>
      </c>
      <c r="V19" s="581">
        <f t="shared" si="5"/>
        <v>0.04596264977</v>
      </c>
      <c r="W19" s="582">
        <v>52.0</v>
      </c>
      <c r="X19" s="580">
        <v>39000.0</v>
      </c>
      <c r="Y19" s="580">
        <f t="shared" si="12"/>
        <v>975650</v>
      </c>
      <c r="Z19" s="584">
        <f t="shared" si="6"/>
        <v>0.5442167384</v>
      </c>
      <c r="AA19" s="2"/>
    </row>
    <row r="20">
      <c r="A20" s="597" t="s">
        <v>793</v>
      </c>
      <c r="B20" s="598" t="s">
        <v>794</v>
      </c>
      <c r="C20" s="528">
        <v>18.0</v>
      </c>
      <c r="D20" s="580">
        <v>9000.0</v>
      </c>
      <c r="E20" s="580">
        <f t="shared" si="7"/>
        <v>56750</v>
      </c>
      <c r="F20" s="581">
        <f t="shared" si="1"/>
        <v>0.04777941486</v>
      </c>
      <c r="G20" s="582">
        <v>53.0</v>
      </c>
      <c r="H20" s="580">
        <v>26500.0</v>
      </c>
      <c r="I20" s="580">
        <f t="shared" si="8"/>
        <v>669250</v>
      </c>
      <c r="J20" s="583">
        <f t="shared" si="2"/>
        <v>0.5634603241</v>
      </c>
      <c r="K20" s="528">
        <v>18.0</v>
      </c>
      <c r="L20" s="580">
        <v>10800.0</v>
      </c>
      <c r="M20" s="580">
        <f t="shared" si="9"/>
        <v>72050</v>
      </c>
      <c r="N20" s="581">
        <f t="shared" si="3"/>
        <v>0.05041246563</v>
      </c>
      <c r="O20" s="582">
        <v>53.0</v>
      </c>
      <c r="P20" s="580">
        <v>31800.0</v>
      </c>
      <c r="Q20" s="580">
        <f t="shared" si="10"/>
        <v>807050</v>
      </c>
      <c r="R20" s="583">
        <f t="shared" si="4"/>
        <v>0.5646825869</v>
      </c>
      <c r="S20" s="528">
        <v>18.0</v>
      </c>
      <c r="T20" s="580">
        <v>13500.0</v>
      </c>
      <c r="U20" s="580">
        <f t="shared" si="11"/>
        <v>95200</v>
      </c>
      <c r="V20" s="581">
        <f t="shared" si="5"/>
        <v>0.05310247886</v>
      </c>
      <c r="W20" s="582">
        <v>53.0</v>
      </c>
      <c r="X20" s="580">
        <v>39790.0</v>
      </c>
      <c r="Y20" s="580">
        <f t="shared" si="12"/>
        <v>1014650</v>
      </c>
      <c r="Z20" s="584">
        <f t="shared" si="6"/>
        <v>0.5659709052</v>
      </c>
      <c r="AA20" s="2"/>
    </row>
    <row r="21">
      <c r="A21" s="599">
        <f>IF(B19&lt;A19,0,minus(Range!AC72,Range!AD72))</f>
        <v>295000</v>
      </c>
      <c r="B21" s="600">
        <f>vlookup(A19,Range!$AA$2:$AJ$70,4)</f>
        <v>1112500</v>
      </c>
      <c r="C21" s="528">
        <v>19.0</v>
      </c>
      <c r="D21" s="580">
        <v>9500.0</v>
      </c>
      <c r="E21" s="580">
        <f t="shared" si="7"/>
        <v>65750</v>
      </c>
      <c r="F21" s="581">
        <f t="shared" si="1"/>
        <v>0.055356767</v>
      </c>
      <c r="G21" s="582">
        <v>54.0</v>
      </c>
      <c r="H21" s="580">
        <v>27000.0</v>
      </c>
      <c r="I21" s="580">
        <f t="shared" si="8"/>
        <v>695750</v>
      </c>
      <c r="J21" s="583">
        <f t="shared" si="2"/>
        <v>0.5857714165</v>
      </c>
      <c r="K21" s="528">
        <v>19.0</v>
      </c>
      <c r="L21" s="580">
        <v>11400.0</v>
      </c>
      <c r="M21" s="580">
        <f t="shared" si="9"/>
        <v>82850</v>
      </c>
      <c r="N21" s="581">
        <f t="shared" si="3"/>
        <v>0.05796908782</v>
      </c>
      <c r="O21" s="582">
        <v>54.0</v>
      </c>
      <c r="P21" s="580">
        <v>32400.0</v>
      </c>
      <c r="Q21" s="580">
        <f t="shared" si="10"/>
        <v>838850</v>
      </c>
      <c r="R21" s="583">
        <f t="shared" si="4"/>
        <v>0.5869326411</v>
      </c>
      <c r="S21" s="528">
        <v>19.0</v>
      </c>
      <c r="T21" s="580">
        <v>14300.0</v>
      </c>
      <c r="U21" s="580">
        <f t="shared" si="11"/>
        <v>108700</v>
      </c>
      <c r="V21" s="581">
        <f t="shared" si="5"/>
        <v>0.06063276735</v>
      </c>
      <c r="W21" s="582">
        <v>54.0</v>
      </c>
      <c r="X21" s="580">
        <v>40500.0</v>
      </c>
      <c r="Y21" s="580">
        <f t="shared" si="12"/>
        <v>1054440</v>
      </c>
      <c r="Z21" s="584">
        <f t="shared" si="6"/>
        <v>0.5881657333</v>
      </c>
      <c r="AA21" s="2"/>
    </row>
    <row r="22">
      <c r="A22" s="601" t="s">
        <v>16</v>
      </c>
      <c r="B22" s="200"/>
      <c r="C22" s="528">
        <v>20.0</v>
      </c>
      <c r="D22" s="580">
        <v>10000.0</v>
      </c>
      <c r="E22" s="580">
        <f t="shared" si="7"/>
        <v>75250</v>
      </c>
      <c r="F22" s="581">
        <f t="shared" si="1"/>
        <v>0.06335508314</v>
      </c>
      <c r="G22" s="582">
        <v>55.0</v>
      </c>
      <c r="H22" s="580">
        <v>27500.0</v>
      </c>
      <c r="I22" s="580">
        <f t="shared" si="8"/>
        <v>722750</v>
      </c>
      <c r="J22" s="583">
        <f t="shared" si="2"/>
        <v>0.608503473</v>
      </c>
      <c r="K22" s="528">
        <v>20.0</v>
      </c>
      <c r="L22" s="580">
        <v>12000.0</v>
      </c>
      <c r="M22" s="580">
        <f t="shared" si="9"/>
        <v>94250</v>
      </c>
      <c r="N22" s="581">
        <f t="shared" si="3"/>
        <v>0.06594552235</v>
      </c>
      <c r="O22" s="582">
        <v>55.0</v>
      </c>
      <c r="P22" s="580">
        <v>33000.0</v>
      </c>
      <c r="Q22" s="580">
        <f t="shared" si="10"/>
        <v>871250</v>
      </c>
      <c r="R22" s="583">
        <f t="shared" si="4"/>
        <v>0.6096025077</v>
      </c>
      <c r="S22" s="528">
        <v>20.0</v>
      </c>
      <c r="T22" s="580">
        <v>15000.0</v>
      </c>
      <c r="U22" s="580">
        <f t="shared" si="11"/>
        <v>123000</v>
      </c>
      <c r="V22" s="581">
        <f t="shared" si="5"/>
        <v>0.06860929516</v>
      </c>
      <c r="W22" s="582">
        <v>55.0</v>
      </c>
      <c r="X22" s="580">
        <v>41290.0</v>
      </c>
      <c r="Y22" s="580">
        <f t="shared" si="12"/>
        <v>1094940</v>
      </c>
      <c r="Z22" s="584">
        <f t="shared" si="6"/>
        <v>0.6107565988</v>
      </c>
      <c r="AA22" s="2"/>
    </row>
    <row r="23">
      <c r="A23" s="593" t="s">
        <v>785</v>
      </c>
      <c r="B23" s="594" t="s">
        <v>544</v>
      </c>
      <c r="C23" s="528">
        <v>21.0</v>
      </c>
      <c r="D23" s="580">
        <v>10500.0</v>
      </c>
      <c r="E23" s="580">
        <f t="shared" si="7"/>
        <v>85250</v>
      </c>
      <c r="F23" s="581">
        <f t="shared" si="1"/>
        <v>0.07177436329</v>
      </c>
      <c r="G23" s="582">
        <v>56.0</v>
      </c>
      <c r="H23" s="580">
        <v>28000.0</v>
      </c>
      <c r="I23" s="580">
        <f t="shared" si="8"/>
        <v>750250</v>
      </c>
      <c r="J23" s="583">
        <f t="shared" si="2"/>
        <v>0.6316564934</v>
      </c>
      <c r="K23" s="528">
        <v>21.0</v>
      </c>
      <c r="L23" s="580">
        <v>12600.0</v>
      </c>
      <c r="M23" s="580">
        <f t="shared" si="9"/>
        <v>106250</v>
      </c>
      <c r="N23" s="581">
        <f t="shared" si="3"/>
        <v>0.07434176923</v>
      </c>
      <c r="O23" s="582">
        <v>56.0</v>
      </c>
      <c r="P23" s="580">
        <v>33600.0</v>
      </c>
      <c r="Q23" s="580">
        <f t="shared" si="10"/>
        <v>904250</v>
      </c>
      <c r="R23" s="583">
        <f t="shared" si="4"/>
        <v>0.6326921866</v>
      </c>
      <c r="S23" s="528">
        <v>21.0</v>
      </c>
      <c r="T23" s="580">
        <v>15800.0</v>
      </c>
      <c r="U23" s="580">
        <f t="shared" si="11"/>
        <v>138000</v>
      </c>
      <c r="V23" s="581">
        <f t="shared" si="5"/>
        <v>0.07697628238</v>
      </c>
      <c r="W23" s="582">
        <v>56.0</v>
      </c>
      <c r="X23" s="580">
        <v>42000.0</v>
      </c>
      <c r="Y23" s="580">
        <f t="shared" si="12"/>
        <v>1136230</v>
      </c>
      <c r="Z23" s="584">
        <f t="shared" si="6"/>
        <v>0.6337881256</v>
      </c>
      <c r="AA23" s="2"/>
    </row>
    <row r="24">
      <c r="A24" s="595">
        <v>60.0</v>
      </c>
      <c r="B24" s="602">
        <v>40.0</v>
      </c>
      <c r="C24" s="528">
        <v>22.0</v>
      </c>
      <c r="D24" s="580">
        <v>11000.0</v>
      </c>
      <c r="E24" s="580">
        <f t="shared" si="7"/>
        <v>95750</v>
      </c>
      <c r="F24" s="581">
        <f t="shared" si="1"/>
        <v>0.08061460745</v>
      </c>
      <c r="G24" s="582">
        <v>57.0</v>
      </c>
      <c r="H24" s="580">
        <v>28500.0</v>
      </c>
      <c r="I24" s="580">
        <f t="shared" si="8"/>
        <v>778250</v>
      </c>
      <c r="J24" s="583">
        <f t="shared" si="2"/>
        <v>0.6552304778</v>
      </c>
      <c r="K24" s="528">
        <v>22.0</v>
      </c>
      <c r="L24" s="580">
        <v>13200.0</v>
      </c>
      <c r="M24" s="580">
        <f t="shared" si="9"/>
        <v>118850</v>
      </c>
      <c r="N24" s="581">
        <f t="shared" si="3"/>
        <v>0.08315782845</v>
      </c>
      <c r="O24" s="582">
        <v>57.0</v>
      </c>
      <c r="P24" s="580">
        <v>34200.0</v>
      </c>
      <c r="Q24" s="580">
        <f t="shared" si="10"/>
        <v>937850</v>
      </c>
      <c r="R24" s="583">
        <f t="shared" si="4"/>
        <v>0.6562016779</v>
      </c>
      <c r="S24" s="528">
        <v>22.0</v>
      </c>
      <c r="T24" s="580">
        <v>16500.0</v>
      </c>
      <c r="U24" s="580">
        <f t="shared" si="11"/>
        <v>153800</v>
      </c>
      <c r="V24" s="581">
        <f t="shared" si="5"/>
        <v>0.08578950891</v>
      </c>
      <c r="W24" s="582">
        <v>57.0</v>
      </c>
      <c r="X24" s="580">
        <v>42790.0</v>
      </c>
      <c r="Y24" s="580">
        <f t="shared" si="12"/>
        <v>1178230</v>
      </c>
      <c r="Z24" s="584">
        <f t="shared" si="6"/>
        <v>0.6572156898</v>
      </c>
      <c r="AA24" s="2"/>
    </row>
    <row r="25">
      <c r="A25" s="597" t="s">
        <v>793</v>
      </c>
      <c r="B25" s="598" t="s">
        <v>794</v>
      </c>
      <c r="C25" s="528">
        <v>23.0</v>
      </c>
      <c r="D25" s="580">
        <v>11500.0</v>
      </c>
      <c r="E25" s="580">
        <f t="shared" si="7"/>
        <v>106750</v>
      </c>
      <c r="F25" s="581">
        <f t="shared" si="1"/>
        <v>0.08987581562</v>
      </c>
      <c r="G25" s="582">
        <v>58.0</v>
      </c>
      <c r="H25" s="580">
        <v>29000.0</v>
      </c>
      <c r="I25" s="580">
        <f t="shared" si="8"/>
        <v>806750</v>
      </c>
      <c r="J25" s="583">
        <f t="shared" si="2"/>
        <v>0.6792254262</v>
      </c>
      <c r="K25" s="528">
        <v>23.0</v>
      </c>
      <c r="L25" s="580">
        <v>13800.0</v>
      </c>
      <c r="M25" s="580">
        <f t="shared" si="9"/>
        <v>132050</v>
      </c>
      <c r="N25" s="581">
        <f t="shared" si="3"/>
        <v>0.09239370002</v>
      </c>
      <c r="O25" s="582">
        <v>58.0</v>
      </c>
      <c r="P25" s="580">
        <v>34790.0</v>
      </c>
      <c r="Q25" s="580">
        <f t="shared" si="10"/>
        <v>972050</v>
      </c>
      <c r="R25" s="583">
        <f t="shared" si="4"/>
        <v>0.6801309815</v>
      </c>
      <c r="S25" s="528">
        <v>23.0</v>
      </c>
      <c r="T25" s="580">
        <v>17290.0</v>
      </c>
      <c r="U25" s="580">
        <f t="shared" si="11"/>
        <v>170300</v>
      </c>
      <c r="V25" s="581">
        <f t="shared" si="5"/>
        <v>0.09499319485</v>
      </c>
      <c r="W25" s="582">
        <v>58.0</v>
      </c>
      <c r="X25" s="580">
        <v>43500.0</v>
      </c>
      <c r="Y25" s="580">
        <f t="shared" si="12"/>
        <v>1221020</v>
      </c>
      <c r="Z25" s="584">
        <f t="shared" si="6"/>
        <v>0.6810839153</v>
      </c>
      <c r="AA25" s="2"/>
    </row>
    <row r="26">
      <c r="A26" s="603">
        <f>IF(B24&lt;A24,0,minus(Range!AF72,Range!AG72))</f>
        <v>0</v>
      </c>
      <c r="B26" s="600">
        <f>vlookup(A24,Range!$AA$2:$AJ$70,7)</f>
        <v>386970</v>
      </c>
      <c r="C26" s="528">
        <v>24.0</v>
      </c>
      <c r="D26" s="580">
        <v>12000.0</v>
      </c>
      <c r="E26" s="580">
        <f t="shared" si="7"/>
        <v>118250</v>
      </c>
      <c r="F26" s="581">
        <f t="shared" si="1"/>
        <v>0.09955798779</v>
      </c>
      <c r="G26" s="582">
        <v>59.0</v>
      </c>
      <c r="H26" s="580">
        <v>29500.0</v>
      </c>
      <c r="I26" s="580">
        <f t="shared" si="8"/>
        <v>835750</v>
      </c>
      <c r="J26" s="583">
        <f t="shared" si="2"/>
        <v>0.7036413387</v>
      </c>
      <c r="K26" s="528">
        <v>24.0</v>
      </c>
      <c r="L26" s="580">
        <v>14400.0</v>
      </c>
      <c r="M26" s="580">
        <f t="shared" si="9"/>
        <v>145850</v>
      </c>
      <c r="N26" s="581">
        <f t="shared" si="3"/>
        <v>0.1020493839</v>
      </c>
      <c r="O26" s="582">
        <v>59.0</v>
      </c>
      <c r="P26" s="580">
        <v>35400.0</v>
      </c>
      <c r="Q26" s="580">
        <f t="shared" si="10"/>
        <v>1006840</v>
      </c>
      <c r="R26" s="583">
        <f t="shared" si="4"/>
        <v>0.7044731005</v>
      </c>
      <c r="S26" s="528">
        <v>24.0</v>
      </c>
      <c r="T26" s="580">
        <v>18000.0</v>
      </c>
      <c r="U26" s="580">
        <f t="shared" si="11"/>
        <v>187590</v>
      </c>
      <c r="V26" s="581">
        <f t="shared" si="5"/>
        <v>0.1046375421</v>
      </c>
      <c r="W26" s="582">
        <v>59.0</v>
      </c>
      <c r="X26" s="580">
        <v>44290.0</v>
      </c>
      <c r="Y26" s="580">
        <f t="shared" si="12"/>
        <v>1264520</v>
      </c>
      <c r="Z26" s="584">
        <f t="shared" si="6"/>
        <v>0.7053481782</v>
      </c>
      <c r="AA26" s="2"/>
    </row>
    <row r="27">
      <c r="A27" s="604" t="s">
        <v>17</v>
      </c>
      <c r="B27" s="200"/>
      <c r="C27" s="528">
        <v>25.0</v>
      </c>
      <c r="D27" s="580">
        <v>12500.0</v>
      </c>
      <c r="E27" s="580">
        <f t="shared" si="7"/>
        <v>130250</v>
      </c>
      <c r="F27" s="581">
        <f t="shared" si="1"/>
        <v>0.109661124</v>
      </c>
      <c r="G27" s="582">
        <v>60.0</v>
      </c>
      <c r="H27" s="580">
        <v>30000.0</v>
      </c>
      <c r="I27" s="580">
        <f t="shared" si="8"/>
        <v>865250</v>
      </c>
      <c r="J27" s="583">
        <f t="shared" si="2"/>
        <v>0.7284782151</v>
      </c>
      <c r="K27" s="528">
        <v>25.0</v>
      </c>
      <c r="L27" s="580">
        <v>15000.0</v>
      </c>
      <c r="M27" s="580">
        <f t="shared" si="9"/>
        <v>160250</v>
      </c>
      <c r="N27" s="581">
        <f t="shared" si="3"/>
        <v>0.1121248802</v>
      </c>
      <c r="O27" s="582">
        <v>60.0</v>
      </c>
      <c r="P27" s="580">
        <v>36000.0</v>
      </c>
      <c r="Q27" s="580">
        <f t="shared" si="10"/>
        <v>1042240</v>
      </c>
      <c r="R27" s="583">
        <f t="shared" si="4"/>
        <v>0.7292420288</v>
      </c>
      <c r="S27" s="528">
        <v>25.0</v>
      </c>
      <c r="T27" s="580">
        <v>18790.0</v>
      </c>
      <c r="U27" s="580">
        <f t="shared" si="11"/>
        <v>205590</v>
      </c>
      <c r="V27" s="581">
        <f t="shared" si="5"/>
        <v>0.1146779268</v>
      </c>
      <c r="W27" s="582">
        <v>60.0</v>
      </c>
      <c r="X27" s="580">
        <v>45000.0</v>
      </c>
      <c r="Y27" s="580">
        <f t="shared" si="12"/>
        <v>1308810</v>
      </c>
      <c r="Z27" s="584">
        <f t="shared" si="6"/>
        <v>0.7300531025</v>
      </c>
      <c r="AA27" s="2"/>
    </row>
    <row r="28">
      <c r="A28" s="593" t="s">
        <v>785</v>
      </c>
      <c r="B28" s="594" t="s">
        <v>544</v>
      </c>
      <c r="C28" s="528">
        <v>26.0</v>
      </c>
      <c r="D28" s="580">
        <v>13000.0</v>
      </c>
      <c r="E28" s="580">
        <f t="shared" si="7"/>
        <v>142750</v>
      </c>
      <c r="F28" s="581">
        <f t="shared" si="1"/>
        <v>0.1201852242</v>
      </c>
      <c r="G28" s="582">
        <v>61.0</v>
      </c>
      <c r="H28" s="580">
        <v>30500.0</v>
      </c>
      <c r="I28" s="580">
        <f t="shared" si="8"/>
        <v>895250</v>
      </c>
      <c r="J28" s="583">
        <f t="shared" si="2"/>
        <v>0.7537360556</v>
      </c>
      <c r="K28" s="528">
        <v>26.0</v>
      </c>
      <c r="L28" s="580">
        <v>15600.0</v>
      </c>
      <c r="M28" s="580">
        <f t="shared" si="9"/>
        <v>175250</v>
      </c>
      <c r="N28" s="581">
        <f t="shared" si="3"/>
        <v>0.1226201888</v>
      </c>
      <c r="O28" s="582">
        <v>61.0</v>
      </c>
      <c r="P28" s="580">
        <v>36590.0</v>
      </c>
      <c r="Q28" s="580">
        <f t="shared" si="10"/>
        <v>1078240</v>
      </c>
      <c r="R28" s="583">
        <f t="shared" si="4"/>
        <v>0.7544307694</v>
      </c>
      <c r="S28" s="528">
        <v>26.0</v>
      </c>
      <c r="T28" s="580">
        <v>19500.0</v>
      </c>
      <c r="U28" s="580">
        <f t="shared" si="11"/>
        <v>224380</v>
      </c>
      <c r="V28" s="581">
        <f t="shared" si="5"/>
        <v>0.1251589728</v>
      </c>
      <c r="W28" s="582">
        <v>61.0</v>
      </c>
      <c r="X28" s="580">
        <v>45790.0</v>
      </c>
      <c r="Y28" s="580">
        <f t="shared" si="12"/>
        <v>1353810</v>
      </c>
      <c r="Z28" s="584">
        <f t="shared" si="6"/>
        <v>0.7551540641</v>
      </c>
      <c r="AA28" s="2"/>
    </row>
    <row r="29">
      <c r="A29" s="595">
        <v>31.0</v>
      </c>
      <c r="B29" s="602">
        <v>50.0</v>
      </c>
      <c r="C29" s="528">
        <v>27.0</v>
      </c>
      <c r="D29" s="580">
        <v>13500.0</v>
      </c>
      <c r="E29" s="580">
        <f t="shared" si="7"/>
        <v>155750</v>
      </c>
      <c r="F29" s="581">
        <f t="shared" si="1"/>
        <v>0.1311302884</v>
      </c>
      <c r="G29" s="582">
        <v>62.0</v>
      </c>
      <c r="H29" s="580">
        <v>31000.0</v>
      </c>
      <c r="I29" s="580">
        <f t="shared" si="8"/>
        <v>925750</v>
      </c>
      <c r="J29" s="583">
        <f t="shared" si="2"/>
        <v>0.77941486</v>
      </c>
      <c r="K29" s="528">
        <v>27.0</v>
      </c>
      <c r="L29" s="580">
        <v>16200.0</v>
      </c>
      <c r="M29" s="580">
        <f t="shared" si="9"/>
        <v>190850</v>
      </c>
      <c r="N29" s="581">
        <f t="shared" si="3"/>
        <v>0.1335353097</v>
      </c>
      <c r="O29" s="582">
        <v>62.0</v>
      </c>
      <c r="P29" s="580">
        <v>37200.0</v>
      </c>
      <c r="Q29" s="580">
        <f t="shared" si="10"/>
        <v>1114830</v>
      </c>
      <c r="R29" s="583">
        <f t="shared" si="4"/>
        <v>0.7800323256</v>
      </c>
      <c r="S29" s="528">
        <v>27.0</v>
      </c>
      <c r="T29" s="580">
        <v>20290.0</v>
      </c>
      <c r="U29" s="580">
        <f t="shared" si="11"/>
        <v>243880</v>
      </c>
      <c r="V29" s="581">
        <f t="shared" si="5"/>
        <v>0.1360360561</v>
      </c>
      <c r="W29" s="582">
        <v>62.0</v>
      </c>
      <c r="X29" s="580">
        <v>46500.0</v>
      </c>
      <c r="Y29" s="580">
        <f t="shared" si="12"/>
        <v>1399600</v>
      </c>
      <c r="Z29" s="584">
        <f t="shared" si="6"/>
        <v>0.7806956871</v>
      </c>
      <c r="AA29" s="2"/>
    </row>
    <row r="30">
      <c r="A30" s="597" t="s">
        <v>793</v>
      </c>
      <c r="B30" s="598" t="s">
        <v>794</v>
      </c>
      <c r="C30" s="528">
        <v>28.0</v>
      </c>
      <c r="D30" s="580">
        <v>14000.0</v>
      </c>
      <c r="E30" s="580">
        <f t="shared" si="7"/>
        <v>169250</v>
      </c>
      <c r="F30" s="581">
        <f t="shared" si="1"/>
        <v>0.1424963166</v>
      </c>
      <c r="G30" s="582">
        <v>63.0</v>
      </c>
      <c r="H30" s="580">
        <v>31500.0</v>
      </c>
      <c r="I30" s="580">
        <f t="shared" si="8"/>
        <v>956750</v>
      </c>
      <c r="J30" s="583">
        <f t="shared" si="2"/>
        <v>0.8055146285</v>
      </c>
      <c r="K30" s="528">
        <v>28.0</v>
      </c>
      <c r="L30" s="580">
        <v>16800.0</v>
      </c>
      <c r="M30" s="580">
        <f t="shared" si="9"/>
        <v>207050</v>
      </c>
      <c r="N30" s="581">
        <f t="shared" si="3"/>
        <v>0.144870243</v>
      </c>
      <c r="O30" s="582">
        <v>63.0</v>
      </c>
      <c r="P30" s="580">
        <v>37790.0</v>
      </c>
      <c r="Q30" s="580">
        <f t="shared" si="10"/>
        <v>1152030</v>
      </c>
      <c r="R30" s="583">
        <f t="shared" si="4"/>
        <v>0.8060606909</v>
      </c>
      <c r="S30" s="528">
        <v>28.0</v>
      </c>
      <c r="T30" s="580">
        <v>21000.0</v>
      </c>
      <c r="U30" s="580">
        <f t="shared" si="11"/>
        <v>264170</v>
      </c>
      <c r="V30" s="581">
        <f t="shared" si="5"/>
        <v>0.1473538008</v>
      </c>
      <c r="W30" s="582">
        <v>63.0</v>
      </c>
      <c r="X30" s="580">
        <v>47290.0</v>
      </c>
      <c r="Y30" s="580">
        <f t="shared" si="12"/>
        <v>1446100</v>
      </c>
      <c r="Z30" s="584">
        <f t="shared" si="6"/>
        <v>0.8066333475</v>
      </c>
      <c r="AA30" s="2"/>
    </row>
    <row r="31">
      <c r="A31" s="599">
        <f>IF(B29&lt;A29,0,minus(Range!AI72,Range!AJ72))</f>
        <v>570400</v>
      </c>
      <c r="B31" s="600">
        <f>vlookup(A29,Range!$AA$2:$AJ$70,10)</f>
        <v>1463300</v>
      </c>
      <c r="C31" s="528">
        <v>29.0</v>
      </c>
      <c r="D31" s="580">
        <v>14500.0</v>
      </c>
      <c r="E31" s="580">
        <f t="shared" si="7"/>
        <v>183250</v>
      </c>
      <c r="F31" s="581">
        <f t="shared" si="1"/>
        <v>0.1542833088</v>
      </c>
      <c r="G31" s="582">
        <v>64.0</v>
      </c>
      <c r="H31" s="580">
        <v>32000.0</v>
      </c>
      <c r="I31" s="580">
        <f t="shared" si="8"/>
        <v>988250</v>
      </c>
      <c r="J31" s="583">
        <f t="shared" si="2"/>
        <v>0.832035361</v>
      </c>
      <c r="K31" s="528">
        <v>29.0</v>
      </c>
      <c r="L31" s="580">
        <v>17400.0</v>
      </c>
      <c r="M31" s="580">
        <f t="shared" si="9"/>
        <v>223850</v>
      </c>
      <c r="N31" s="581">
        <f t="shared" si="3"/>
        <v>0.1566249886</v>
      </c>
      <c r="O31" s="582">
        <v>64.0</v>
      </c>
      <c r="P31" s="580">
        <v>38400.0</v>
      </c>
      <c r="Q31" s="580">
        <f t="shared" si="10"/>
        <v>1189820</v>
      </c>
      <c r="R31" s="583">
        <f t="shared" si="4"/>
        <v>0.8325018717</v>
      </c>
      <c r="S31" s="528">
        <v>29.0</v>
      </c>
      <c r="T31" s="580">
        <v>21790.0</v>
      </c>
      <c r="U31" s="580">
        <f t="shared" si="11"/>
        <v>285170</v>
      </c>
      <c r="V31" s="581">
        <f t="shared" si="5"/>
        <v>0.1590675829</v>
      </c>
      <c r="W31" s="582">
        <v>64.0</v>
      </c>
      <c r="X31" s="580">
        <v>48000.0</v>
      </c>
      <c r="Y31" s="580">
        <f t="shared" si="12"/>
        <v>1493390</v>
      </c>
      <c r="Z31" s="584">
        <f t="shared" si="6"/>
        <v>0.8330116692</v>
      </c>
      <c r="AA31" s="2"/>
    </row>
    <row r="32">
      <c r="A32" s="587"/>
      <c r="B32" s="587"/>
      <c r="C32" s="528">
        <v>30.0</v>
      </c>
      <c r="D32" s="580">
        <v>15000.0</v>
      </c>
      <c r="E32" s="580">
        <f t="shared" si="7"/>
        <v>197750</v>
      </c>
      <c r="F32" s="581">
        <f t="shared" si="1"/>
        <v>0.166491265</v>
      </c>
      <c r="G32" s="582">
        <v>65.0</v>
      </c>
      <c r="H32" s="580">
        <v>32500.0</v>
      </c>
      <c r="I32" s="580">
        <f t="shared" si="8"/>
        <v>1020250</v>
      </c>
      <c r="J32" s="583">
        <f t="shared" si="2"/>
        <v>0.8589770575</v>
      </c>
      <c r="K32" s="528">
        <v>30.0</v>
      </c>
      <c r="L32" s="580">
        <v>18000.0</v>
      </c>
      <c r="M32" s="580">
        <f t="shared" si="9"/>
        <v>241250</v>
      </c>
      <c r="N32" s="581">
        <f t="shared" si="3"/>
        <v>0.1687995466</v>
      </c>
      <c r="O32" s="582">
        <v>65.0</v>
      </c>
      <c r="P32" s="580">
        <v>39000.0</v>
      </c>
      <c r="Q32" s="580">
        <f t="shared" si="10"/>
        <v>1228220</v>
      </c>
      <c r="R32" s="583">
        <f t="shared" si="4"/>
        <v>0.8593698617</v>
      </c>
      <c r="S32" s="528">
        <v>30.0</v>
      </c>
      <c r="T32" s="580">
        <v>22500.0</v>
      </c>
      <c r="U32" s="580">
        <f t="shared" si="11"/>
        <v>306960</v>
      </c>
      <c r="V32" s="581">
        <f t="shared" si="5"/>
        <v>0.1712220264</v>
      </c>
      <c r="W32" s="582">
        <v>65.0</v>
      </c>
      <c r="X32" s="580">
        <v>48790.0</v>
      </c>
      <c r="Y32" s="580">
        <f t="shared" si="12"/>
        <v>1541390</v>
      </c>
      <c r="Z32" s="584">
        <f t="shared" si="6"/>
        <v>0.8597860282</v>
      </c>
      <c r="AA32" s="2"/>
    </row>
    <row r="33">
      <c r="A33" s="587"/>
      <c r="B33" s="587"/>
      <c r="C33" s="528">
        <v>31.0</v>
      </c>
      <c r="D33" s="580">
        <v>15500.0</v>
      </c>
      <c r="E33" s="580">
        <f t="shared" si="7"/>
        <v>212750</v>
      </c>
      <c r="F33" s="581">
        <f t="shared" si="1"/>
        <v>0.1791201852</v>
      </c>
      <c r="G33" s="582">
        <v>66.0</v>
      </c>
      <c r="H33" s="580">
        <v>33000.0</v>
      </c>
      <c r="I33" s="580">
        <f t="shared" si="8"/>
        <v>1052750</v>
      </c>
      <c r="J33" s="583">
        <f t="shared" si="2"/>
        <v>0.886339718</v>
      </c>
      <c r="K33" s="528">
        <v>31.0</v>
      </c>
      <c r="L33" s="580">
        <v>18600.0</v>
      </c>
      <c r="M33" s="580">
        <f t="shared" si="9"/>
        <v>259250</v>
      </c>
      <c r="N33" s="581">
        <f t="shared" si="3"/>
        <v>0.1813939169</v>
      </c>
      <c r="O33" s="582">
        <v>66.0</v>
      </c>
      <c r="P33" s="580">
        <v>39590.0</v>
      </c>
      <c r="Q33" s="580">
        <f t="shared" si="10"/>
        <v>1267220</v>
      </c>
      <c r="R33" s="583">
        <f t="shared" si="4"/>
        <v>0.886657664</v>
      </c>
      <c r="S33" s="528">
        <v>31.0</v>
      </c>
      <c r="T33" s="580">
        <v>23290.0</v>
      </c>
      <c r="U33" s="580">
        <f t="shared" si="11"/>
        <v>329460</v>
      </c>
      <c r="V33" s="581">
        <f t="shared" si="5"/>
        <v>0.1837725072</v>
      </c>
      <c r="W33" s="582">
        <v>66.0</v>
      </c>
      <c r="X33" s="580">
        <v>49500.0</v>
      </c>
      <c r="Y33" s="580">
        <f t="shared" si="12"/>
        <v>1590180</v>
      </c>
      <c r="Z33" s="584">
        <f t="shared" si="6"/>
        <v>0.8870010487</v>
      </c>
      <c r="AA33" s="2"/>
    </row>
    <row r="34">
      <c r="A34" s="587"/>
      <c r="B34" s="587"/>
      <c r="C34" s="528">
        <v>32.0</v>
      </c>
      <c r="D34" s="580">
        <v>16000.0</v>
      </c>
      <c r="E34" s="580">
        <f t="shared" si="7"/>
        <v>228250</v>
      </c>
      <c r="F34" s="581">
        <f t="shared" si="1"/>
        <v>0.1921700695</v>
      </c>
      <c r="G34" s="582">
        <v>67.0</v>
      </c>
      <c r="H34" s="580">
        <v>33500.0</v>
      </c>
      <c r="I34" s="580">
        <f t="shared" si="8"/>
        <v>1085750</v>
      </c>
      <c r="J34" s="583">
        <f t="shared" si="2"/>
        <v>0.9141233425</v>
      </c>
      <c r="K34" s="528">
        <v>32.0</v>
      </c>
      <c r="L34" s="580">
        <v>19200.0</v>
      </c>
      <c r="M34" s="580">
        <f t="shared" si="9"/>
        <v>277850</v>
      </c>
      <c r="N34" s="581">
        <f t="shared" si="3"/>
        <v>0.1944080996</v>
      </c>
      <c r="O34" s="582">
        <v>67.0</v>
      </c>
      <c r="P34" s="580">
        <v>40200.0</v>
      </c>
      <c r="Q34" s="580">
        <f t="shared" si="10"/>
        <v>1306810</v>
      </c>
      <c r="R34" s="583">
        <f t="shared" si="4"/>
        <v>0.9143582818</v>
      </c>
      <c r="S34" s="528">
        <v>32.0</v>
      </c>
      <c r="T34" s="580">
        <v>24000.0</v>
      </c>
      <c r="U34" s="580">
        <f t="shared" si="11"/>
        <v>352750</v>
      </c>
      <c r="V34" s="581">
        <f t="shared" si="5"/>
        <v>0.1967636493</v>
      </c>
      <c r="W34" s="582">
        <v>67.0</v>
      </c>
      <c r="X34" s="580">
        <v>50290.0</v>
      </c>
      <c r="Y34" s="580">
        <f t="shared" si="12"/>
        <v>1639680</v>
      </c>
      <c r="Z34" s="584">
        <f t="shared" si="6"/>
        <v>0.9146121065</v>
      </c>
      <c r="AA34" s="2"/>
    </row>
    <row r="35">
      <c r="A35" s="587"/>
      <c r="B35" s="587"/>
      <c r="C35" s="528">
        <v>33.0</v>
      </c>
      <c r="D35" s="580">
        <v>16500.0</v>
      </c>
      <c r="E35" s="580">
        <f t="shared" si="7"/>
        <v>244250</v>
      </c>
      <c r="F35" s="581">
        <f t="shared" si="1"/>
        <v>0.2056409177</v>
      </c>
      <c r="G35" s="582">
        <v>68.0</v>
      </c>
      <c r="H35" s="580">
        <v>34000.0</v>
      </c>
      <c r="I35" s="580">
        <f t="shared" si="8"/>
        <v>1119250</v>
      </c>
      <c r="J35" s="583">
        <f t="shared" si="2"/>
        <v>0.942327931</v>
      </c>
      <c r="K35" s="528">
        <v>33.0</v>
      </c>
      <c r="L35" s="580">
        <v>19800.0</v>
      </c>
      <c r="M35" s="580">
        <f t="shared" si="9"/>
        <v>297050</v>
      </c>
      <c r="N35" s="581">
        <f t="shared" si="3"/>
        <v>0.2078420946</v>
      </c>
      <c r="O35" s="582">
        <v>68.0</v>
      </c>
      <c r="P35" s="580">
        <v>40800.0</v>
      </c>
      <c r="Q35" s="580">
        <f t="shared" si="10"/>
        <v>1347010</v>
      </c>
      <c r="R35" s="583">
        <f t="shared" si="4"/>
        <v>0.9424857089</v>
      </c>
      <c r="S35" s="528">
        <v>33.0</v>
      </c>
      <c r="T35" s="580">
        <v>24790.0</v>
      </c>
      <c r="U35" s="580">
        <f t="shared" si="11"/>
        <v>376750</v>
      </c>
      <c r="V35" s="581">
        <f t="shared" si="5"/>
        <v>0.2101508289</v>
      </c>
      <c r="W35" s="582">
        <v>68.0</v>
      </c>
      <c r="X35" s="580">
        <v>51000.0</v>
      </c>
      <c r="Y35" s="580">
        <f t="shared" si="12"/>
        <v>1689970</v>
      </c>
      <c r="Z35" s="584">
        <f t="shared" si="6"/>
        <v>0.9426638256</v>
      </c>
      <c r="AA35" s="2"/>
    </row>
    <row r="36">
      <c r="A36" s="587"/>
      <c r="B36" s="587"/>
      <c r="C36" s="528">
        <v>34.0</v>
      </c>
      <c r="D36" s="580">
        <v>17000.0</v>
      </c>
      <c r="E36" s="580">
        <f t="shared" si="7"/>
        <v>260750</v>
      </c>
      <c r="F36" s="581">
        <f t="shared" si="1"/>
        <v>0.21953273</v>
      </c>
      <c r="G36" s="582">
        <v>69.0</v>
      </c>
      <c r="H36" s="580">
        <v>34500.0</v>
      </c>
      <c r="I36" s="580">
        <f t="shared" si="8"/>
        <v>1153250</v>
      </c>
      <c r="J36" s="583">
        <f t="shared" si="2"/>
        <v>0.9709534835</v>
      </c>
      <c r="K36" s="528">
        <v>34.0</v>
      </c>
      <c r="L36" s="580">
        <v>20400.0</v>
      </c>
      <c r="M36" s="580">
        <f t="shared" si="9"/>
        <v>316850</v>
      </c>
      <c r="N36" s="581">
        <f t="shared" si="3"/>
        <v>0.2216959019</v>
      </c>
      <c r="O36" s="582">
        <v>69.0</v>
      </c>
      <c r="P36" s="580">
        <v>41400.0</v>
      </c>
      <c r="Q36" s="580">
        <f t="shared" si="10"/>
        <v>1387810</v>
      </c>
      <c r="R36" s="583">
        <f t="shared" si="4"/>
        <v>0.9710329483</v>
      </c>
      <c r="S36" s="528">
        <v>34.0</v>
      </c>
      <c r="T36" s="580">
        <v>25500.0</v>
      </c>
      <c r="U36" s="580">
        <f t="shared" si="11"/>
        <v>401540</v>
      </c>
      <c r="V36" s="581">
        <f t="shared" si="5"/>
        <v>0.2239786698</v>
      </c>
      <c r="W36" s="582">
        <v>69.0</v>
      </c>
      <c r="X36" s="580">
        <v>51790.0</v>
      </c>
      <c r="Y36" s="580">
        <f t="shared" si="12"/>
        <v>1740970</v>
      </c>
      <c r="Z36" s="584">
        <f t="shared" si="6"/>
        <v>0.9711115821</v>
      </c>
      <c r="AA36" s="2"/>
    </row>
    <row r="37">
      <c r="A37" s="587"/>
      <c r="B37" s="587"/>
      <c r="C37" s="528">
        <v>35.0</v>
      </c>
      <c r="D37" s="580">
        <v>17500.0</v>
      </c>
      <c r="E37" s="580">
        <f t="shared" si="7"/>
        <v>277750</v>
      </c>
      <c r="F37" s="581">
        <f t="shared" si="1"/>
        <v>0.2338455062</v>
      </c>
      <c r="G37" s="582">
        <v>70.0</v>
      </c>
      <c r="H37" s="580" t="s">
        <v>184</v>
      </c>
      <c r="I37" s="580">
        <f t="shared" si="8"/>
        <v>1187750</v>
      </c>
      <c r="J37" s="583">
        <f t="shared" si="2"/>
        <v>1</v>
      </c>
      <c r="K37" s="528">
        <v>35.0</v>
      </c>
      <c r="L37" s="580">
        <v>21000.0</v>
      </c>
      <c r="M37" s="580">
        <f t="shared" si="9"/>
        <v>337250</v>
      </c>
      <c r="N37" s="581">
        <f t="shared" si="3"/>
        <v>0.2359695216</v>
      </c>
      <c r="O37" s="582">
        <v>70.0</v>
      </c>
      <c r="P37" s="580" t="s">
        <v>184</v>
      </c>
      <c r="Q37" s="580">
        <f t="shared" si="10"/>
        <v>1429210</v>
      </c>
      <c r="R37" s="583">
        <f t="shared" si="4"/>
        <v>1</v>
      </c>
      <c r="S37" s="528">
        <v>35.0</v>
      </c>
      <c r="T37" s="580">
        <v>26290.0</v>
      </c>
      <c r="U37" s="580">
        <f t="shared" si="11"/>
        <v>427040</v>
      </c>
      <c r="V37" s="581">
        <f t="shared" si="5"/>
        <v>0.238202548</v>
      </c>
      <c r="W37" s="582">
        <v>70.0</v>
      </c>
      <c r="X37" s="580" t="s">
        <v>184</v>
      </c>
      <c r="Y37" s="580">
        <f t="shared" si="12"/>
        <v>1792760</v>
      </c>
      <c r="Z37" s="584">
        <f t="shared" si="6"/>
        <v>1</v>
      </c>
      <c r="AA37" s="2"/>
    </row>
    <row r="38">
      <c r="A38" s="587"/>
      <c r="B38" s="587"/>
      <c r="C38" s="605" t="s">
        <v>795</v>
      </c>
      <c r="D38" s="606"/>
      <c r="E38" s="607">
        <f>SUM(D3:D36)</f>
        <v>277750</v>
      </c>
      <c r="F38" s="607"/>
      <c r="G38" s="608" t="s">
        <v>796</v>
      </c>
      <c r="H38" s="606"/>
      <c r="I38" s="607">
        <f>SUM(D3:D37,H3:H36)</f>
        <v>1187750</v>
      </c>
      <c r="J38" s="609"/>
      <c r="K38" s="605" t="s">
        <v>795</v>
      </c>
      <c r="L38" s="606"/>
      <c r="M38" s="610">
        <f>SUM(L3:L36)</f>
        <v>337250</v>
      </c>
      <c r="N38" s="607"/>
      <c r="O38" s="608" t="s">
        <v>796</v>
      </c>
      <c r="P38" s="606"/>
      <c r="Q38" s="607">
        <f>SUM(L3:L37,P3:P36)</f>
        <v>1429210</v>
      </c>
      <c r="R38" s="609"/>
      <c r="S38" s="605" t="s">
        <v>795</v>
      </c>
      <c r="T38" s="606"/>
      <c r="U38" s="610">
        <f>SUM(T3:T36)</f>
        <v>427040</v>
      </c>
      <c r="V38" s="607"/>
      <c r="W38" s="608" t="s">
        <v>796</v>
      </c>
      <c r="X38" s="606"/>
      <c r="Y38" s="607">
        <f>SUM(T3:T37,X3:X36)</f>
        <v>1792760</v>
      </c>
      <c r="Z38" s="371"/>
      <c r="AA38" s="2"/>
    </row>
    <row r="39">
      <c r="A39" s="587"/>
      <c r="B39" s="587"/>
      <c r="C39" s="86"/>
      <c r="D39" s="2"/>
      <c r="E39" s="2"/>
      <c r="F39" s="2"/>
      <c r="G39" s="2"/>
      <c r="H39" s="2"/>
      <c r="I39" s="2"/>
      <c r="J39" s="2"/>
      <c r="K39" s="86"/>
      <c r="L39" s="2"/>
      <c r="M39" s="2"/>
      <c r="N39" s="2"/>
      <c r="O39" s="2"/>
      <c r="P39" s="2"/>
      <c r="Q39" s="2"/>
      <c r="R39" s="2"/>
      <c r="S39" s="86"/>
      <c r="T39" s="2"/>
      <c r="U39" s="2"/>
      <c r="V39" s="2"/>
      <c r="W39" s="2"/>
      <c r="X39" s="2"/>
      <c r="Y39" s="2"/>
      <c r="Z39" s="2"/>
      <c r="AA39" s="2"/>
    </row>
    <row r="40">
      <c r="A40" s="2"/>
      <c r="B40" s="2"/>
      <c r="C40" s="86"/>
      <c r="D40" s="2"/>
      <c r="E40" s="2"/>
      <c r="F40" s="2"/>
      <c r="G40" s="2"/>
      <c r="H40" s="2"/>
      <c r="I40" s="2"/>
      <c r="J40" s="2"/>
      <c r="K40" s="86"/>
      <c r="L40" s="2"/>
      <c r="M40" s="2"/>
      <c r="N40" s="2"/>
      <c r="O40" s="2"/>
      <c r="P40" s="2"/>
      <c r="Q40" s="2"/>
      <c r="R40" s="2"/>
      <c r="S40" s="86"/>
      <c r="T40" s="2"/>
      <c r="U40" s="2"/>
      <c r="V40" s="2"/>
      <c r="W40" s="2"/>
      <c r="X40" s="2"/>
      <c r="Y40" s="2"/>
      <c r="Z40" s="2"/>
      <c r="AA40" s="2"/>
    </row>
    <row r="41">
      <c r="A41" s="2"/>
      <c r="B41" s="2"/>
      <c r="C41" s="86"/>
      <c r="D41" s="2"/>
      <c r="E41" s="2"/>
      <c r="F41" s="2"/>
      <c r="G41" s="2"/>
      <c r="H41" s="2"/>
      <c r="I41" s="2"/>
      <c r="J41" s="2"/>
      <c r="K41" s="86"/>
      <c r="L41" s="2"/>
      <c r="M41" s="2"/>
      <c r="N41" s="2"/>
      <c r="O41" s="2"/>
      <c r="P41" s="2"/>
      <c r="Q41" s="2"/>
      <c r="R41" s="2"/>
      <c r="S41" s="86"/>
      <c r="T41" s="2"/>
      <c r="U41" s="2"/>
      <c r="V41" s="2"/>
      <c r="W41" s="2"/>
      <c r="X41" s="2"/>
      <c r="Y41" s="2"/>
      <c r="Z41" s="2"/>
      <c r="AA41" s="2"/>
    </row>
  </sheetData>
  <mergeCells count="16">
    <mergeCell ref="A1:B1"/>
    <mergeCell ref="C1:J1"/>
    <mergeCell ref="K1:R1"/>
    <mergeCell ref="S1:Z1"/>
    <mergeCell ref="A10:B10"/>
    <mergeCell ref="A13:B13"/>
    <mergeCell ref="A16:B16"/>
    <mergeCell ref="S38:T38"/>
    <mergeCell ref="W38:X38"/>
    <mergeCell ref="A17:B17"/>
    <mergeCell ref="A22:B22"/>
    <mergeCell ref="A27:B27"/>
    <mergeCell ref="C38:D38"/>
    <mergeCell ref="G38:H38"/>
    <mergeCell ref="K38:L38"/>
    <mergeCell ref="O38:P38"/>
  </mergeCells>
  <dataValidations>
    <dataValidation type="list" allowBlank="1" sqref="B19">
      <formula1>Range!$W$2:$W$69</formula1>
    </dataValidation>
    <dataValidation type="list" allowBlank="1" sqref="B24">
      <formula1>Range!$X$2:$X$69</formula1>
    </dataValidation>
    <dataValidation type="list" allowBlank="1" sqref="A19 A24 A29">
      <formula1>Range!$AL$2:$AL$70</formula1>
    </dataValidation>
    <dataValidation type="list" allowBlank="1" sqref="B29">
      <formula1>Range!$Y$2:$Y$69</formula1>
    </dataValidation>
  </dataValidations>
  <drawing r:id="rId1"/>
  <tableParts count="2">
    <tablePart r:id="rId4"/>
    <tablePart r:id="rId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29"/>
    <col customWidth="1" min="2" max="6" width="46.57"/>
  </cols>
  <sheetData>
    <row r="1">
      <c r="A1" s="611" t="s">
        <v>27</v>
      </c>
      <c r="B1" s="612" t="s">
        <v>797</v>
      </c>
      <c r="C1" s="612" t="s">
        <v>798</v>
      </c>
      <c r="D1" s="612" t="s">
        <v>799</v>
      </c>
      <c r="E1" s="612" t="s">
        <v>800</v>
      </c>
      <c r="F1" s="612" t="s">
        <v>801</v>
      </c>
      <c r="G1" s="86"/>
    </row>
    <row r="2">
      <c r="A2" s="613" t="s">
        <v>38</v>
      </c>
      <c r="B2" s="614" t="s">
        <v>802</v>
      </c>
      <c r="C2" s="614" t="s">
        <v>802</v>
      </c>
      <c r="D2" s="614" t="s">
        <v>802</v>
      </c>
      <c r="E2" s="614" t="s">
        <v>802</v>
      </c>
      <c r="F2" s="615" t="s">
        <v>802</v>
      </c>
      <c r="G2" s="2"/>
    </row>
    <row r="3">
      <c r="A3" s="616" t="s">
        <v>803</v>
      </c>
      <c r="B3" s="617" t="s">
        <v>804</v>
      </c>
      <c r="C3" s="617" t="s">
        <v>805</v>
      </c>
      <c r="D3" s="617" t="s">
        <v>806</v>
      </c>
      <c r="E3" s="617" t="s">
        <v>807</v>
      </c>
      <c r="F3" s="618" t="s">
        <v>808</v>
      </c>
      <c r="G3" s="2"/>
    </row>
    <row r="4">
      <c r="A4" s="619" t="s">
        <v>49</v>
      </c>
      <c r="B4" s="620" t="s">
        <v>809</v>
      </c>
      <c r="C4" s="620" t="s">
        <v>809</v>
      </c>
      <c r="D4" s="620" t="s">
        <v>809</v>
      </c>
      <c r="E4" s="620" t="s">
        <v>809</v>
      </c>
      <c r="F4" s="621" t="s">
        <v>809</v>
      </c>
      <c r="G4" s="2"/>
    </row>
    <row r="5">
      <c r="A5" s="622" t="s">
        <v>52</v>
      </c>
      <c r="B5" s="623" t="s">
        <v>810</v>
      </c>
      <c r="C5" s="623" t="s">
        <v>810</v>
      </c>
      <c r="D5" s="623" t="s">
        <v>810</v>
      </c>
      <c r="E5" s="623" t="s">
        <v>810</v>
      </c>
      <c r="F5" s="624" t="s">
        <v>810</v>
      </c>
      <c r="G5" s="2"/>
    </row>
    <row r="6">
      <c r="A6" s="625" t="s">
        <v>55</v>
      </c>
      <c r="B6" s="626" t="s">
        <v>409</v>
      </c>
      <c r="C6" s="626" t="s">
        <v>409</v>
      </c>
      <c r="D6" s="626" t="s">
        <v>409</v>
      </c>
      <c r="E6" s="626" t="s">
        <v>409</v>
      </c>
      <c r="F6" s="627" t="s">
        <v>409</v>
      </c>
      <c r="G6" s="2"/>
    </row>
    <row r="7">
      <c r="A7" s="622" t="s">
        <v>59</v>
      </c>
      <c r="B7" s="623" t="s">
        <v>810</v>
      </c>
      <c r="C7" s="623" t="s">
        <v>810</v>
      </c>
      <c r="D7" s="623" t="s">
        <v>810</v>
      </c>
      <c r="E7" s="623" t="s">
        <v>810</v>
      </c>
      <c r="F7" s="624" t="s">
        <v>810</v>
      </c>
      <c r="G7" s="2"/>
    </row>
    <row r="8">
      <c r="A8" s="628" t="s">
        <v>62</v>
      </c>
      <c r="B8" s="626" t="s">
        <v>811</v>
      </c>
      <c r="C8" s="626" t="s">
        <v>812</v>
      </c>
      <c r="D8" s="626" t="s">
        <v>813</v>
      </c>
      <c r="E8" s="626" t="s">
        <v>814</v>
      </c>
      <c r="F8" s="627" t="s">
        <v>815</v>
      </c>
      <c r="G8" s="2"/>
    </row>
    <row r="9">
      <c r="A9" s="629" t="s">
        <v>66</v>
      </c>
      <c r="B9" s="623" t="s">
        <v>816</v>
      </c>
      <c r="C9" s="623" t="s">
        <v>817</v>
      </c>
      <c r="D9" s="623" t="s">
        <v>818</v>
      </c>
      <c r="E9" s="623" t="s">
        <v>819</v>
      </c>
      <c r="F9" s="624" t="s">
        <v>820</v>
      </c>
      <c r="G9" s="2"/>
    </row>
    <row r="10">
      <c r="A10" s="628" t="s">
        <v>69</v>
      </c>
      <c r="B10" s="626" t="s">
        <v>821</v>
      </c>
      <c r="C10" s="626" t="s">
        <v>822</v>
      </c>
      <c r="D10" s="626" t="s">
        <v>823</v>
      </c>
      <c r="E10" s="626" t="s">
        <v>824</v>
      </c>
      <c r="F10" s="627" t="s">
        <v>825</v>
      </c>
      <c r="G10" s="2"/>
    </row>
    <row r="11">
      <c r="A11" s="630" t="s">
        <v>73</v>
      </c>
      <c r="B11" s="623" t="s">
        <v>826</v>
      </c>
      <c r="C11" s="623" t="s">
        <v>826</v>
      </c>
      <c r="D11" s="623" t="s">
        <v>826</v>
      </c>
      <c r="E11" s="623" t="s">
        <v>826</v>
      </c>
      <c r="F11" s="624" t="s">
        <v>826</v>
      </c>
      <c r="G11" s="2"/>
    </row>
    <row r="12">
      <c r="A12" s="619" t="s">
        <v>76</v>
      </c>
      <c r="B12" s="620" t="s">
        <v>809</v>
      </c>
      <c r="C12" s="620" t="s">
        <v>809</v>
      </c>
      <c r="D12" s="620" t="s">
        <v>809</v>
      </c>
      <c r="E12" s="620" t="s">
        <v>809</v>
      </c>
      <c r="F12" s="621" t="s">
        <v>809</v>
      </c>
      <c r="G12" s="2"/>
    </row>
    <row r="13">
      <c r="A13" s="616" t="s">
        <v>80</v>
      </c>
      <c r="B13" s="623" t="s">
        <v>409</v>
      </c>
      <c r="C13" s="623" t="s">
        <v>409</v>
      </c>
      <c r="D13" s="623" t="s">
        <v>409</v>
      </c>
      <c r="E13" s="623" t="s">
        <v>409</v>
      </c>
      <c r="F13" s="624" t="s">
        <v>409</v>
      </c>
      <c r="G13" s="2"/>
    </row>
    <row r="14">
      <c r="A14" s="619" t="s">
        <v>84</v>
      </c>
      <c r="B14" s="620" t="s">
        <v>809</v>
      </c>
      <c r="C14" s="620" t="s">
        <v>809</v>
      </c>
      <c r="D14" s="620" t="s">
        <v>809</v>
      </c>
      <c r="E14" s="620" t="s">
        <v>809</v>
      </c>
      <c r="F14" s="621" t="s">
        <v>809</v>
      </c>
      <c r="G14" s="2"/>
    </row>
    <row r="15">
      <c r="A15" s="622" t="s">
        <v>88</v>
      </c>
      <c r="B15" s="617" t="s">
        <v>809</v>
      </c>
      <c r="C15" s="617" t="s">
        <v>809</v>
      </c>
      <c r="D15" s="617" t="s">
        <v>809</v>
      </c>
      <c r="E15" s="617" t="s">
        <v>809</v>
      </c>
      <c r="F15" s="618" t="s">
        <v>809</v>
      </c>
      <c r="G15" s="2"/>
    </row>
    <row r="16">
      <c r="A16" s="628" t="s">
        <v>92</v>
      </c>
      <c r="B16" s="620" t="s">
        <v>809</v>
      </c>
      <c r="C16" s="620" t="s">
        <v>809</v>
      </c>
      <c r="D16" s="620" t="s">
        <v>809</v>
      </c>
      <c r="E16" s="620" t="s">
        <v>809</v>
      </c>
      <c r="F16" s="621" t="s">
        <v>809</v>
      </c>
      <c r="G16" s="2"/>
    </row>
    <row r="17">
      <c r="A17" s="622" t="s">
        <v>95</v>
      </c>
      <c r="B17" s="623" t="s">
        <v>827</v>
      </c>
      <c r="C17" s="623" t="s">
        <v>828</v>
      </c>
      <c r="D17" s="623" t="s">
        <v>829</v>
      </c>
      <c r="E17" s="623" t="s">
        <v>830</v>
      </c>
      <c r="F17" s="624" t="s">
        <v>831</v>
      </c>
      <c r="G17" s="2"/>
    </row>
    <row r="18">
      <c r="A18" s="625" t="s">
        <v>98</v>
      </c>
      <c r="B18" s="626" t="s">
        <v>409</v>
      </c>
      <c r="C18" s="626" t="s">
        <v>409</v>
      </c>
      <c r="D18" s="626" t="s">
        <v>409</v>
      </c>
      <c r="E18" s="626" t="s">
        <v>409</v>
      </c>
      <c r="F18" s="627" t="s">
        <v>409</v>
      </c>
      <c r="G18" s="2"/>
    </row>
    <row r="19">
      <c r="A19" s="629" t="s">
        <v>102</v>
      </c>
      <c r="B19" s="623" t="s">
        <v>832</v>
      </c>
      <c r="C19" s="623" t="s">
        <v>833</v>
      </c>
      <c r="D19" s="623" t="s">
        <v>834</v>
      </c>
      <c r="E19" s="623" t="s">
        <v>835</v>
      </c>
      <c r="F19" s="624" t="s">
        <v>836</v>
      </c>
      <c r="G19" s="2"/>
    </row>
    <row r="20">
      <c r="A20" s="628" t="s">
        <v>106</v>
      </c>
      <c r="B20" s="620" t="s">
        <v>809</v>
      </c>
      <c r="C20" s="620" t="s">
        <v>809</v>
      </c>
      <c r="D20" s="620" t="s">
        <v>809</v>
      </c>
      <c r="E20" s="620" t="s">
        <v>809</v>
      </c>
      <c r="F20" s="621" t="s">
        <v>809</v>
      </c>
      <c r="G20" s="2"/>
    </row>
    <row r="21">
      <c r="A21" s="616" t="s">
        <v>108</v>
      </c>
      <c r="B21" s="617" t="s">
        <v>809</v>
      </c>
      <c r="C21" s="617" t="s">
        <v>809</v>
      </c>
      <c r="D21" s="617" t="s">
        <v>809</v>
      </c>
      <c r="E21" s="617" t="s">
        <v>809</v>
      </c>
      <c r="F21" s="618" t="s">
        <v>809</v>
      </c>
      <c r="G21" s="2"/>
    </row>
    <row r="22">
      <c r="A22" s="619" t="s">
        <v>110</v>
      </c>
      <c r="B22" s="626" t="s">
        <v>400</v>
      </c>
      <c r="C22" s="626" t="s">
        <v>400</v>
      </c>
      <c r="D22" s="626" t="s">
        <v>400</v>
      </c>
      <c r="E22" s="626" t="s">
        <v>400</v>
      </c>
      <c r="F22" s="626" t="s">
        <v>400</v>
      </c>
      <c r="G22" s="2"/>
    </row>
    <row r="23">
      <c r="A23" s="616" t="s">
        <v>114</v>
      </c>
      <c r="B23" s="623" t="s">
        <v>837</v>
      </c>
      <c r="C23" s="623" t="s">
        <v>837</v>
      </c>
      <c r="D23" s="623" t="s">
        <v>837</v>
      </c>
      <c r="E23" s="623" t="s">
        <v>837</v>
      </c>
      <c r="F23" s="624" t="s">
        <v>837</v>
      </c>
      <c r="G23" s="2"/>
    </row>
    <row r="24">
      <c r="A24" s="619" t="s">
        <v>117</v>
      </c>
      <c r="B24" s="620" t="s">
        <v>838</v>
      </c>
      <c r="C24" s="620" t="s">
        <v>838</v>
      </c>
      <c r="D24" s="620" t="s">
        <v>838</v>
      </c>
      <c r="E24" s="620" t="s">
        <v>838</v>
      </c>
      <c r="F24" s="620" t="s">
        <v>838</v>
      </c>
      <c r="G24" s="2"/>
    </row>
    <row r="25">
      <c r="A25" s="630" t="s">
        <v>121</v>
      </c>
      <c r="B25" s="617" t="s">
        <v>809</v>
      </c>
      <c r="C25" s="617" t="s">
        <v>809</v>
      </c>
      <c r="D25" s="617" t="s">
        <v>809</v>
      </c>
      <c r="E25" s="617" t="s">
        <v>809</v>
      </c>
      <c r="F25" s="618" t="s">
        <v>809</v>
      </c>
      <c r="G25" s="2"/>
    </row>
    <row r="26">
      <c r="A26" s="625" t="s">
        <v>123</v>
      </c>
      <c r="B26" s="620" t="s">
        <v>809</v>
      </c>
      <c r="C26" s="620" t="s">
        <v>809</v>
      </c>
      <c r="D26" s="620" t="s">
        <v>809</v>
      </c>
      <c r="E26" s="620" t="s">
        <v>809</v>
      </c>
      <c r="F26" s="621" t="s">
        <v>809</v>
      </c>
      <c r="G26" s="2"/>
    </row>
    <row r="27">
      <c r="A27" s="629" t="s">
        <v>125</v>
      </c>
      <c r="B27" s="623" t="s">
        <v>839</v>
      </c>
      <c r="C27" s="623" t="s">
        <v>840</v>
      </c>
      <c r="D27" s="623" t="s">
        <v>841</v>
      </c>
      <c r="E27" s="623" t="s">
        <v>842</v>
      </c>
      <c r="F27" s="624" t="s">
        <v>843</v>
      </c>
      <c r="G27" s="2"/>
    </row>
    <row r="28">
      <c r="A28" s="619" t="s">
        <v>127</v>
      </c>
      <c r="B28" s="620" t="s">
        <v>809</v>
      </c>
      <c r="C28" s="620" t="s">
        <v>809</v>
      </c>
      <c r="D28" s="620" t="s">
        <v>809</v>
      </c>
      <c r="E28" s="620" t="s">
        <v>809</v>
      </c>
      <c r="F28" s="621" t="s">
        <v>809</v>
      </c>
      <c r="G28" s="2"/>
    </row>
    <row r="29">
      <c r="A29" s="630" t="s">
        <v>129</v>
      </c>
      <c r="B29" s="617" t="s">
        <v>844</v>
      </c>
      <c r="C29" s="617" t="s">
        <v>845</v>
      </c>
      <c r="D29" s="617" t="s">
        <v>846</v>
      </c>
      <c r="E29" s="617" t="s">
        <v>847</v>
      </c>
      <c r="F29" s="618" t="s">
        <v>848</v>
      </c>
      <c r="G29" s="2"/>
    </row>
    <row r="30">
      <c r="A30" s="625" t="s">
        <v>131</v>
      </c>
      <c r="B30" s="626" t="s">
        <v>837</v>
      </c>
      <c r="C30" s="626" t="s">
        <v>837</v>
      </c>
      <c r="D30" s="626" t="s">
        <v>837</v>
      </c>
      <c r="E30" s="626" t="s">
        <v>837</v>
      </c>
      <c r="F30" s="627" t="s">
        <v>837</v>
      </c>
      <c r="G30" s="2"/>
    </row>
    <row r="31">
      <c r="A31" s="629" t="s">
        <v>133</v>
      </c>
      <c r="B31" s="623" t="s">
        <v>849</v>
      </c>
      <c r="C31" s="623" t="s">
        <v>850</v>
      </c>
      <c r="D31" s="623" t="s">
        <v>851</v>
      </c>
      <c r="E31" s="623" t="s">
        <v>852</v>
      </c>
      <c r="F31" s="624" t="s">
        <v>853</v>
      </c>
      <c r="G31" s="2"/>
    </row>
    <row r="32">
      <c r="A32" s="619" t="s">
        <v>135</v>
      </c>
      <c r="B32" s="620" t="s">
        <v>809</v>
      </c>
      <c r="C32" s="620" t="s">
        <v>809</v>
      </c>
      <c r="D32" s="620" t="s">
        <v>809</v>
      </c>
      <c r="E32" s="620" t="s">
        <v>809</v>
      </c>
      <c r="F32" s="621" t="s">
        <v>809</v>
      </c>
      <c r="G32" s="2"/>
    </row>
    <row r="33">
      <c r="A33" s="630" t="s">
        <v>136</v>
      </c>
      <c r="B33" s="623" t="s">
        <v>854</v>
      </c>
      <c r="C33" s="623" t="s">
        <v>855</v>
      </c>
      <c r="D33" s="623" t="s">
        <v>856</v>
      </c>
      <c r="E33" s="623" t="s">
        <v>857</v>
      </c>
      <c r="F33" s="624" t="s">
        <v>858</v>
      </c>
      <c r="G33" s="2"/>
    </row>
    <row r="34">
      <c r="A34" s="625" t="s">
        <v>137</v>
      </c>
      <c r="B34" s="626" t="s">
        <v>826</v>
      </c>
      <c r="C34" s="626" t="s">
        <v>826</v>
      </c>
      <c r="D34" s="626" t="s">
        <v>826</v>
      </c>
      <c r="E34" s="626" t="s">
        <v>826</v>
      </c>
      <c r="F34" s="626" t="s">
        <v>826</v>
      </c>
      <c r="G34" s="2"/>
    </row>
    <row r="35">
      <c r="A35" s="629" t="s">
        <v>138</v>
      </c>
      <c r="B35" s="623" t="s">
        <v>859</v>
      </c>
      <c r="C35" s="623" t="s">
        <v>860</v>
      </c>
      <c r="D35" s="623" t="s">
        <v>861</v>
      </c>
      <c r="E35" s="623" t="s">
        <v>862</v>
      </c>
      <c r="F35" s="624" t="s">
        <v>863</v>
      </c>
      <c r="G35" s="2"/>
    </row>
    <row r="36">
      <c r="A36" s="619" t="s">
        <v>139</v>
      </c>
      <c r="B36" s="626" t="s">
        <v>864</v>
      </c>
      <c r="C36" s="626" t="s">
        <v>865</v>
      </c>
      <c r="D36" s="626" t="s">
        <v>866</v>
      </c>
      <c r="E36" s="626" t="s">
        <v>867</v>
      </c>
      <c r="F36" s="627" t="s">
        <v>868</v>
      </c>
      <c r="G36" s="2"/>
    </row>
    <row r="37">
      <c r="A37" s="629" t="s">
        <v>140</v>
      </c>
      <c r="B37" s="623" t="s">
        <v>869</v>
      </c>
      <c r="C37" s="623" t="s">
        <v>819</v>
      </c>
      <c r="D37" s="623" t="s">
        <v>816</v>
      </c>
      <c r="E37" s="623" t="s">
        <v>813</v>
      </c>
      <c r="F37" s="624" t="s">
        <v>832</v>
      </c>
      <c r="G37" s="2"/>
    </row>
    <row r="38">
      <c r="A38" s="631" t="s">
        <v>428</v>
      </c>
      <c r="B38" s="620" t="s">
        <v>870</v>
      </c>
      <c r="C38" s="620" t="s">
        <v>870</v>
      </c>
      <c r="D38" s="620" t="s">
        <v>870</v>
      </c>
      <c r="E38" s="620" t="s">
        <v>870</v>
      </c>
      <c r="F38" s="621" t="s">
        <v>870</v>
      </c>
      <c r="G38" s="2"/>
    </row>
    <row r="39">
      <c r="A39" s="622" t="s">
        <v>142</v>
      </c>
      <c r="B39" s="623" t="s">
        <v>400</v>
      </c>
      <c r="C39" s="623" t="s">
        <v>400</v>
      </c>
      <c r="D39" s="623" t="s">
        <v>400</v>
      </c>
      <c r="E39" s="623" t="s">
        <v>400</v>
      </c>
      <c r="F39" s="623" t="s">
        <v>400</v>
      </c>
      <c r="G39" s="2"/>
    </row>
    <row r="40">
      <c r="A40" s="625" t="s">
        <v>143</v>
      </c>
      <c r="B40" s="626" t="s">
        <v>871</v>
      </c>
      <c r="C40" s="626" t="s">
        <v>871</v>
      </c>
      <c r="D40" s="626" t="s">
        <v>871</v>
      </c>
      <c r="E40" s="626" t="s">
        <v>871</v>
      </c>
      <c r="F40" s="626" t="s">
        <v>871</v>
      </c>
      <c r="G40" s="2"/>
    </row>
    <row r="41">
      <c r="A41" s="629" t="s">
        <v>144</v>
      </c>
      <c r="B41" s="623" t="s">
        <v>872</v>
      </c>
      <c r="C41" s="623" t="s">
        <v>873</v>
      </c>
      <c r="D41" s="623" t="s">
        <v>874</v>
      </c>
      <c r="E41" s="623" t="s">
        <v>875</v>
      </c>
      <c r="F41" s="624" t="s">
        <v>876</v>
      </c>
      <c r="G41" s="2"/>
    </row>
    <row r="42">
      <c r="A42" s="619" t="s">
        <v>145</v>
      </c>
      <c r="B42" s="626" t="s">
        <v>400</v>
      </c>
      <c r="C42" s="626" t="s">
        <v>400</v>
      </c>
      <c r="D42" s="626" t="s">
        <v>400</v>
      </c>
      <c r="E42" s="626" t="s">
        <v>400</v>
      </c>
      <c r="F42" s="626" t="s">
        <v>400</v>
      </c>
      <c r="G42" s="2"/>
    </row>
    <row r="43">
      <c r="A43" s="630" t="s">
        <v>146</v>
      </c>
      <c r="B43" s="623" t="s">
        <v>877</v>
      </c>
      <c r="C43" s="623" t="s">
        <v>878</v>
      </c>
      <c r="D43" s="623" t="s">
        <v>879</v>
      </c>
      <c r="E43" s="623" t="s">
        <v>880</v>
      </c>
      <c r="F43" s="624" t="s">
        <v>818</v>
      </c>
      <c r="G43" s="2"/>
    </row>
    <row r="44">
      <c r="A44" s="628" t="s">
        <v>147</v>
      </c>
      <c r="B44" s="626" t="s">
        <v>881</v>
      </c>
      <c r="C44" s="626" t="s">
        <v>882</v>
      </c>
      <c r="D44" s="626" t="s">
        <v>883</v>
      </c>
      <c r="E44" s="626" t="s">
        <v>878</v>
      </c>
      <c r="F44" s="627" t="s">
        <v>884</v>
      </c>
      <c r="G44" s="2"/>
    </row>
    <row r="45">
      <c r="A45" s="616" t="s">
        <v>148</v>
      </c>
      <c r="B45" s="617" t="s">
        <v>870</v>
      </c>
      <c r="C45" s="617" t="s">
        <v>870</v>
      </c>
      <c r="D45" s="617" t="s">
        <v>870</v>
      </c>
      <c r="E45" s="617" t="s">
        <v>870</v>
      </c>
      <c r="F45" s="618" t="s">
        <v>870</v>
      </c>
      <c r="G45" s="2"/>
    </row>
    <row r="46">
      <c r="A46" s="625" t="s">
        <v>149</v>
      </c>
      <c r="B46" s="620" t="s">
        <v>809</v>
      </c>
      <c r="C46" s="620" t="s">
        <v>809</v>
      </c>
      <c r="D46" s="620" t="s">
        <v>809</v>
      </c>
      <c r="E46" s="620" t="s">
        <v>809</v>
      </c>
      <c r="F46" s="621" t="s">
        <v>809</v>
      </c>
      <c r="G46" s="2"/>
    </row>
    <row r="47">
      <c r="A47" s="629" t="s">
        <v>150</v>
      </c>
      <c r="B47" s="623" t="s">
        <v>409</v>
      </c>
      <c r="C47" s="623" t="s">
        <v>409</v>
      </c>
      <c r="D47" s="623" t="s">
        <v>409</v>
      </c>
      <c r="E47" s="623" t="s">
        <v>409</v>
      </c>
      <c r="F47" s="624" t="s">
        <v>409</v>
      </c>
      <c r="G47" s="2"/>
    </row>
    <row r="48">
      <c r="A48" s="631" t="s">
        <v>151</v>
      </c>
      <c r="B48" s="626" t="s">
        <v>885</v>
      </c>
      <c r="C48" s="626" t="s">
        <v>839</v>
      </c>
      <c r="D48" s="626" t="s">
        <v>880</v>
      </c>
      <c r="E48" s="626" t="s">
        <v>886</v>
      </c>
      <c r="F48" s="627" t="s">
        <v>887</v>
      </c>
      <c r="G48" s="2"/>
    </row>
    <row r="49">
      <c r="A49" s="616" t="s">
        <v>152</v>
      </c>
      <c r="B49" s="617" t="s">
        <v>810</v>
      </c>
      <c r="C49" s="617" t="s">
        <v>810</v>
      </c>
      <c r="D49" s="617" t="s">
        <v>810</v>
      </c>
      <c r="E49" s="617" t="s">
        <v>810</v>
      </c>
      <c r="F49" s="618" t="s">
        <v>810</v>
      </c>
      <c r="G49" s="2"/>
    </row>
    <row r="50">
      <c r="A50" s="625" t="s">
        <v>153</v>
      </c>
      <c r="B50" s="626" t="s">
        <v>809</v>
      </c>
      <c r="C50" s="626" t="s">
        <v>409</v>
      </c>
      <c r="D50" s="626" t="s">
        <v>837</v>
      </c>
      <c r="E50" s="626" t="s">
        <v>837</v>
      </c>
      <c r="F50" s="627" t="s">
        <v>888</v>
      </c>
      <c r="G50" s="2"/>
    </row>
    <row r="51">
      <c r="A51" s="629" t="s">
        <v>154</v>
      </c>
      <c r="B51" s="623" t="s">
        <v>875</v>
      </c>
      <c r="C51" s="623" t="s">
        <v>889</v>
      </c>
      <c r="D51" s="623" t="s">
        <v>890</v>
      </c>
      <c r="E51" s="623" t="s">
        <v>874</v>
      </c>
      <c r="F51" s="624" t="s">
        <v>891</v>
      </c>
      <c r="G51" s="2"/>
    </row>
    <row r="52">
      <c r="A52" s="619" t="s">
        <v>155</v>
      </c>
      <c r="B52" s="620" t="s">
        <v>809</v>
      </c>
      <c r="C52" s="620" t="s">
        <v>809</v>
      </c>
      <c r="D52" s="620" t="s">
        <v>809</v>
      </c>
      <c r="E52" s="620" t="s">
        <v>809</v>
      </c>
      <c r="F52" s="621" t="s">
        <v>809</v>
      </c>
      <c r="G52" s="2"/>
    </row>
    <row r="53">
      <c r="A53" s="616" t="s">
        <v>156</v>
      </c>
      <c r="B53" s="623" t="s">
        <v>826</v>
      </c>
      <c r="C53" s="623" t="s">
        <v>826</v>
      </c>
      <c r="D53" s="623" t="s">
        <v>826</v>
      </c>
      <c r="E53" s="623" t="s">
        <v>826</v>
      </c>
      <c r="F53" s="624" t="s">
        <v>826</v>
      </c>
      <c r="G53" s="2"/>
    </row>
    <row r="54">
      <c r="A54" s="631" t="s">
        <v>157</v>
      </c>
      <c r="B54" s="626" t="s">
        <v>892</v>
      </c>
      <c r="C54" s="626" t="s">
        <v>892</v>
      </c>
      <c r="D54" s="626" t="s">
        <v>892</v>
      </c>
      <c r="E54" s="626" t="s">
        <v>892</v>
      </c>
      <c r="F54" s="627" t="s">
        <v>892</v>
      </c>
      <c r="G54" s="2"/>
    </row>
    <row r="55">
      <c r="A55" s="630" t="s">
        <v>158</v>
      </c>
      <c r="B55" s="623" t="s">
        <v>893</v>
      </c>
      <c r="C55" s="623" t="s">
        <v>894</v>
      </c>
      <c r="D55" s="623" t="s">
        <v>895</v>
      </c>
      <c r="E55" s="623" t="s">
        <v>896</v>
      </c>
      <c r="F55" s="624" t="s">
        <v>897</v>
      </c>
      <c r="G55" s="2"/>
    </row>
    <row r="56">
      <c r="A56" s="619" t="s">
        <v>159</v>
      </c>
      <c r="B56" s="620" t="s">
        <v>870</v>
      </c>
      <c r="C56" s="620" t="s">
        <v>870</v>
      </c>
      <c r="D56" s="620" t="s">
        <v>870</v>
      </c>
      <c r="E56" s="620" t="s">
        <v>870</v>
      </c>
      <c r="F56" s="621" t="s">
        <v>870</v>
      </c>
      <c r="G56" s="2"/>
    </row>
    <row r="57">
      <c r="A57" s="622" t="s">
        <v>160</v>
      </c>
      <c r="B57" s="617" t="s">
        <v>809</v>
      </c>
      <c r="C57" s="617" t="s">
        <v>809</v>
      </c>
      <c r="D57" s="617" t="s">
        <v>809</v>
      </c>
      <c r="E57" s="617" t="s">
        <v>809</v>
      </c>
      <c r="F57" s="618" t="s">
        <v>809</v>
      </c>
      <c r="G57" s="2"/>
    </row>
    <row r="58">
      <c r="A58" s="625" t="s">
        <v>161</v>
      </c>
      <c r="B58" s="620" t="s">
        <v>809</v>
      </c>
      <c r="C58" s="620" t="s">
        <v>809</v>
      </c>
      <c r="D58" s="620" t="s">
        <v>809</v>
      </c>
      <c r="E58" s="620" t="s">
        <v>809</v>
      </c>
      <c r="F58" s="621" t="s">
        <v>809</v>
      </c>
      <c r="G58" s="2"/>
    </row>
    <row r="59">
      <c r="A59" s="629" t="s">
        <v>162</v>
      </c>
      <c r="B59" s="617" t="s">
        <v>870</v>
      </c>
      <c r="C59" s="617" t="s">
        <v>870</v>
      </c>
      <c r="D59" s="617" t="s">
        <v>870</v>
      </c>
      <c r="E59" s="617" t="s">
        <v>870</v>
      </c>
      <c r="F59" s="618" t="s">
        <v>870</v>
      </c>
      <c r="G59" s="2"/>
    </row>
    <row r="60">
      <c r="A60" s="628" t="s">
        <v>163</v>
      </c>
      <c r="B60" s="626" t="s">
        <v>898</v>
      </c>
      <c r="C60" s="626" t="s">
        <v>899</v>
      </c>
      <c r="D60" s="626" t="s">
        <v>900</v>
      </c>
      <c r="E60" s="626" t="s">
        <v>901</v>
      </c>
      <c r="F60" s="627" t="s">
        <v>902</v>
      </c>
      <c r="G60" s="2"/>
    </row>
    <row r="61">
      <c r="A61" s="616" t="s">
        <v>164</v>
      </c>
      <c r="B61" s="617" t="s">
        <v>810</v>
      </c>
      <c r="C61" s="617" t="s">
        <v>810</v>
      </c>
      <c r="D61" s="617" t="s">
        <v>810</v>
      </c>
      <c r="E61" s="617" t="s">
        <v>810</v>
      </c>
      <c r="F61" s="618" t="s">
        <v>810</v>
      </c>
      <c r="G61" s="2"/>
    </row>
    <row r="62">
      <c r="A62" s="625" t="s">
        <v>165</v>
      </c>
      <c r="B62" s="626" t="s">
        <v>837</v>
      </c>
      <c r="C62" s="626" t="s">
        <v>837</v>
      </c>
      <c r="D62" s="626" t="s">
        <v>837</v>
      </c>
      <c r="E62" s="626" t="s">
        <v>837</v>
      </c>
      <c r="F62" s="627" t="s">
        <v>837</v>
      </c>
      <c r="G62" s="2"/>
    </row>
    <row r="63">
      <c r="A63" s="622" t="s">
        <v>166</v>
      </c>
      <c r="B63" s="617" t="s">
        <v>810</v>
      </c>
      <c r="C63" s="617" t="s">
        <v>810</v>
      </c>
      <c r="D63" s="617" t="s">
        <v>810</v>
      </c>
      <c r="E63" s="617" t="s">
        <v>810</v>
      </c>
      <c r="F63" s="618" t="s">
        <v>810</v>
      </c>
      <c r="G63" s="2"/>
    </row>
    <row r="64">
      <c r="A64" s="628" t="s">
        <v>167</v>
      </c>
      <c r="B64" s="626" t="s">
        <v>903</v>
      </c>
      <c r="C64" s="626" t="s">
        <v>904</v>
      </c>
      <c r="D64" s="626" t="s">
        <v>905</v>
      </c>
      <c r="E64" s="626" t="s">
        <v>906</v>
      </c>
      <c r="F64" s="627" t="s">
        <v>881</v>
      </c>
      <c r="G64" s="2"/>
    </row>
    <row r="65">
      <c r="A65" s="616" t="s">
        <v>173</v>
      </c>
      <c r="B65" s="617" t="s">
        <v>809</v>
      </c>
      <c r="C65" s="617" t="s">
        <v>809</v>
      </c>
      <c r="D65" s="617" t="s">
        <v>809</v>
      </c>
      <c r="E65" s="617" t="s">
        <v>809</v>
      </c>
      <c r="F65" s="618" t="s">
        <v>809</v>
      </c>
      <c r="G65" s="2"/>
    </row>
    <row r="66">
      <c r="A66" s="631" t="s">
        <v>175</v>
      </c>
      <c r="B66" s="626" t="s">
        <v>907</v>
      </c>
      <c r="C66" s="626" t="s">
        <v>908</v>
      </c>
      <c r="D66" s="626" t="s">
        <v>909</v>
      </c>
      <c r="E66" s="626" t="s">
        <v>854</v>
      </c>
      <c r="F66" s="627" t="s">
        <v>910</v>
      </c>
      <c r="G66" s="2"/>
    </row>
    <row r="67">
      <c r="A67" s="629" t="s">
        <v>177</v>
      </c>
      <c r="B67" s="623" t="s">
        <v>911</v>
      </c>
      <c r="C67" s="623" t="s">
        <v>849</v>
      </c>
      <c r="D67" s="623" t="s">
        <v>912</v>
      </c>
      <c r="E67" s="623" t="s">
        <v>856</v>
      </c>
      <c r="F67" s="624" t="s">
        <v>913</v>
      </c>
      <c r="G67" s="2"/>
    </row>
    <row r="68">
      <c r="A68" s="631" t="s">
        <v>179</v>
      </c>
      <c r="B68" s="626" t="s">
        <v>914</v>
      </c>
      <c r="C68" s="626" t="s">
        <v>915</v>
      </c>
      <c r="D68" s="626" t="s">
        <v>916</v>
      </c>
      <c r="E68" s="626" t="s">
        <v>917</v>
      </c>
      <c r="F68" s="627" t="s">
        <v>918</v>
      </c>
      <c r="G68" s="2"/>
    </row>
    <row r="69">
      <c r="A69" s="616" t="s">
        <v>181</v>
      </c>
      <c r="B69" s="617" t="s">
        <v>409</v>
      </c>
      <c r="C69" s="617" t="s">
        <v>409</v>
      </c>
      <c r="D69" s="617" t="s">
        <v>409</v>
      </c>
      <c r="E69" s="617" t="s">
        <v>409</v>
      </c>
      <c r="F69" s="618" t="s">
        <v>409</v>
      </c>
      <c r="G69" s="2"/>
    </row>
    <row r="70">
      <c r="A70" s="619" t="s">
        <v>183</v>
      </c>
      <c r="B70" s="620" t="s">
        <v>870</v>
      </c>
      <c r="C70" s="620" t="s">
        <v>870</v>
      </c>
      <c r="D70" s="620" t="s">
        <v>870</v>
      </c>
      <c r="E70" s="620" t="s">
        <v>870</v>
      </c>
      <c r="F70" s="621" t="s">
        <v>870</v>
      </c>
      <c r="G70" s="2"/>
    </row>
    <row r="71">
      <c r="A71" s="616" t="s">
        <v>186</v>
      </c>
      <c r="B71" s="617" t="s">
        <v>870</v>
      </c>
      <c r="C71" s="617" t="s">
        <v>870</v>
      </c>
      <c r="D71" s="617" t="s">
        <v>870</v>
      </c>
      <c r="E71" s="617" t="s">
        <v>870</v>
      </c>
      <c r="F71" s="618" t="s">
        <v>870</v>
      </c>
      <c r="G71" s="2"/>
    </row>
    <row r="72">
      <c r="A72" s="619" t="s">
        <v>189</v>
      </c>
      <c r="B72" s="620" t="s">
        <v>919</v>
      </c>
      <c r="C72" s="620" t="s">
        <v>919</v>
      </c>
      <c r="D72" s="620" t="s">
        <v>919</v>
      </c>
      <c r="E72" s="620" t="s">
        <v>919</v>
      </c>
      <c r="F72" s="621" t="s">
        <v>919</v>
      </c>
      <c r="G72" s="2"/>
    </row>
    <row r="73">
      <c r="A73" s="632" t="s">
        <v>191</v>
      </c>
      <c r="B73" s="617" t="s">
        <v>809</v>
      </c>
      <c r="C73" s="617" t="s">
        <v>809</v>
      </c>
      <c r="D73" s="617" t="s">
        <v>809</v>
      </c>
      <c r="E73" s="617" t="s">
        <v>809</v>
      </c>
      <c r="F73" s="618" t="s">
        <v>809</v>
      </c>
      <c r="G73" s="2"/>
    </row>
    <row r="74">
      <c r="A74" s="625" t="s">
        <v>193</v>
      </c>
      <c r="B74" s="620" t="s">
        <v>809</v>
      </c>
      <c r="C74" s="620" t="s">
        <v>809</v>
      </c>
      <c r="D74" s="620" t="s">
        <v>809</v>
      </c>
      <c r="E74" s="620" t="s">
        <v>809</v>
      </c>
      <c r="F74" s="621" t="s">
        <v>809</v>
      </c>
      <c r="G74" s="2"/>
    </row>
    <row r="75">
      <c r="A75" s="629" t="s">
        <v>195</v>
      </c>
      <c r="B75" s="617" t="s">
        <v>870</v>
      </c>
      <c r="C75" s="617" t="s">
        <v>870</v>
      </c>
      <c r="D75" s="617" t="s">
        <v>870</v>
      </c>
      <c r="E75" s="617" t="s">
        <v>870</v>
      </c>
      <c r="F75" s="618" t="s">
        <v>870</v>
      </c>
      <c r="G75" s="2"/>
    </row>
    <row r="76">
      <c r="A76" s="628" t="s">
        <v>197</v>
      </c>
      <c r="B76" s="626" t="s">
        <v>920</v>
      </c>
      <c r="C76" s="626" t="s">
        <v>921</v>
      </c>
      <c r="D76" s="626" t="s">
        <v>885</v>
      </c>
      <c r="E76" s="626" t="s">
        <v>922</v>
      </c>
      <c r="F76" s="627" t="s">
        <v>857</v>
      </c>
      <c r="G76" s="2"/>
    </row>
    <row r="77">
      <c r="A77" s="630" t="s">
        <v>466</v>
      </c>
      <c r="B77" s="623" t="s">
        <v>871</v>
      </c>
      <c r="C77" s="623" t="s">
        <v>871</v>
      </c>
      <c r="D77" s="623" t="s">
        <v>871</v>
      </c>
      <c r="E77" s="623" t="s">
        <v>871</v>
      </c>
      <c r="F77" s="624" t="s">
        <v>871</v>
      </c>
      <c r="G77" s="2"/>
    </row>
    <row r="78">
      <c r="A78" s="619" t="s">
        <v>203</v>
      </c>
      <c r="B78" s="626" t="s">
        <v>826</v>
      </c>
      <c r="C78" s="626" t="s">
        <v>826</v>
      </c>
      <c r="D78" s="626" t="s">
        <v>826</v>
      </c>
      <c r="E78" s="626" t="s">
        <v>826</v>
      </c>
      <c r="F78" s="627" t="s">
        <v>826</v>
      </c>
      <c r="G78" s="2"/>
    </row>
    <row r="79">
      <c r="A79" s="622" t="s">
        <v>201</v>
      </c>
      <c r="B79" s="623" t="s">
        <v>380</v>
      </c>
      <c r="C79" s="623" t="s">
        <v>380</v>
      </c>
      <c r="D79" s="623" t="s">
        <v>380</v>
      </c>
      <c r="E79" s="623" t="s">
        <v>380</v>
      </c>
      <c r="F79" s="624" t="s">
        <v>380</v>
      </c>
      <c r="G79" s="2"/>
    </row>
    <row r="80">
      <c r="A80" s="628" t="s">
        <v>205</v>
      </c>
      <c r="B80" s="626" t="s">
        <v>879</v>
      </c>
      <c r="C80" s="626" t="s">
        <v>854</v>
      </c>
      <c r="D80" s="626" t="s">
        <v>923</v>
      </c>
      <c r="E80" s="626" t="s">
        <v>881</v>
      </c>
      <c r="F80" s="627" t="s">
        <v>834</v>
      </c>
      <c r="G80" s="2"/>
    </row>
    <row r="81">
      <c r="A81" s="630" t="s">
        <v>207</v>
      </c>
      <c r="B81" s="623" t="s">
        <v>878</v>
      </c>
      <c r="C81" s="623" t="s">
        <v>815</v>
      </c>
      <c r="D81" s="623" t="s">
        <v>907</v>
      </c>
      <c r="E81" s="623" t="s">
        <v>812</v>
      </c>
      <c r="F81" s="624" t="s">
        <v>909</v>
      </c>
      <c r="G81" s="2"/>
    </row>
    <row r="82">
      <c r="A82" s="628" t="s">
        <v>209</v>
      </c>
      <c r="B82" s="626" t="s">
        <v>822</v>
      </c>
      <c r="C82" s="626" t="s">
        <v>924</v>
      </c>
      <c r="D82" s="626" t="s">
        <v>875</v>
      </c>
      <c r="E82" s="626" t="s">
        <v>925</v>
      </c>
      <c r="F82" s="627" t="s">
        <v>926</v>
      </c>
      <c r="G82" s="2"/>
    </row>
    <row r="83">
      <c r="A83" s="616" t="s">
        <v>211</v>
      </c>
      <c r="B83" s="633" t="s">
        <v>409</v>
      </c>
      <c r="C83" s="633" t="s">
        <v>409</v>
      </c>
      <c r="D83" s="633" t="s">
        <v>409</v>
      </c>
      <c r="E83" s="633" t="s">
        <v>409</v>
      </c>
      <c r="F83" s="634" t="s">
        <v>409</v>
      </c>
      <c r="G83" s="2"/>
    </row>
    <row r="84">
      <c r="A84" s="619" t="s">
        <v>213</v>
      </c>
      <c r="B84" s="620" t="s">
        <v>809</v>
      </c>
      <c r="C84" s="620" t="s">
        <v>809</v>
      </c>
      <c r="D84" s="620" t="s">
        <v>809</v>
      </c>
      <c r="E84" s="620" t="s">
        <v>809</v>
      </c>
      <c r="F84" s="621" t="s">
        <v>809</v>
      </c>
      <c r="G84" s="2"/>
    </row>
    <row r="85">
      <c r="A85" s="630" t="s">
        <v>215</v>
      </c>
      <c r="B85" s="617" t="s">
        <v>870</v>
      </c>
      <c r="C85" s="617" t="s">
        <v>870</v>
      </c>
      <c r="D85" s="617" t="s">
        <v>870</v>
      </c>
      <c r="E85" s="617" t="s">
        <v>870</v>
      </c>
      <c r="F85" s="618" t="s">
        <v>870</v>
      </c>
      <c r="G85" s="2"/>
    </row>
    <row r="86">
      <c r="A86" s="628" t="s">
        <v>224</v>
      </c>
      <c r="B86" s="626" t="s">
        <v>927</v>
      </c>
      <c r="C86" s="626" t="s">
        <v>811</v>
      </c>
      <c r="D86" s="626" t="s">
        <v>877</v>
      </c>
      <c r="E86" s="626" t="s">
        <v>836</v>
      </c>
      <c r="F86" s="627" t="s">
        <v>908</v>
      </c>
      <c r="G86" s="2"/>
    </row>
    <row r="87">
      <c r="A87" s="630" t="s">
        <v>225</v>
      </c>
      <c r="B87" s="617" t="s">
        <v>870</v>
      </c>
      <c r="C87" s="617" t="s">
        <v>870</v>
      </c>
      <c r="D87" s="617" t="s">
        <v>870</v>
      </c>
      <c r="E87" s="617" t="s">
        <v>870</v>
      </c>
      <c r="F87" s="618" t="s">
        <v>870</v>
      </c>
      <c r="G87" s="2"/>
    </row>
    <row r="88">
      <c r="A88" s="635" t="s">
        <v>226</v>
      </c>
      <c r="B88" s="636" t="s">
        <v>810</v>
      </c>
      <c r="C88" s="636" t="s">
        <v>810</v>
      </c>
      <c r="D88" s="636" t="s">
        <v>810</v>
      </c>
      <c r="E88" s="636" t="s">
        <v>810</v>
      </c>
      <c r="F88" s="637" t="s">
        <v>810</v>
      </c>
      <c r="G88" s="2"/>
    </row>
    <row r="89">
      <c r="A89" s="638" t="s">
        <v>235</v>
      </c>
      <c r="B89" s="617" t="s">
        <v>809</v>
      </c>
      <c r="C89" s="617" t="s">
        <v>809</v>
      </c>
      <c r="D89" s="617" t="s">
        <v>809</v>
      </c>
      <c r="E89" s="617" t="s">
        <v>809</v>
      </c>
      <c r="F89" s="618" t="s">
        <v>809</v>
      </c>
      <c r="G89" s="2"/>
    </row>
    <row r="90">
      <c r="A90" s="639" t="s">
        <v>236</v>
      </c>
      <c r="B90" s="640" t="s">
        <v>928</v>
      </c>
      <c r="C90" s="640" t="s">
        <v>874</v>
      </c>
      <c r="D90" s="640" t="s">
        <v>929</v>
      </c>
      <c r="E90" s="640" t="s">
        <v>930</v>
      </c>
      <c r="F90" s="641" t="s">
        <v>931</v>
      </c>
      <c r="G90" s="2"/>
    </row>
    <row r="91">
      <c r="A91" s="642" t="s">
        <v>237</v>
      </c>
      <c r="B91" s="643" t="s">
        <v>826</v>
      </c>
      <c r="C91" s="643" t="s">
        <v>826</v>
      </c>
      <c r="D91" s="643" t="s">
        <v>826</v>
      </c>
      <c r="E91" s="643" t="s">
        <v>826</v>
      </c>
      <c r="F91" s="644" t="s">
        <v>826</v>
      </c>
      <c r="G91" s="2"/>
    </row>
    <row r="92">
      <c r="A92" s="639" t="s">
        <v>238</v>
      </c>
      <c r="B92" s="640" t="s">
        <v>932</v>
      </c>
      <c r="C92" s="640" t="s">
        <v>932</v>
      </c>
      <c r="D92" s="640" t="s">
        <v>932</v>
      </c>
      <c r="E92" s="640" t="s">
        <v>932</v>
      </c>
      <c r="F92" s="640" t="s">
        <v>932</v>
      </c>
      <c r="G92" s="2"/>
    </row>
    <row r="93">
      <c r="A93" s="645" t="s">
        <v>247</v>
      </c>
      <c r="B93" s="646" t="s">
        <v>870</v>
      </c>
      <c r="C93" s="646" t="s">
        <v>870</v>
      </c>
      <c r="D93" s="646" t="s">
        <v>870</v>
      </c>
      <c r="E93" s="646" t="s">
        <v>870</v>
      </c>
      <c r="F93" s="647" t="s">
        <v>870</v>
      </c>
      <c r="G93" s="2"/>
    </row>
    <row r="94">
      <c r="A94" s="648"/>
      <c r="B94" s="648"/>
      <c r="C94" s="648"/>
      <c r="D94" s="648"/>
      <c r="E94" s="648"/>
      <c r="F94" s="648"/>
      <c r="G94" s="2"/>
    </row>
  </sheetData>
  <autoFilter ref="$A$1:$F$93">
    <sortState ref="A1:F93">
      <sortCondition ref="A1:A93"/>
    </sortState>
  </autoFil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86"/>
  </cols>
  <sheetData>
    <row r="1">
      <c r="A1" s="318" t="s">
        <v>119</v>
      </c>
      <c r="B1" s="103"/>
      <c r="C1" s="103"/>
      <c r="D1" s="103"/>
      <c r="E1" s="103"/>
      <c r="F1" s="103"/>
      <c r="G1" s="187"/>
      <c r="H1" s="318" t="s">
        <v>933</v>
      </c>
      <c r="I1" s="103"/>
      <c r="J1" s="103"/>
      <c r="K1" s="103"/>
      <c r="L1" s="103"/>
      <c r="M1" s="103"/>
      <c r="N1" s="103"/>
      <c r="O1" s="187"/>
    </row>
    <row r="2">
      <c r="A2" s="649" t="s">
        <v>934</v>
      </c>
      <c r="B2" s="650">
        <v>20.0</v>
      </c>
      <c r="C2" s="318" t="s">
        <v>935</v>
      </c>
      <c r="D2" s="187"/>
      <c r="E2" s="651">
        <v>0.0</v>
      </c>
      <c r="F2" s="649" t="s">
        <v>600</v>
      </c>
      <c r="G2" s="189">
        <v>0.0</v>
      </c>
      <c r="H2" s="652" t="s">
        <v>2</v>
      </c>
      <c r="I2" s="653">
        <v>45.0</v>
      </c>
      <c r="J2" s="654" t="s">
        <v>936</v>
      </c>
      <c r="K2" s="655">
        <v>26836.0</v>
      </c>
      <c r="L2" s="656" t="s">
        <v>544</v>
      </c>
      <c r="M2" s="657">
        <v>50.0</v>
      </c>
      <c r="N2" s="658" t="s">
        <v>5</v>
      </c>
      <c r="O2" s="659">
        <f>minus(Range!G73,K2)</f>
        <v>119414</v>
      </c>
    </row>
    <row r="3">
      <c r="A3" s="660" t="s">
        <v>937</v>
      </c>
      <c r="B3" s="661" t="s">
        <v>604</v>
      </c>
      <c r="C3" s="662" t="s">
        <v>938</v>
      </c>
      <c r="D3" s="662" t="s">
        <v>939</v>
      </c>
      <c r="E3" s="662" t="s">
        <v>609</v>
      </c>
      <c r="F3" s="663" t="s">
        <v>278</v>
      </c>
      <c r="G3" s="664" t="s">
        <v>607</v>
      </c>
      <c r="H3" s="665" t="s">
        <v>940</v>
      </c>
      <c r="I3" s="666"/>
      <c r="J3" s="667" t="s">
        <v>941</v>
      </c>
      <c r="K3" s="666"/>
      <c r="L3" s="667" t="s">
        <v>942</v>
      </c>
      <c r="M3" s="666"/>
      <c r="N3" s="667" t="s">
        <v>943</v>
      </c>
      <c r="O3" s="254"/>
    </row>
    <row r="4">
      <c r="A4" s="668" t="s">
        <v>944</v>
      </c>
      <c r="B4" s="669">
        <v>1.0</v>
      </c>
      <c r="C4" s="670" t="str">
        <f>VLOOKUP($B$2,Range!$K$86:$S$107,2)</f>
        <v>24 M 59 S</v>
      </c>
      <c r="D4" s="670">
        <f>vlookup($B$2,Range!$K$23:$S$43,2)</f>
        <v>25</v>
      </c>
      <c r="E4" s="669">
        <f>vlookup($B$2,Range!$K$44:$S$64,2)</f>
        <v>325</v>
      </c>
      <c r="F4" s="669">
        <f>VLOOKUP($B$2,Range!$K$1:$S$22,2)</f>
        <v>200</v>
      </c>
      <c r="G4" s="671">
        <f t="shared" ref="G4:G11" si="1">ROUND(F4*(1+(E$2+G$2)/100),0)</f>
        <v>200</v>
      </c>
      <c r="H4" s="672">
        <f t="shared" ref="H4:H11" si="2">ROUNDUP($O$2/G4)</f>
        <v>598</v>
      </c>
      <c r="I4" s="345"/>
      <c r="J4" s="673">
        <f t="shared" ref="J4:J11" si="3">MULTIPLY(H4,D4)</f>
        <v>14950</v>
      </c>
      <c r="K4" s="345"/>
      <c r="L4" s="673">
        <f t="shared" ref="L4:L11" si="4">ROUNDUP(J4/60)</f>
        <v>250</v>
      </c>
      <c r="M4" s="345"/>
      <c r="N4" s="673">
        <f t="shared" ref="N4:N11" si="5">ROUNDUP(L4/24)</f>
        <v>11</v>
      </c>
      <c r="O4" s="257"/>
    </row>
    <row r="5">
      <c r="A5" s="674" t="s">
        <v>945</v>
      </c>
      <c r="B5" s="675">
        <v>1000.0</v>
      </c>
      <c r="C5" s="676" t="str">
        <f>VLOOKUP($B$2,Range!$K$86:$S$107,3)</f>
        <v>49 M 59 S</v>
      </c>
      <c r="D5" s="676">
        <f>vlookup($B$2,Range!$K$23:$S$43,3)</f>
        <v>50</v>
      </c>
      <c r="E5" s="675">
        <f>vlookup($B$2,Range!$K$44:$S$64,3)</f>
        <v>625</v>
      </c>
      <c r="F5" s="675">
        <f>VLOOKUP($B$2,Range!$K$1:$S$22,3)</f>
        <v>375</v>
      </c>
      <c r="G5" s="677">
        <f t="shared" si="1"/>
        <v>375</v>
      </c>
      <c r="H5" s="678">
        <f t="shared" si="2"/>
        <v>319</v>
      </c>
      <c r="I5" s="350"/>
      <c r="J5" s="679">
        <f t="shared" si="3"/>
        <v>15950</v>
      </c>
      <c r="K5" s="350"/>
      <c r="L5" s="679">
        <f t="shared" si="4"/>
        <v>266</v>
      </c>
      <c r="M5" s="350"/>
      <c r="N5" s="679">
        <f t="shared" si="5"/>
        <v>12</v>
      </c>
      <c r="O5" s="261"/>
    </row>
    <row r="6">
      <c r="A6" s="668" t="s">
        <v>946</v>
      </c>
      <c r="B6" s="669">
        <v>2000.0</v>
      </c>
      <c r="C6" s="670" t="str">
        <f>VLOOKUP($B$2,Range!$K$86:$S$107,4)</f>
        <v>1 H 14 M</v>
      </c>
      <c r="D6" s="670">
        <f>vlookup($B$2,Range!$K$23:$S$43,4)</f>
        <v>74</v>
      </c>
      <c r="E6" s="669">
        <f>vlookup($B$2,Range!$K$44:$S$64,4)</f>
        <v>893.75</v>
      </c>
      <c r="F6" s="669">
        <f>VLOOKUP($B$2,Range!$K$1:$S$22,4)</f>
        <v>531.25</v>
      </c>
      <c r="G6" s="671">
        <f t="shared" si="1"/>
        <v>531</v>
      </c>
      <c r="H6" s="672">
        <f t="shared" si="2"/>
        <v>225</v>
      </c>
      <c r="I6" s="345"/>
      <c r="J6" s="673">
        <f t="shared" si="3"/>
        <v>16650</v>
      </c>
      <c r="K6" s="345"/>
      <c r="L6" s="673">
        <f t="shared" si="4"/>
        <v>278</v>
      </c>
      <c r="M6" s="345"/>
      <c r="N6" s="673">
        <f t="shared" si="5"/>
        <v>12</v>
      </c>
      <c r="O6" s="257"/>
    </row>
    <row r="7">
      <c r="A7" s="674" t="s">
        <v>947</v>
      </c>
      <c r="B7" s="675">
        <v>2300.0</v>
      </c>
      <c r="C7" s="676" t="str">
        <f>VLOOKUP($B$2,Range!$K$86:$S$107,5)</f>
        <v>1 H 39 M</v>
      </c>
      <c r="D7" s="676">
        <f>vlookup($B$2,Range!$K$23:$S$43,5)</f>
        <v>99</v>
      </c>
      <c r="E7" s="675">
        <f>vlookup($B$2,Range!$K$44:$S$64,5)</f>
        <v>1187.5</v>
      </c>
      <c r="F7" s="675">
        <f>VLOOKUP($B$2,Range!$K$1:$S$22,5)</f>
        <v>687.5</v>
      </c>
      <c r="G7" s="677">
        <f t="shared" si="1"/>
        <v>688</v>
      </c>
      <c r="H7" s="678">
        <f t="shared" si="2"/>
        <v>174</v>
      </c>
      <c r="I7" s="350"/>
      <c r="J7" s="679">
        <f t="shared" si="3"/>
        <v>17226</v>
      </c>
      <c r="K7" s="350"/>
      <c r="L7" s="679">
        <f t="shared" si="4"/>
        <v>288</v>
      </c>
      <c r="M7" s="350"/>
      <c r="N7" s="679">
        <f t="shared" si="5"/>
        <v>12</v>
      </c>
      <c r="O7" s="261"/>
    </row>
    <row r="8">
      <c r="A8" s="668" t="s">
        <v>948</v>
      </c>
      <c r="B8" s="669">
        <v>2500.0</v>
      </c>
      <c r="C8" s="670" t="str">
        <f>VLOOKUP($B$2,Range!$K$86:$S$107,6)</f>
        <v>2 H 29 M</v>
      </c>
      <c r="D8" s="670">
        <f>vlookup($B$2,Range!$K$23:$S$43,6)</f>
        <v>149</v>
      </c>
      <c r="E8" s="669">
        <f>vlookup($B$2,Range!$K$44:$S$64,6)</f>
        <v>1693.75</v>
      </c>
      <c r="F8" s="669">
        <f>VLOOKUP($B$2,Range!$K$1:$S$22,6)</f>
        <v>981.25</v>
      </c>
      <c r="G8" s="671">
        <f t="shared" si="1"/>
        <v>981</v>
      </c>
      <c r="H8" s="672">
        <f t="shared" si="2"/>
        <v>122</v>
      </c>
      <c r="I8" s="345"/>
      <c r="J8" s="673">
        <f t="shared" si="3"/>
        <v>18178</v>
      </c>
      <c r="K8" s="345"/>
      <c r="L8" s="673">
        <f t="shared" si="4"/>
        <v>303</v>
      </c>
      <c r="M8" s="345"/>
      <c r="N8" s="673">
        <f t="shared" si="5"/>
        <v>13</v>
      </c>
      <c r="O8" s="257"/>
    </row>
    <row r="9">
      <c r="A9" s="674" t="s">
        <v>949</v>
      </c>
      <c r="B9" s="675">
        <v>3000.0</v>
      </c>
      <c r="C9" s="676" t="str">
        <f>VLOOKUP($B$2,Range!$K$86:$S$107,7)</f>
        <v>3 H 19 M</v>
      </c>
      <c r="D9" s="676">
        <f>vlookup($B$2,Range!$K$23:$S$43,7)</f>
        <v>199</v>
      </c>
      <c r="E9" s="675">
        <f>vlookup($B$2,Range!$K$44:$S$64,7)</f>
        <v>2143.75</v>
      </c>
      <c r="F9" s="675">
        <f>VLOOKUP($B$2,Range!$K$1:$S$22,7)</f>
        <v>1243.75</v>
      </c>
      <c r="G9" s="677">
        <f t="shared" si="1"/>
        <v>1244</v>
      </c>
      <c r="H9" s="678">
        <f t="shared" si="2"/>
        <v>96</v>
      </c>
      <c r="I9" s="350"/>
      <c r="J9" s="679">
        <f t="shared" si="3"/>
        <v>19104</v>
      </c>
      <c r="K9" s="350"/>
      <c r="L9" s="679">
        <f t="shared" si="4"/>
        <v>319</v>
      </c>
      <c r="M9" s="350"/>
      <c r="N9" s="679">
        <f t="shared" si="5"/>
        <v>14</v>
      </c>
      <c r="O9" s="261"/>
    </row>
    <row r="10">
      <c r="A10" s="668" t="s">
        <v>950</v>
      </c>
      <c r="B10" s="669">
        <v>3600.0</v>
      </c>
      <c r="C10" s="670" t="str">
        <f>VLOOKUP($B$2,Range!$K$86:$S$107,8)</f>
        <v>4 H 59 M</v>
      </c>
      <c r="D10" s="670">
        <f>vlookup($B$2,Range!$K$23:$S$43,8)</f>
        <v>299</v>
      </c>
      <c r="E10" s="669">
        <f>vlookup($B$2,Range!$K$44:$S$64,8)</f>
        <v>3056.25</v>
      </c>
      <c r="F10" s="669">
        <f>VLOOKUP($B$2,Range!$K$1:$S$22,8)</f>
        <v>1768.75</v>
      </c>
      <c r="G10" s="671">
        <f t="shared" si="1"/>
        <v>1769</v>
      </c>
      <c r="H10" s="672">
        <f t="shared" si="2"/>
        <v>68</v>
      </c>
      <c r="I10" s="345"/>
      <c r="J10" s="673">
        <f t="shared" si="3"/>
        <v>20332</v>
      </c>
      <c r="K10" s="345"/>
      <c r="L10" s="673">
        <f t="shared" si="4"/>
        <v>339</v>
      </c>
      <c r="M10" s="345"/>
      <c r="N10" s="673">
        <f t="shared" si="5"/>
        <v>15</v>
      </c>
      <c r="O10" s="257"/>
    </row>
    <row r="11">
      <c r="A11" s="680" t="s">
        <v>951</v>
      </c>
      <c r="B11" s="681">
        <v>4000.0</v>
      </c>
      <c r="C11" s="682" t="str">
        <f>VLOOKUP($B$2,Range!$K$86:$S$107,9)</f>
        <v>9 H 59 M</v>
      </c>
      <c r="D11" s="682">
        <f>vlookup($B$2,Range!$K$23:$S$43,9)</f>
        <v>599</v>
      </c>
      <c r="E11" s="681">
        <f>vlookup($B$2,Range!$K$44:$S$64,9)</f>
        <v>5806.25</v>
      </c>
      <c r="F11" s="681">
        <f>VLOOKUP($B$2,Range!$K$1:$S$22,9)</f>
        <v>3362.5</v>
      </c>
      <c r="G11" s="683">
        <f t="shared" si="1"/>
        <v>3363</v>
      </c>
      <c r="H11" s="678">
        <f t="shared" si="2"/>
        <v>36</v>
      </c>
      <c r="I11" s="350"/>
      <c r="J11" s="684">
        <f t="shared" si="3"/>
        <v>21564</v>
      </c>
      <c r="K11" s="685"/>
      <c r="L11" s="679">
        <f t="shared" si="4"/>
        <v>360</v>
      </c>
      <c r="M11" s="350"/>
      <c r="N11" s="679">
        <f t="shared" si="5"/>
        <v>15</v>
      </c>
      <c r="O11" s="261"/>
    </row>
    <row r="12">
      <c r="A12" s="86"/>
      <c r="B12" s="2"/>
      <c r="E12" s="2"/>
      <c r="F12" s="2"/>
      <c r="G12" s="2"/>
      <c r="H12" s="318" t="s">
        <v>952</v>
      </c>
      <c r="I12" s="103"/>
      <c r="J12" s="103"/>
      <c r="K12" s="103"/>
      <c r="L12" s="103"/>
      <c r="M12" s="103"/>
      <c r="N12" s="103"/>
      <c r="O12" s="187"/>
    </row>
    <row r="13">
      <c r="A13" s="233" t="s">
        <v>953</v>
      </c>
      <c r="B13" s="365" t="s">
        <v>954</v>
      </c>
      <c r="C13" s="324"/>
      <c r="D13" s="324"/>
      <c r="E13" s="325"/>
      <c r="H13" s="686"/>
      <c r="I13" s="219"/>
      <c r="J13" s="219"/>
      <c r="K13" s="687" t="s">
        <v>5</v>
      </c>
      <c r="L13" s="659">
        <f>minus(Range!F72,K2)</f>
        <v>2434414</v>
      </c>
      <c r="M13" s="219"/>
      <c r="N13" s="219"/>
      <c r="O13" s="220"/>
    </row>
    <row r="14">
      <c r="A14" s="236" t="str">
        <f>vlookup($B$2,Range!$K$65:$P$85,2)</f>
        <v>20% Completion Speed</v>
      </c>
      <c r="B14" s="597" t="s">
        <v>8</v>
      </c>
      <c r="C14" s="688" t="s">
        <v>385</v>
      </c>
      <c r="D14" s="689" t="s">
        <v>955</v>
      </c>
      <c r="E14" s="690"/>
      <c r="H14" s="337" t="s">
        <v>956</v>
      </c>
      <c r="I14" s="691"/>
      <c r="J14" s="692" t="s">
        <v>957</v>
      </c>
      <c r="K14" s="691"/>
      <c r="L14" s="692" t="s">
        <v>958</v>
      </c>
      <c r="M14" s="691"/>
      <c r="N14" s="692" t="s">
        <v>959</v>
      </c>
      <c r="O14" s="339"/>
    </row>
    <row r="15">
      <c r="A15" s="236" t="str">
        <f>vlookup($B$2,Range!$K$65:$P$85,3)</f>
        <v>25% XP</v>
      </c>
      <c r="B15" s="668">
        <v>1.0</v>
      </c>
      <c r="C15" s="476">
        <v>25.0</v>
      </c>
      <c r="D15" s="693" t="s">
        <v>174</v>
      </c>
      <c r="E15" s="257"/>
      <c r="H15" s="672">
        <f t="shared" ref="H15:H22" si="6">ROUNDUP($L$13/G4)</f>
        <v>12173</v>
      </c>
      <c r="I15" s="345"/>
      <c r="J15" s="673">
        <f t="shared" ref="J15:J22" si="7">MULTIPLY(H15,D4)</f>
        <v>304325</v>
      </c>
      <c r="K15" s="345"/>
      <c r="L15" s="673">
        <f t="shared" ref="L15:L22" si="8">ROUNDUP(J15/60)</f>
        <v>5073</v>
      </c>
      <c r="M15" s="345"/>
      <c r="N15" s="673">
        <f t="shared" ref="N15:N22" si="9">ROUNDUP(L15/24)</f>
        <v>212</v>
      </c>
      <c r="O15" s="257"/>
    </row>
    <row r="16">
      <c r="A16" s="236" t="str">
        <f>vlookup($B$2,Range!$K$65:$P$85,4)</f>
        <v>15% Gear Chance</v>
      </c>
      <c r="B16" s="674">
        <v>2.0</v>
      </c>
      <c r="C16" s="468">
        <v>25.0</v>
      </c>
      <c r="D16" s="694" t="s">
        <v>176</v>
      </c>
      <c r="E16" s="261"/>
      <c r="H16" s="678">
        <f t="shared" si="6"/>
        <v>6492</v>
      </c>
      <c r="I16" s="350"/>
      <c r="J16" s="679">
        <f t="shared" si="7"/>
        <v>324600</v>
      </c>
      <c r="K16" s="350"/>
      <c r="L16" s="679">
        <f t="shared" si="8"/>
        <v>5410</v>
      </c>
      <c r="M16" s="350"/>
      <c r="N16" s="679">
        <f t="shared" si="9"/>
        <v>226</v>
      </c>
      <c r="O16" s="261"/>
    </row>
    <row r="17">
      <c r="A17" s="236" t="str">
        <f>vlookup($B$2,Range!$K$65:$P$85,5)</f>
        <v>25% Credits</v>
      </c>
      <c r="B17" s="668">
        <v>3.0</v>
      </c>
      <c r="C17" s="476">
        <v>50.0</v>
      </c>
      <c r="D17" s="693" t="s">
        <v>178</v>
      </c>
      <c r="E17" s="257"/>
      <c r="H17" s="672">
        <f t="shared" si="6"/>
        <v>4585</v>
      </c>
      <c r="I17" s="345"/>
      <c r="J17" s="673">
        <f t="shared" si="7"/>
        <v>339290</v>
      </c>
      <c r="K17" s="345"/>
      <c r="L17" s="673">
        <f t="shared" si="8"/>
        <v>5655</v>
      </c>
      <c r="M17" s="345"/>
      <c r="N17" s="673">
        <f t="shared" si="9"/>
        <v>236</v>
      </c>
      <c r="O17" s="257"/>
    </row>
    <row r="18">
      <c r="A18" s="236" t="str">
        <f>vlookup($B$2,Range!$K$65:$P$85,6)</f>
        <v>15% Chance of Gems</v>
      </c>
      <c r="B18" s="674">
        <v>4.0</v>
      </c>
      <c r="C18" s="468">
        <v>50.0</v>
      </c>
      <c r="D18" s="694" t="s">
        <v>176</v>
      </c>
      <c r="E18" s="261"/>
      <c r="H18" s="678">
        <f t="shared" si="6"/>
        <v>3539</v>
      </c>
      <c r="I18" s="350"/>
      <c r="J18" s="679">
        <f t="shared" si="7"/>
        <v>350361</v>
      </c>
      <c r="K18" s="350"/>
      <c r="L18" s="679">
        <f t="shared" si="8"/>
        <v>5840</v>
      </c>
      <c r="M18" s="350"/>
      <c r="N18" s="679">
        <f t="shared" si="9"/>
        <v>244</v>
      </c>
      <c r="O18" s="261"/>
    </row>
    <row r="19">
      <c r="A19" s="695" t="s">
        <v>960</v>
      </c>
      <c r="B19" s="668">
        <v>5.0</v>
      </c>
      <c r="C19" s="476">
        <v>75.0</v>
      </c>
      <c r="D19" s="693" t="s">
        <v>174</v>
      </c>
      <c r="E19" s="257"/>
      <c r="H19" s="672">
        <f t="shared" si="6"/>
        <v>2482</v>
      </c>
      <c r="I19" s="345"/>
      <c r="J19" s="673">
        <f t="shared" si="7"/>
        <v>369818</v>
      </c>
      <c r="K19" s="345"/>
      <c r="L19" s="673">
        <f t="shared" si="8"/>
        <v>6164</v>
      </c>
      <c r="M19" s="345"/>
      <c r="N19" s="673">
        <f t="shared" si="9"/>
        <v>257</v>
      </c>
      <c r="O19" s="257"/>
    </row>
    <row r="20">
      <c r="A20" s="236" t="s">
        <v>202</v>
      </c>
      <c r="B20" s="674">
        <v>6.0</v>
      </c>
      <c r="C20" s="468">
        <v>75.0</v>
      </c>
      <c r="D20" s="694" t="s">
        <v>178</v>
      </c>
      <c r="E20" s="261"/>
      <c r="H20" s="678">
        <f t="shared" si="6"/>
        <v>1957</v>
      </c>
      <c r="I20" s="350"/>
      <c r="J20" s="679">
        <f t="shared" si="7"/>
        <v>389443</v>
      </c>
      <c r="K20" s="350"/>
      <c r="L20" s="679">
        <f t="shared" si="8"/>
        <v>6491</v>
      </c>
      <c r="M20" s="350"/>
      <c r="N20" s="679">
        <f t="shared" si="9"/>
        <v>271</v>
      </c>
      <c r="O20" s="261"/>
    </row>
    <row r="21">
      <c r="A21" s="236" t="s">
        <v>210</v>
      </c>
      <c r="B21" s="668">
        <v>7.0</v>
      </c>
      <c r="C21" s="476">
        <v>100.0</v>
      </c>
      <c r="D21" s="693" t="s">
        <v>176</v>
      </c>
      <c r="E21" s="257"/>
      <c r="H21" s="672">
        <f t="shared" si="6"/>
        <v>1377</v>
      </c>
      <c r="I21" s="345"/>
      <c r="J21" s="673">
        <f t="shared" si="7"/>
        <v>411723</v>
      </c>
      <c r="K21" s="345"/>
      <c r="L21" s="673">
        <f t="shared" si="8"/>
        <v>6863</v>
      </c>
      <c r="M21" s="345"/>
      <c r="N21" s="673">
        <f t="shared" si="9"/>
        <v>286</v>
      </c>
      <c r="O21" s="257"/>
      <c r="P21" s="696"/>
    </row>
    <row r="22">
      <c r="A22" s="236" t="s">
        <v>212</v>
      </c>
      <c r="B22" s="674">
        <v>8.0</v>
      </c>
      <c r="C22" s="468">
        <v>100.0</v>
      </c>
      <c r="D22" s="694" t="s">
        <v>174</v>
      </c>
      <c r="E22" s="261"/>
      <c r="G22" s="2"/>
      <c r="H22" s="697">
        <f t="shared" si="6"/>
        <v>724</v>
      </c>
      <c r="I22" s="414"/>
      <c r="J22" s="698">
        <f t="shared" si="7"/>
        <v>433676</v>
      </c>
      <c r="K22" s="414"/>
      <c r="L22" s="698">
        <f t="shared" si="8"/>
        <v>7228</v>
      </c>
      <c r="M22" s="414"/>
      <c r="N22" s="698">
        <f t="shared" si="9"/>
        <v>302</v>
      </c>
      <c r="O22" s="279"/>
    </row>
    <row r="23">
      <c r="A23" s="236" t="s">
        <v>208</v>
      </c>
      <c r="B23" s="668">
        <v>9.0</v>
      </c>
      <c r="C23" s="476">
        <v>125.0</v>
      </c>
      <c r="D23" s="693" t="s">
        <v>178</v>
      </c>
      <c r="E23" s="257"/>
      <c r="G23" s="2"/>
      <c r="H23" s="2"/>
      <c r="I23" s="2"/>
      <c r="J23" s="2"/>
    </row>
    <row r="24">
      <c r="A24" s="272" t="s">
        <v>214</v>
      </c>
      <c r="B24" s="674">
        <v>10.0</v>
      </c>
      <c r="C24" s="468">
        <v>125.0</v>
      </c>
      <c r="D24" s="694" t="s">
        <v>194</v>
      </c>
      <c r="E24" s="261"/>
      <c r="G24" s="2"/>
      <c r="H24" s="699" t="s">
        <v>961</v>
      </c>
      <c r="I24" s="182"/>
      <c r="J24" s="182"/>
      <c r="K24" s="182"/>
      <c r="L24" s="182"/>
      <c r="M24" s="182"/>
      <c r="N24" s="182"/>
      <c r="O24" s="183"/>
    </row>
    <row r="25">
      <c r="A25" s="86"/>
      <c r="B25" s="668">
        <v>11.0</v>
      </c>
      <c r="C25" s="476">
        <v>150.0</v>
      </c>
      <c r="D25" s="693" t="s">
        <v>196</v>
      </c>
      <c r="E25" s="257"/>
      <c r="G25" s="2"/>
      <c r="H25" s="199"/>
      <c r="O25" s="200"/>
    </row>
    <row r="26">
      <c r="A26" s="86"/>
      <c r="B26" s="674">
        <v>12.0</v>
      </c>
      <c r="C26" s="468">
        <v>150.0</v>
      </c>
      <c r="D26" s="700" t="s">
        <v>176</v>
      </c>
      <c r="E26" s="261"/>
      <c r="G26" s="2"/>
      <c r="H26" s="199"/>
      <c r="O26" s="200"/>
    </row>
    <row r="27">
      <c r="A27" s="86"/>
      <c r="B27" s="668">
        <v>13.0</v>
      </c>
      <c r="C27" s="476">
        <v>200.0</v>
      </c>
      <c r="D27" s="701" t="s">
        <v>174</v>
      </c>
      <c r="E27" s="426"/>
      <c r="G27" s="2"/>
      <c r="H27" s="218"/>
      <c r="I27" s="219"/>
      <c r="J27" s="219"/>
      <c r="K27" s="219"/>
      <c r="L27" s="219"/>
      <c r="M27" s="219"/>
      <c r="N27" s="219"/>
      <c r="O27" s="220"/>
    </row>
    <row r="28">
      <c r="A28" s="86"/>
      <c r="B28" s="674">
        <v>14.0</v>
      </c>
      <c r="C28" s="468">
        <v>250.0</v>
      </c>
      <c r="D28" s="702" t="s">
        <v>178</v>
      </c>
      <c r="E28" s="409"/>
      <c r="G28" s="2"/>
      <c r="H28" s="703"/>
      <c r="I28" s="703"/>
      <c r="J28" s="703"/>
      <c r="K28" s="703"/>
      <c r="L28" s="703"/>
      <c r="M28" s="703"/>
      <c r="N28" s="703"/>
      <c r="O28" s="703"/>
    </row>
    <row r="29">
      <c r="A29" s="86"/>
      <c r="B29" s="668">
        <v>15.0</v>
      </c>
      <c r="C29" s="476">
        <v>250.0</v>
      </c>
      <c r="D29" s="693" t="s">
        <v>194</v>
      </c>
      <c r="E29" s="257"/>
      <c r="G29" s="2"/>
      <c r="H29" s="703"/>
      <c r="I29" s="703"/>
      <c r="J29" s="703"/>
      <c r="K29" s="703"/>
      <c r="L29" s="703"/>
      <c r="M29" s="703"/>
      <c r="N29" s="703"/>
      <c r="O29" s="703"/>
    </row>
    <row r="30">
      <c r="A30" s="86"/>
      <c r="B30" s="674">
        <v>16.0</v>
      </c>
      <c r="C30" s="468">
        <v>250.0</v>
      </c>
      <c r="D30" s="694" t="s">
        <v>196</v>
      </c>
      <c r="E30" s="261"/>
      <c r="G30" s="2"/>
      <c r="H30" s="703"/>
      <c r="I30" s="703"/>
      <c r="J30" s="703"/>
      <c r="K30" s="703"/>
      <c r="L30" s="703"/>
      <c r="M30" s="703"/>
      <c r="N30" s="703"/>
      <c r="O30" s="703"/>
    </row>
    <row r="31">
      <c r="A31" s="86"/>
      <c r="B31" s="668">
        <v>17.0</v>
      </c>
      <c r="C31" s="476">
        <v>250.0</v>
      </c>
      <c r="D31" s="704" t="s">
        <v>176</v>
      </c>
      <c r="E31" s="257"/>
      <c r="G31" s="2"/>
      <c r="H31" s="703"/>
      <c r="I31" s="703"/>
      <c r="J31" s="703"/>
      <c r="K31" s="703"/>
      <c r="L31" s="703"/>
      <c r="M31" s="703"/>
      <c r="N31" s="703"/>
      <c r="O31" s="703"/>
    </row>
    <row r="32">
      <c r="A32" s="86"/>
      <c r="B32" s="674">
        <v>18.0</v>
      </c>
      <c r="C32" s="468">
        <v>250.0</v>
      </c>
      <c r="D32" s="702" t="s">
        <v>174</v>
      </c>
      <c r="E32" s="409"/>
      <c r="G32" s="2"/>
      <c r="H32" s="703"/>
      <c r="M32" s="703"/>
      <c r="N32" s="703"/>
      <c r="O32" s="703"/>
    </row>
    <row r="33">
      <c r="A33" s="86"/>
      <c r="B33" s="668">
        <v>19.0</v>
      </c>
      <c r="C33" s="476">
        <v>250.0</v>
      </c>
      <c r="D33" s="693" t="s">
        <v>194</v>
      </c>
      <c r="E33" s="257"/>
      <c r="G33" s="2"/>
      <c r="H33" s="703"/>
      <c r="M33" s="703"/>
      <c r="N33" s="703"/>
      <c r="O33" s="703"/>
    </row>
    <row r="34">
      <c r="A34" s="86"/>
      <c r="B34" s="680">
        <v>20.0</v>
      </c>
      <c r="C34" s="705">
        <v>250.0</v>
      </c>
      <c r="D34" s="706" t="s">
        <v>196</v>
      </c>
      <c r="E34" s="279"/>
      <c r="G34" s="2"/>
      <c r="H34" s="2"/>
    </row>
    <row r="35">
      <c r="A35" s="86"/>
      <c r="B35" s="6"/>
      <c r="C35" s="2"/>
      <c r="D35" s="2"/>
      <c r="E35" s="2"/>
      <c r="F35" s="2"/>
      <c r="G35" s="2"/>
      <c r="H35" s="2"/>
    </row>
  </sheetData>
  <mergeCells count="102">
    <mergeCell ref="A1:G1"/>
    <mergeCell ref="H1:O1"/>
    <mergeCell ref="C2:D2"/>
    <mergeCell ref="H3:I3"/>
    <mergeCell ref="J3:K3"/>
    <mergeCell ref="L3:M3"/>
    <mergeCell ref="N3:O3"/>
    <mergeCell ref="H4:I4"/>
    <mergeCell ref="J4:K4"/>
    <mergeCell ref="L4:M4"/>
    <mergeCell ref="N4:O4"/>
    <mergeCell ref="J5:K5"/>
    <mergeCell ref="L5:M5"/>
    <mergeCell ref="N5:O5"/>
    <mergeCell ref="L7:M7"/>
    <mergeCell ref="N7:O7"/>
    <mergeCell ref="H5:I5"/>
    <mergeCell ref="H6:I6"/>
    <mergeCell ref="J6:K6"/>
    <mergeCell ref="L6:M6"/>
    <mergeCell ref="N6:O6"/>
    <mergeCell ref="H7:I7"/>
    <mergeCell ref="J7:K7"/>
    <mergeCell ref="H8:I8"/>
    <mergeCell ref="J8:K8"/>
    <mergeCell ref="L8:M8"/>
    <mergeCell ref="N8:O8"/>
    <mergeCell ref="J9:K9"/>
    <mergeCell ref="L9:M9"/>
    <mergeCell ref="N9:O9"/>
    <mergeCell ref="L11:M11"/>
    <mergeCell ref="N11:O11"/>
    <mergeCell ref="H9:I9"/>
    <mergeCell ref="H10:I10"/>
    <mergeCell ref="J10:K10"/>
    <mergeCell ref="L10:M10"/>
    <mergeCell ref="N10:O10"/>
    <mergeCell ref="H11:I11"/>
    <mergeCell ref="J11:K11"/>
    <mergeCell ref="D15:E15"/>
    <mergeCell ref="D16:E16"/>
    <mergeCell ref="D17:E17"/>
    <mergeCell ref="D18:E18"/>
    <mergeCell ref="D19:E19"/>
    <mergeCell ref="D20:E20"/>
    <mergeCell ref="D21:E21"/>
    <mergeCell ref="D32:E32"/>
    <mergeCell ref="D33:E33"/>
    <mergeCell ref="D34:E34"/>
    <mergeCell ref="D22:E22"/>
    <mergeCell ref="D23:E23"/>
    <mergeCell ref="D24:E24"/>
    <mergeCell ref="D28:E28"/>
    <mergeCell ref="D29:E29"/>
    <mergeCell ref="D30:E30"/>
    <mergeCell ref="D31:E31"/>
    <mergeCell ref="L14:M14"/>
    <mergeCell ref="N14:O14"/>
    <mergeCell ref="H12:O12"/>
    <mergeCell ref="B13:E13"/>
    <mergeCell ref="H13:J13"/>
    <mergeCell ref="M13:O13"/>
    <mergeCell ref="D14:E14"/>
    <mergeCell ref="J14:K14"/>
    <mergeCell ref="N15:O15"/>
    <mergeCell ref="J15:K15"/>
    <mergeCell ref="L15:M15"/>
    <mergeCell ref="J16:K16"/>
    <mergeCell ref="L16:M16"/>
    <mergeCell ref="N16:O16"/>
    <mergeCell ref="L17:M17"/>
    <mergeCell ref="N17:O17"/>
    <mergeCell ref="J20:K20"/>
    <mergeCell ref="L20:M20"/>
    <mergeCell ref="N20:O20"/>
    <mergeCell ref="J21:K21"/>
    <mergeCell ref="L21:M21"/>
    <mergeCell ref="N21:O21"/>
    <mergeCell ref="J17:K17"/>
    <mergeCell ref="J18:K18"/>
    <mergeCell ref="L18:M18"/>
    <mergeCell ref="N18:O18"/>
    <mergeCell ref="J19:K19"/>
    <mergeCell ref="L19:M19"/>
    <mergeCell ref="N19:O19"/>
    <mergeCell ref="H14:I14"/>
    <mergeCell ref="H15:I15"/>
    <mergeCell ref="H16:I16"/>
    <mergeCell ref="H17:I17"/>
    <mergeCell ref="H18:I18"/>
    <mergeCell ref="H19:I19"/>
    <mergeCell ref="H20:I20"/>
    <mergeCell ref="D25:E25"/>
    <mergeCell ref="D26:E26"/>
    <mergeCell ref="D27:E27"/>
    <mergeCell ref="H21:I21"/>
    <mergeCell ref="H22:I22"/>
    <mergeCell ref="J22:K22"/>
    <mergeCell ref="L22:M22"/>
    <mergeCell ref="N22:O22"/>
    <mergeCell ref="J23:K23"/>
    <mergeCell ref="H24:O27"/>
  </mergeCells>
  <dataValidations>
    <dataValidation type="list" allowBlank="1" showInputMessage="1" showErrorMessage="1" prompt="Select a value for XP Bonus from Heartbreaker Harley Quinn if she is available in your roster" sqref="E2">
      <formula1>"0,10,12,14,16,18"</formula1>
    </dataValidation>
    <dataValidation type="list" allowBlank="1" showErrorMessage="1" sqref="M2">
      <formula1>Range!$U$2:$U$69</formula1>
    </dataValidation>
    <dataValidation type="list" allowBlank="1" showInputMessage="1" showErrorMessage="1" prompt="Enter a value from 0 through 20" sqref="B2">
      <formula1>Range!$K$2:$K$22</formula1>
    </dataValidation>
    <dataValidation type="list" allowBlank="1" showErrorMessage="1" sqref="I2">
      <formula1>Range!$D$2:$D$70</formula1>
    </dataValidation>
    <dataValidation type="list" allowBlank="1" showErrorMessage="1" sqref="G2">
      <formula1>Range!$A$2:$A$22</formula1>
    </dataValidation>
  </dataValidations>
  <drawing r:id="rId2"/>
  <legacyDrawing r:id="rId3"/>
  <tableParts count="2">
    <tablePart r:id="rId6"/>
    <tablePart r:id="rId7"/>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1.57"/>
    <col customWidth="1" min="15" max="15" width="24.0"/>
    <col customWidth="1" min="16" max="16" width="22.57"/>
  </cols>
  <sheetData>
    <row r="1">
      <c r="A1" s="707" t="s">
        <v>962</v>
      </c>
      <c r="B1" s="103"/>
      <c r="C1" s="103"/>
      <c r="D1" s="187"/>
      <c r="E1" s="124" t="s">
        <v>963</v>
      </c>
      <c r="F1" s="103"/>
      <c r="G1" s="103"/>
      <c r="H1" s="103"/>
      <c r="I1" s="103"/>
      <c r="J1" s="103"/>
      <c r="K1" s="103"/>
      <c r="L1" s="187"/>
    </row>
    <row r="2">
      <c r="A2" s="708" t="s">
        <v>964</v>
      </c>
      <c r="B2" s="183"/>
      <c r="C2" s="709" t="s">
        <v>935</v>
      </c>
      <c r="D2" s="493">
        <v>18.0</v>
      </c>
      <c r="E2" s="710"/>
      <c r="F2" s="187"/>
      <c r="G2" s="711" t="s">
        <v>2</v>
      </c>
      <c r="H2" s="712">
        <v>3.0</v>
      </c>
      <c r="I2" s="713" t="s">
        <v>936</v>
      </c>
      <c r="J2" s="714">
        <v>8522.0</v>
      </c>
      <c r="K2" s="715"/>
      <c r="L2" s="187"/>
      <c r="N2" s="318" t="s">
        <v>965</v>
      </c>
      <c r="O2" s="103"/>
      <c r="P2" s="103"/>
      <c r="Q2" s="187"/>
    </row>
    <row r="3">
      <c r="A3" s="218"/>
      <c r="B3" s="220"/>
      <c r="C3" s="709" t="s">
        <v>600</v>
      </c>
      <c r="D3" s="716">
        <v>95.0</v>
      </c>
      <c r="E3" s="124" t="s">
        <v>544</v>
      </c>
      <c r="F3" s="717">
        <v>41.0</v>
      </c>
      <c r="G3" s="718" t="s">
        <v>5</v>
      </c>
      <c r="H3" s="719">
        <f>IF(F3="N/A",0,VLOOKUP(F3,Range!D2:F71,3,FALSE)-(VLOOKUP(H2,Range!D2:F71,3,FALSE)+J2))</f>
        <v>91953</v>
      </c>
      <c r="I3" s="720" t="s">
        <v>966</v>
      </c>
      <c r="J3" s="220"/>
      <c r="K3" s="721">
        <f>Range!F71-(VLOOKUP(H2,Range!D2:F71,3,FALSE)+J2)</f>
        <v>2634203</v>
      </c>
      <c r="L3" s="187"/>
      <c r="N3" s="252" t="s">
        <v>602</v>
      </c>
      <c r="O3" s="722" t="s">
        <v>967</v>
      </c>
      <c r="P3" s="253" t="s">
        <v>968</v>
      </c>
      <c r="Q3" s="723" t="s">
        <v>969</v>
      </c>
    </row>
    <row r="4">
      <c r="A4" s="724" t="s">
        <v>970</v>
      </c>
      <c r="B4" s="724" t="s">
        <v>971</v>
      </c>
      <c r="C4" s="724" t="s">
        <v>278</v>
      </c>
      <c r="D4" s="724" t="s">
        <v>607</v>
      </c>
      <c r="E4" s="725" t="s">
        <v>972</v>
      </c>
      <c r="F4" s="726"/>
      <c r="G4" s="726"/>
      <c r="H4" s="727"/>
      <c r="I4" s="728" t="s">
        <v>973</v>
      </c>
      <c r="J4" s="511"/>
      <c r="K4" s="511"/>
      <c r="L4" s="512"/>
      <c r="N4" s="234">
        <v>1.0</v>
      </c>
      <c r="O4" s="729">
        <v>67000.0</v>
      </c>
      <c r="P4" s="729" t="s">
        <v>314</v>
      </c>
      <c r="Q4" s="730">
        <f t="shared" ref="Q4:Q8" si="1">IF(P4="Y",ROUNDDOWN(0.1*O4+(0.02*O4)^1.24,0),ROUNDDOWN(0.9*(0.1*O4+(0.02*O4)^1.24),0))</f>
        <v>14244</v>
      </c>
    </row>
    <row r="5">
      <c r="A5" s="731">
        <v>0.0</v>
      </c>
      <c r="B5" s="732">
        <v>2499.0</v>
      </c>
      <c r="C5" s="732">
        <v>9.0</v>
      </c>
      <c r="D5" s="733">
        <f t="shared" ref="D5:D31" si="2">ROUND(C5*(1+(D$2+D$3)/100),0)</f>
        <v>19</v>
      </c>
      <c r="E5" s="734">
        <f t="shared" ref="E5:E31" si="3">IF(H$3&lt;=0,0,ROUNDUP(H$3/D5))</f>
        <v>4840</v>
      </c>
      <c r="F5" s="735"/>
      <c r="G5" s="735"/>
      <c r="H5" s="536"/>
      <c r="I5" s="734">
        <f t="shared" ref="I5:I31" si="4">ROUNDUP(K$3/D5)</f>
        <v>138643</v>
      </c>
      <c r="J5" s="735"/>
      <c r="K5" s="735"/>
      <c r="L5" s="536"/>
      <c r="N5" s="234">
        <v>2.0</v>
      </c>
      <c r="O5" s="729">
        <v>200000.0</v>
      </c>
      <c r="P5" s="729" t="s">
        <v>314</v>
      </c>
      <c r="Q5" s="730">
        <f t="shared" si="1"/>
        <v>49278</v>
      </c>
    </row>
    <row r="6">
      <c r="A6" s="736">
        <v>2500.0</v>
      </c>
      <c r="B6" s="737">
        <v>4999.0</v>
      </c>
      <c r="C6" s="737">
        <v>26.0</v>
      </c>
      <c r="D6" s="738">
        <f t="shared" si="2"/>
        <v>55</v>
      </c>
      <c r="E6" s="739">
        <f t="shared" si="3"/>
        <v>1672</v>
      </c>
      <c r="F6" s="740"/>
      <c r="G6" s="740"/>
      <c r="H6" s="261"/>
      <c r="I6" s="741">
        <f t="shared" si="4"/>
        <v>47895</v>
      </c>
      <c r="J6" s="408"/>
      <c r="K6" s="408"/>
      <c r="L6" s="409"/>
      <c r="N6" s="234">
        <v>3.0</v>
      </c>
      <c r="O6" s="729">
        <v>200000.0</v>
      </c>
      <c r="P6" s="729" t="s">
        <v>314</v>
      </c>
      <c r="Q6" s="730">
        <f t="shared" si="1"/>
        <v>49278</v>
      </c>
    </row>
    <row r="7">
      <c r="A7" s="742">
        <v>5000.0</v>
      </c>
      <c r="B7" s="743">
        <v>7499.0</v>
      </c>
      <c r="C7" s="743">
        <v>44.0</v>
      </c>
      <c r="D7" s="744">
        <f t="shared" si="2"/>
        <v>94</v>
      </c>
      <c r="E7" s="745">
        <f t="shared" si="3"/>
        <v>979</v>
      </c>
      <c r="F7" s="353"/>
      <c r="G7" s="353"/>
      <c r="H7" s="257"/>
      <c r="I7" s="746">
        <f t="shared" si="4"/>
        <v>28024</v>
      </c>
      <c r="J7" s="425"/>
      <c r="K7" s="425"/>
      <c r="L7" s="426"/>
      <c r="N7" s="234">
        <v>4.0</v>
      </c>
      <c r="O7" s="729">
        <v>200000.0</v>
      </c>
      <c r="P7" s="729" t="s">
        <v>314</v>
      </c>
      <c r="Q7" s="730">
        <f t="shared" si="1"/>
        <v>49278</v>
      </c>
    </row>
    <row r="8">
      <c r="A8" s="736">
        <v>7500.0</v>
      </c>
      <c r="B8" s="737">
        <v>9999.0</v>
      </c>
      <c r="C8" s="737">
        <v>61.0</v>
      </c>
      <c r="D8" s="738">
        <f t="shared" si="2"/>
        <v>130</v>
      </c>
      <c r="E8" s="739">
        <f t="shared" si="3"/>
        <v>708</v>
      </c>
      <c r="F8" s="740"/>
      <c r="G8" s="740"/>
      <c r="H8" s="261"/>
      <c r="I8" s="741">
        <f t="shared" si="4"/>
        <v>20264</v>
      </c>
      <c r="J8" s="408"/>
      <c r="K8" s="408"/>
      <c r="L8" s="409"/>
      <c r="N8" s="234">
        <v>5.0</v>
      </c>
      <c r="O8" s="729">
        <v>200000.0</v>
      </c>
      <c r="P8" s="729" t="s">
        <v>314</v>
      </c>
      <c r="Q8" s="730">
        <f t="shared" si="1"/>
        <v>49278</v>
      </c>
    </row>
    <row r="9">
      <c r="A9" s="742">
        <v>10000.0</v>
      </c>
      <c r="B9" s="743">
        <v>12499.0</v>
      </c>
      <c r="C9" s="743">
        <v>79.0</v>
      </c>
      <c r="D9" s="744">
        <f t="shared" si="2"/>
        <v>168</v>
      </c>
      <c r="E9" s="745">
        <f t="shared" si="3"/>
        <v>548</v>
      </c>
      <c r="F9" s="353"/>
      <c r="G9" s="353"/>
      <c r="H9" s="257"/>
      <c r="I9" s="746">
        <f t="shared" si="4"/>
        <v>15680</v>
      </c>
      <c r="J9" s="425"/>
      <c r="K9" s="425"/>
      <c r="L9" s="426"/>
      <c r="N9" s="413" t="s">
        <v>19</v>
      </c>
      <c r="O9" s="747"/>
      <c r="P9" s="747"/>
      <c r="Q9" s="748">
        <f>SUM(Q4:Q8)</f>
        <v>211356</v>
      </c>
    </row>
    <row r="10">
      <c r="A10" s="736">
        <v>12500.0</v>
      </c>
      <c r="B10" s="737">
        <v>14999.0</v>
      </c>
      <c r="C10" s="737">
        <v>96.0</v>
      </c>
      <c r="D10" s="738">
        <f t="shared" si="2"/>
        <v>204</v>
      </c>
      <c r="E10" s="739">
        <f t="shared" si="3"/>
        <v>451</v>
      </c>
      <c r="F10" s="740"/>
      <c r="G10" s="740"/>
      <c r="H10" s="261"/>
      <c r="I10" s="741">
        <f t="shared" si="4"/>
        <v>12913</v>
      </c>
      <c r="J10" s="408"/>
      <c r="K10" s="408"/>
      <c r="L10" s="409"/>
    </row>
    <row r="11">
      <c r="A11" s="742">
        <v>15000.0</v>
      </c>
      <c r="B11" s="743">
        <v>17499.0</v>
      </c>
      <c r="C11" s="743">
        <v>114.0</v>
      </c>
      <c r="D11" s="744">
        <f t="shared" si="2"/>
        <v>243</v>
      </c>
      <c r="E11" s="745">
        <f t="shared" si="3"/>
        <v>379</v>
      </c>
      <c r="F11" s="353"/>
      <c r="G11" s="353"/>
      <c r="H11" s="257"/>
      <c r="I11" s="746">
        <f t="shared" si="4"/>
        <v>10841</v>
      </c>
      <c r="J11" s="425"/>
      <c r="K11" s="425"/>
      <c r="L11" s="426"/>
      <c r="N11" s="749" t="s">
        <v>974</v>
      </c>
      <c r="O11" s="103"/>
      <c r="P11" s="187"/>
    </row>
    <row r="12">
      <c r="A12" s="736">
        <v>17500.0</v>
      </c>
      <c r="B12" s="737">
        <v>19999.0</v>
      </c>
      <c r="C12" s="737">
        <v>131.0</v>
      </c>
      <c r="D12" s="738">
        <f t="shared" si="2"/>
        <v>279</v>
      </c>
      <c r="E12" s="739">
        <f t="shared" si="3"/>
        <v>330</v>
      </c>
      <c r="F12" s="740"/>
      <c r="G12" s="740"/>
      <c r="H12" s="261"/>
      <c r="I12" s="741">
        <f t="shared" si="4"/>
        <v>9442</v>
      </c>
      <c r="J12" s="408"/>
      <c r="K12" s="408"/>
      <c r="L12" s="409"/>
      <c r="N12" s="750" t="s">
        <v>975</v>
      </c>
      <c r="O12" s="751" t="s">
        <v>976</v>
      </c>
      <c r="P12" s="752"/>
    </row>
    <row r="13">
      <c r="A13" s="742">
        <v>20000.0</v>
      </c>
      <c r="B13" s="743">
        <v>22499.0</v>
      </c>
      <c r="C13" s="743">
        <v>149.0</v>
      </c>
      <c r="D13" s="744">
        <f t="shared" si="2"/>
        <v>317</v>
      </c>
      <c r="E13" s="745">
        <f t="shared" si="3"/>
        <v>291</v>
      </c>
      <c r="F13" s="353"/>
      <c r="G13" s="353"/>
      <c r="H13" s="257"/>
      <c r="I13" s="746">
        <f t="shared" si="4"/>
        <v>8310</v>
      </c>
      <c r="J13" s="425"/>
      <c r="K13" s="425"/>
      <c r="L13" s="426"/>
      <c r="N13" s="753">
        <v>5000.0</v>
      </c>
      <c r="O13" s="754">
        <v>26317.0</v>
      </c>
      <c r="P13" s="426"/>
    </row>
    <row r="14">
      <c r="A14" s="736">
        <v>22500.0</v>
      </c>
      <c r="B14" s="737">
        <v>24999.0</v>
      </c>
      <c r="C14" s="737">
        <v>166.0</v>
      </c>
      <c r="D14" s="738">
        <f t="shared" si="2"/>
        <v>354</v>
      </c>
      <c r="E14" s="739">
        <f t="shared" si="3"/>
        <v>260</v>
      </c>
      <c r="F14" s="740"/>
      <c r="G14" s="740"/>
      <c r="H14" s="261"/>
      <c r="I14" s="741">
        <f t="shared" si="4"/>
        <v>7442</v>
      </c>
      <c r="J14" s="408"/>
      <c r="K14" s="408"/>
      <c r="L14" s="409"/>
      <c r="N14" s="755">
        <v>10000.0</v>
      </c>
      <c r="O14" s="756">
        <v>48918.0</v>
      </c>
      <c r="P14" s="409"/>
    </row>
    <row r="15">
      <c r="A15" s="742">
        <v>25000.0</v>
      </c>
      <c r="B15" s="743">
        <v>29999.0</v>
      </c>
      <c r="C15" s="743">
        <v>193.0</v>
      </c>
      <c r="D15" s="744">
        <f t="shared" si="2"/>
        <v>411</v>
      </c>
      <c r="E15" s="745">
        <f t="shared" si="3"/>
        <v>224</v>
      </c>
      <c r="F15" s="353"/>
      <c r="G15" s="353"/>
      <c r="H15" s="257"/>
      <c r="I15" s="746">
        <f t="shared" si="4"/>
        <v>6410</v>
      </c>
      <c r="J15" s="425"/>
      <c r="K15" s="425"/>
      <c r="L15" s="426"/>
      <c r="N15" s="753">
        <v>25000.0</v>
      </c>
      <c r="O15" s="754">
        <v>110188.0</v>
      </c>
      <c r="P15" s="426"/>
    </row>
    <row r="16">
      <c r="A16" s="736">
        <v>30000.0</v>
      </c>
      <c r="B16" s="737">
        <v>34999.0</v>
      </c>
      <c r="C16" s="737">
        <v>228.0</v>
      </c>
      <c r="D16" s="738">
        <f t="shared" si="2"/>
        <v>486</v>
      </c>
      <c r="E16" s="739">
        <f t="shared" si="3"/>
        <v>190</v>
      </c>
      <c r="F16" s="740"/>
      <c r="G16" s="740"/>
      <c r="H16" s="261"/>
      <c r="I16" s="741">
        <f t="shared" si="4"/>
        <v>5421</v>
      </c>
      <c r="J16" s="408"/>
      <c r="K16" s="408"/>
      <c r="L16" s="409"/>
      <c r="N16" s="755">
        <v>50000.0</v>
      </c>
      <c r="O16" s="756">
        <v>202556.0</v>
      </c>
      <c r="P16" s="409"/>
    </row>
    <row r="17">
      <c r="A17" s="742">
        <v>35000.0</v>
      </c>
      <c r="B17" s="743">
        <v>39999.0</v>
      </c>
      <c r="C17" s="743">
        <v>263.0</v>
      </c>
      <c r="D17" s="744">
        <f t="shared" si="2"/>
        <v>560</v>
      </c>
      <c r="E17" s="745">
        <f t="shared" si="3"/>
        <v>165</v>
      </c>
      <c r="F17" s="353"/>
      <c r="G17" s="353"/>
      <c r="H17" s="257"/>
      <c r="I17" s="746">
        <f t="shared" si="4"/>
        <v>4704</v>
      </c>
      <c r="J17" s="425"/>
      <c r="K17" s="425"/>
      <c r="L17" s="426"/>
      <c r="N17" s="753">
        <v>75000.0</v>
      </c>
      <c r="O17" s="754">
        <v>288611.0</v>
      </c>
      <c r="P17" s="426"/>
    </row>
    <row r="18">
      <c r="A18" s="736">
        <v>40000.0</v>
      </c>
      <c r="B18" s="737">
        <v>44999.0</v>
      </c>
      <c r="C18" s="737">
        <v>298.0</v>
      </c>
      <c r="D18" s="738">
        <f t="shared" si="2"/>
        <v>635</v>
      </c>
      <c r="E18" s="739">
        <f t="shared" si="3"/>
        <v>145</v>
      </c>
      <c r="F18" s="740"/>
      <c r="G18" s="740"/>
      <c r="H18" s="261"/>
      <c r="I18" s="741">
        <f t="shared" si="4"/>
        <v>4149</v>
      </c>
      <c r="J18" s="408"/>
      <c r="K18" s="408"/>
      <c r="L18" s="409"/>
      <c r="N18" s="755">
        <v>100000.0</v>
      </c>
      <c r="O18" s="756">
        <v>370695.0</v>
      </c>
      <c r="P18" s="409"/>
    </row>
    <row r="19">
      <c r="A19" s="742">
        <v>45000.0</v>
      </c>
      <c r="B19" s="743">
        <v>49999.0</v>
      </c>
      <c r="C19" s="743">
        <v>333.0</v>
      </c>
      <c r="D19" s="744">
        <f t="shared" si="2"/>
        <v>709</v>
      </c>
      <c r="E19" s="745">
        <f t="shared" si="3"/>
        <v>130</v>
      </c>
      <c r="F19" s="353"/>
      <c r="G19" s="353"/>
      <c r="H19" s="257"/>
      <c r="I19" s="746">
        <f t="shared" si="4"/>
        <v>3716</v>
      </c>
      <c r="J19" s="425"/>
      <c r="K19" s="425"/>
      <c r="L19" s="426"/>
      <c r="N19" s="753">
        <v>125000.0</v>
      </c>
      <c r="O19" s="754">
        <v>449901.0</v>
      </c>
      <c r="P19" s="426"/>
    </row>
    <row r="20">
      <c r="A20" s="736">
        <v>50000.0</v>
      </c>
      <c r="B20" s="737">
        <v>54999.0</v>
      </c>
      <c r="C20" s="737">
        <v>368.0</v>
      </c>
      <c r="D20" s="738">
        <f t="shared" si="2"/>
        <v>784</v>
      </c>
      <c r="E20" s="739">
        <f t="shared" si="3"/>
        <v>118</v>
      </c>
      <c r="F20" s="740"/>
      <c r="G20" s="740"/>
      <c r="H20" s="261"/>
      <c r="I20" s="741">
        <f t="shared" si="4"/>
        <v>3360</v>
      </c>
      <c r="J20" s="408"/>
      <c r="K20" s="408"/>
      <c r="L20" s="409"/>
      <c r="N20" s="755">
        <v>150000.0</v>
      </c>
      <c r="O20" s="756">
        <v>526855.0</v>
      </c>
      <c r="P20" s="409"/>
    </row>
    <row r="21">
      <c r="A21" s="742">
        <v>55000.0</v>
      </c>
      <c r="B21" s="743">
        <v>59999.0</v>
      </c>
      <c r="C21" s="743">
        <v>403.0</v>
      </c>
      <c r="D21" s="744">
        <f t="shared" si="2"/>
        <v>858</v>
      </c>
      <c r="E21" s="745">
        <f t="shared" si="3"/>
        <v>108</v>
      </c>
      <c r="F21" s="353"/>
      <c r="G21" s="353"/>
      <c r="H21" s="257"/>
      <c r="I21" s="746">
        <f t="shared" si="4"/>
        <v>3071</v>
      </c>
      <c r="J21" s="425"/>
      <c r="K21" s="425"/>
      <c r="L21" s="426"/>
      <c r="N21" s="753">
        <v>175000.0</v>
      </c>
      <c r="O21" s="754">
        <v>601972.0</v>
      </c>
      <c r="P21" s="426"/>
    </row>
    <row r="22">
      <c r="A22" s="736">
        <v>60000.0</v>
      </c>
      <c r="B22" s="737">
        <v>64999.0</v>
      </c>
      <c r="C22" s="737">
        <v>438.0</v>
      </c>
      <c r="D22" s="738">
        <f t="shared" si="2"/>
        <v>933</v>
      </c>
      <c r="E22" s="739">
        <f t="shared" si="3"/>
        <v>99</v>
      </c>
      <c r="F22" s="740"/>
      <c r="G22" s="740"/>
      <c r="H22" s="261"/>
      <c r="I22" s="741">
        <f t="shared" si="4"/>
        <v>2824</v>
      </c>
      <c r="J22" s="408"/>
      <c r="K22" s="408"/>
      <c r="L22" s="409"/>
      <c r="N22" s="755">
        <v>200000.0</v>
      </c>
      <c r="O22" s="756">
        <v>675535.0</v>
      </c>
      <c r="P22" s="409"/>
    </row>
    <row r="23">
      <c r="A23" s="742">
        <v>65000.0</v>
      </c>
      <c r="B23" s="743">
        <v>69999.0</v>
      </c>
      <c r="C23" s="743">
        <v>473.0</v>
      </c>
      <c r="D23" s="744">
        <f t="shared" si="2"/>
        <v>1007</v>
      </c>
      <c r="E23" s="745">
        <f t="shared" si="3"/>
        <v>92</v>
      </c>
      <c r="F23" s="353"/>
      <c r="G23" s="353"/>
      <c r="H23" s="257"/>
      <c r="I23" s="746">
        <f t="shared" si="4"/>
        <v>2616</v>
      </c>
      <c r="J23" s="425"/>
      <c r="K23" s="425"/>
      <c r="L23" s="426"/>
      <c r="N23" s="757">
        <v>225000.0</v>
      </c>
      <c r="O23" s="758">
        <v>747756.0</v>
      </c>
      <c r="P23" s="426"/>
    </row>
    <row r="24">
      <c r="A24" s="736">
        <v>70000.0</v>
      </c>
      <c r="B24" s="737">
        <v>74999.0</v>
      </c>
      <c r="C24" s="737">
        <v>508.0</v>
      </c>
      <c r="D24" s="738">
        <f t="shared" si="2"/>
        <v>1082</v>
      </c>
      <c r="E24" s="739">
        <f t="shared" si="3"/>
        <v>85</v>
      </c>
      <c r="F24" s="740"/>
      <c r="G24" s="740"/>
      <c r="H24" s="261"/>
      <c r="I24" s="741">
        <f t="shared" si="4"/>
        <v>2435</v>
      </c>
      <c r="J24" s="408"/>
      <c r="K24" s="408"/>
      <c r="L24" s="409"/>
      <c r="N24" s="759">
        <v>250000.0</v>
      </c>
      <c r="O24" s="760">
        <v>818801.0</v>
      </c>
      <c r="P24" s="409"/>
    </row>
    <row r="25">
      <c r="A25" s="742">
        <v>75000.0</v>
      </c>
      <c r="B25" s="743">
        <v>79999.0</v>
      </c>
      <c r="C25" s="743">
        <v>543.0</v>
      </c>
      <c r="D25" s="744">
        <f t="shared" si="2"/>
        <v>1157</v>
      </c>
      <c r="E25" s="745">
        <f t="shared" si="3"/>
        <v>80</v>
      </c>
      <c r="F25" s="353"/>
      <c r="G25" s="353"/>
      <c r="H25" s="257"/>
      <c r="I25" s="746">
        <f t="shared" si="4"/>
        <v>2277</v>
      </c>
      <c r="J25" s="425"/>
      <c r="K25" s="425"/>
      <c r="L25" s="426"/>
      <c r="N25" s="757">
        <v>275000.0</v>
      </c>
      <c r="O25" s="758">
        <v>888799.0</v>
      </c>
      <c r="P25" s="426"/>
    </row>
    <row r="26">
      <c r="A26" s="736">
        <v>80000.0</v>
      </c>
      <c r="B26" s="737">
        <v>84999.0</v>
      </c>
      <c r="C26" s="737">
        <v>578.0</v>
      </c>
      <c r="D26" s="738">
        <f t="shared" si="2"/>
        <v>1231</v>
      </c>
      <c r="E26" s="739">
        <f t="shared" si="3"/>
        <v>75</v>
      </c>
      <c r="F26" s="740"/>
      <c r="G26" s="740"/>
      <c r="H26" s="261"/>
      <c r="I26" s="741">
        <f t="shared" si="4"/>
        <v>2140</v>
      </c>
      <c r="J26" s="408"/>
      <c r="K26" s="408"/>
      <c r="L26" s="409"/>
      <c r="N26" s="759">
        <v>300000.0</v>
      </c>
      <c r="O26" s="760">
        <v>957852.0</v>
      </c>
      <c r="P26" s="409"/>
    </row>
    <row r="27">
      <c r="A27" s="742">
        <v>85000.0</v>
      </c>
      <c r="B27" s="743">
        <v>89999.0</v>
      </c>
      <c r="C27" s="743">
        <v>613.0</v>
      </c>
      <c r="D27" s="744">
        <f t="shared" si="2"/>
        <v>1306</v>
      </c>
      <c r="E27" s="745">
        <f t="shared" si="3"/>
        <v>71</v>
      </c>
      <c r="F27" s="353"/>
      <c r="G27" s="353"/>
      <c r="H27" s="257"/>
      <c r="I27" s="746">
        <f t="shared" si="4"/>
        <v>2018</v>
      </c>
      <c r="J27" s="425"/>
      <c r="K27" s="425"/>
      <c r="L27" s="426"/>
      <c r="N27" s="757">
        <v>325000.0</v>
      </c>
      <c r="O27" s="758">
        <v>1026049.0</v>
      </c>
      <c r="P27" s="426"/>
    </row>
    <row r="28">
      <c r="A28" s="736">
        <v>90000.0</v>
      </c>
      <c r="B28" s="737">
        <v>94999.0</v>
      </c>
      <c r="C28" s="737">
        <v>648.0</v>
      </c>
      <c r="D28" s="738">
        <f t="shared" si="2"/>
        <v>1380</v>
      </c>
      <c r="E28" s="739">
        <f t="shared" si="3"/>
        <v>67</v>
      </c>
      <c r="F28" s="740"/>
      <c r="G28" s="740"/>
      <c r="H28" s="261"/>
      <c r="I28" s="741">
        <f t="shared" si="4"/>
        <v>1909</v>
      </c>
      <c r="J28" s="408"/>
      <c r="K28" s="408"/>
      <c r="L28" s="409"/>
      <c r="N28" s="759">
        <v>350000.0</v>
      </c>
      <c r="O28" s="760">
        <v>1093461.0</v>
      </c>
      <c r="P28" s="409"/>
    </row>
    <row r="29">
      <c r="A29" s="742">
        <v>95000.0</v>
      </c>
      <c r="B29" s="743">
        <v>99999.0</v>
      </c>
      <c r="C29" s="743">
        <v>683.0</v>
      </c>
      <c r="D29" s="744">
        <f t="shared" si="2"/>
        <v>1455</v>
      </c>
      <c r="E29" s="745">
        <f t="shared" si="3"/>
        <v>64</v>
      </c>
      <c r="F29" s="353"/>
      <c r="G29" s="353"/>
      <c r="H29" s="257"/>
      <c r="I29" s="746">
        <f t="shared" si="4"/>
        <v>1811</v>
      </c>
      <c r="J29" s="425"/>
      <c r="K29" s="425"/>
      <c r="L29" s="426"/>
      <c r="N29" s="757">
        <v>375000.0</v>
      </c>
      <c r="O29" s="758">
        <v>1160150.0</v>
      </c>
      <c r="P29" s="426"/>
    </row>
    <row r="30">
      <c r="A30" s="736">
        <v>100000.0</v>
      </c>
      <c r="B30" s="737">
        <v>109999.0</v>
      </c>
      <c r="C30" s="737">
        <v>735.0</v>
      </c>
      <c r="D30" s="738">
        <f t="shared" si="2"/>
        <v>1566</v>
      </c>
      <c r="E30" s="739">
        <f t="shared" si="3"/>
        <v>59</v>
      </c>
      <c r="F30" s="740"/>
      <c r="G30" s="740"/>
      <c r="H30" s="261"/>
      <c r="I30" s="741">
        <f t="shared" si="4"/>
        <v>1683</v>
      </c>
      <c r="J30" s="408"/>
      <c r="K30" s="408"/>
      <c r="L30" s="409"/>
      <c r="N30" s="759">
        <v>400000.0</v>
      </c>
      <c r="O30" s="760">
        <v>1226170.0</v>
      </c>
      <c r="P30" s="409"/>
    </row>
    <row r="31">
      <c r="A31" s="761">
        <v>110000.0</v>
      </c>
      <c r="B31" s="762">
        <v>1500000.0</v>
      </c>
      <c r="C31" s="762">
        <v>805.0</v>
      </c>
      <c r="D31" s="763">
        <f t="shared" si="2"/>
        <v>1715</v>
      </c>
      <c r="E31" s="764">
        <f t="shared" si="3"/>
        <v>54</v>
      </c>
      <c r="F31" s="765"/>
      <c r="G31" s="765"/>
      <c r="H31" s="547"/>
      <c r="I31" s="766">
        <f t="shared" si="4"/>
        <v>1536</v>
      </c>
      <c r="J31" s="437"/>
      <c r="K31" s="437"/>
      <c r="L31" s="438"/>
      <c r="N31" s="767">
        <v>425000.0</v>
      </c>
      <c r="O31" s="768">
        <v>1291567.0</v>
      </c>
      <c r="P31" s="438"/>
    </row>
  </sheetData>
  <mergeCells count="86">
    <mergeCell ref="E18:H18"/>
    <mergeCell ref="I18:L18"/>
    <mergeCell ref="E19:H19"/>
    <mergeCell ref="I19:L19"/>
    <mergeCell ref="E20:H20"/>
    <mergeCell ref="I20:L20"/>
    <mergeCell ref="I21:L21"/>
    <mergeCell ref="E28:H28"/>
    <mergeCell ref="E29:H29"/>
    <mergeCell ref="E30:H30"/>
    <mergeCell ref="E31:H31"/>
    <mergeCell ref="E21:H21"/>
    <mergeCell ref="E22:H22"/>
    <mergeCell ref="E23:H23"/>
    <mergeCell ref="E24:H24"/>
    <mergeCell ref="E25:H25"/>
    <mergeCell ref="E26:H26"/>
    <mergeCell ref="E27:H27"/>
    <mergeCell ref="I29:L29"/>
    <mergeCell ref="I30:L30"/>
    <mergeCell ref="I31:L31"/>
    <mergeCell ref="I22:L22"/>
    <mergeCell ref="I23:L23"/>
    <mergeCell ref="I24:L24"/>
    <mergeCell ref="I25:L25"/>
    <mergeCell ref="I26:L26"/>
    <mergeCell ref="I27:L27"/>
    <mergeCell ref="I28:L28"/>
    <mergeCell ref="O30:P30"/>
    <mergeCell ref="O31:P31"/>
    <mergeCell ref="O23:P23"/>
    <mergeCell ref="O24:P24"/>
    <mergeCell ref="O25:P25"/>
    <mergeCell ref="O26:P26"/>
    <mergeCell ref="O27:P27"/>
    <mergeCell ref="O28:P28"/>
    <mergeCell ref="O29:P29"/>
    <mergeCell ref="A1:D1"/>
    <mergeCell ref="E1:L1"/>
    <mergeCell ref="A2:B3"/>
    <mergeCell ref="E2:F2"/>
    <mergeCell ref="K2:L2"/>
    <mergeCell ref="N2:Q2"/>
    <mergeCell ref="K3:L3"/>
    <mergeCell ref="I3:J3"/>
    <mergeCell ref="E4:H4"/>
    <mergeCell ref="I4:L4"/>
    <mergeCell ref="E5:H5"/>
    <mergeCell ref="I5:L5"/>
    <mergeCell ref="E6:H6"/>
    <mergeCell ref="I6:L6"/>
    <mergeCell ref="E7:H7"/>
    <mergeCell ref="I7:L7"/>
    <mergeCell ref="E8:H8"/>
    <mergeCell ref="I8:L8"/>
    <mergeCell ref="E9:H9"/>
    <mergeCell ref="I9:L9"/>
    <mergeCell ref="N9:P9"/>
    <mergeCell ref="E10:H10"/>
    <mergeCell ref="I10:L10"/>
    <mergeCell ref="E11:H11"/>
    <mergeCell ref="I11:L11"/>
    <mergeCell ref="N11:P11"/>
    <mergeCell ref="I12:L12"/>
    <mergeCell ref="O12:P12"/>
    <mergeCell ref="E12:H12"/>
    <mergeCell ref="E13:H13"/>
    <mergeCell ref="I13:L13"/>
    <mergeCell ref="O13:P13"/>
    <mergeCell ref="E14:H14"/>
    <mergeCell ref="I14:L14"/>
    <mergeCell ref="O14:P14"/>
    <mergeCell ref="E15:H15"/>
    <mergeCell ref="I15:L15"/>
    <mergeCell ref="O15:P15"/>
    <mergeCell ref="E16:H16"/>
    <mergeCell ref="I16:L16"/>
    <mergeCell ref="E17:H17"/>
    <mergeCell ref="I17:L17"/>
    <mergeCell ref="O16:P16"/>
    <mergeCell ref="O17:P17"/>
    <mergeCell ref="O18:P18"/>
    <mergeCell ref="O19:P19"/>
    <mergeCell ref="O20:P20"/>
    <mergeCell ref="O21:P21"/>
    <mergeCell ref="O22:P22"/>
  </mergeCells>
  <dataValidations>
    <dataValidation type="decimal" allowBlank="1" showDropDown="1" showErrorMessage="1" sqref="O4:O7">
      <formula1>0.0</formula1>
      <formula2>1600000.0</formula2>
    </dataValidation>
    <dataValidation type="list" allowBlank="1" showErrorMessage="1" sqref="F3">
      <formula1>Range!$V$2:$V$69</formula1>
    </dataValidation>
    <dataValidation type="list" allowBlank="1" showInputMessage="1" prompt="Indicate whether opponent threat is higher or lower than your team's threat. If lower, you incur a 10% point penalty." sqref="P4:P8">
      <formula1>"Y,N"</formula1>
    </dataValidation>
    <dataValidation type="list" allowBlank="1" showErrorMessage="1" sqref="H2">
      <formula1>Range!$D$2:$D$70</formula1>
    </dataValidation>
    <dataValidation type="decimal" allowBlank="1" showDropDown="1" showInputMessage="1" prompt="Bir sayı girin aralığı 0 ve 1600000" sqref="O8">
      <formula1>0.0</formula1>
      <formula2>1600000.0</formula2>
    </dataValidation>
    <dataValidation type="list" allowBlank="1" showErrorMessage="1" sqref="D2">
      <formula1>"0,10,12,14,16,18"</formula1>
    </dataValidation>
    <dataValidation type="list" allowBlank="1" showErrorMessage="1" sqref="D3">
      <formula1>Range!$A$2:$A$22</formula1>
    </dataValidation>
  </dataValidations>
  <drawing r:id="rId1"/>
  <tableParts count="2">
    <tablePart r:id="rId4"/>
    <tablePart r:id="rId5"/>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1.57"/>
    <col customWidth="1" min="10" max="10" width="14.43"/>
  </cols>
  <sheetData>
    <row r="1">
      <c r="A1" s="769"/>
      <c r="B1" s="770" t="s">
        <v>977</v>
      </c>
      <c r="C1" s="103"/>
      <c r="D1" s="103"/>
      <c r="E1" s="103"/>
      <c r="F1" s="103"/>
      <c r="G1" s="103"/>
      <c r="H1" s="103"/>
      <c r="I1" s="187"/>
      <c r="J1" s="771"/>
      <c r="K1" s="771"/>
    </row>
    <row r="2">
      <c r="A2" s="368"/>
      <c r="B2" s="549" t="s">
        <v>978</v>
      </c>
      <c r="C2" s="103"/>
      <c r="D2" s="103"/>
      <c r="E2" s="103"/>
      <c r="F2" s="103"/>
      <c r="G2" s="103"/>
      <c r="H2" s="103"/>
      <c r="I2" s="187"/>
      <c r="J2" s="771"/>
      <c r="K2" s="771"/>
    </row>
    <row r="3">
      <c r="A3" s="772" t="s">
        <v>937</v>
      </c>
      <c r="B3" s="773">
        <v>1.0</v>
      </c>
      <c r="C3" s="774">
        <v>2.0</v>
      </c>
      <c r="D3" s="773">
        <v>3.0</v>
      </c>
      <c r="E3" s="774">
        <v>4.0</v>
      </c>
      <c r="F3" s="773">
        <v>5.0</v>
      </c>
      <c r="G3" s="774">
        <v>6.0</v>
      </c>
      <c r="H3" s="773">
        <v>7.0</v>
      </c>
      <c r="I3" s="775">
        <v>8.0</v>
      </c>
      <c r="J3" s="771"/>
      <c r="K3" s="771"/>
    </row>
    <row r="4">
      <c r="A4" s="776" t="s">
        <v>604</v>
      </c>
      <c r="B4" s="777">
        <v>4031.0</v>
      </c>
      <c r="C4" s="778">
        <v>14195.0</v>
      </c>
      <c r="D4" s="777">
        <v>28522.0</v>
      </c>
      <c r="E4" s="778">
        <v>55870.0</v>
      </c>
      <c r="F4" s="777">
        <v>93511.0</v>
      </c>
      <c r="G4" s="778">
        <v>146918.0</v>
      </c>
      <c r="H4" s="777">
        <v>231750.0</v>
      </c>
      <c r="I4" s="779">
        <v>300201.0</v>
      </c>
      <c r="J4" s="771"/>
      <c r="K4" s="771"/>
    </row>
    <row r="5">
      <c r="A5" s="549"/>
      <c r="B5" s="549" t="s">
        <v>979</v>
      </c>
      <c r="C5" s="103"/>
      <c r="D5" s="103"/>
      <c r="E5" s="103"/>
      <c r="F5" s="103"/>
      <c r="G5" s="103"/>
      <c r="H5" s="103"/>
      <c r="I5" s="187"/>
      <c r="J5" s="771"/>
      <c r="K5" s="771"/>
    </row>
    <row r="6">
      <c r="A6" s="772" t="s">
        <v>937</v>
      </c>
      <c r="B6" s="773">
        <v>1.0</v>
      </c>
      <c r="C6" s="774">
        <v>2.0</v>
      </c>
      <c r="D6" s="773">
        <v>3.0</v>
      </c>
      <c r="E6" s="774">
        <v>4.0</v>
      </c>
      <c r="F6" s="773">
        <v>5.0</v>
      </c>
      <c r="G6" s="774">
        <v>6.0</v>
      </c>
      <c r="H6" s="773">
        <v>7.0</v>
      </c>
      <c r="I6" s="775">
        <v>8.0</v>
      </c>
      <c r="J6" s="771"/>
      <c r="K6" s="771"/>
    </row>
    <row r="7">
      <c r="A7" s="776" t="s">
        <v>604</v>
      </c>
      <c r="B7" s="777">
        <v>4340.0</v>
      </c>
      <c r="C7" s="778">
        <v>15347.0</v>
      </c>
      <c r="D7" s="777">
        <v>28293.0</v>
      </c>
      <c r="E7" s="778">
        <v>55531.0</v>
      </c>
      <c r="F7" s="777">
        <v>87650.0</v>
      </c>
      <c r="G7" s="778">
        <v>125217.0</v>
      </c>
      <c r="H7" s="777">
        <v>206228.0</v>
      </c>
      <c r="I7" s="779">
        <v>272895.0</v>
      </c>
      <c r="J7" s="771"/>
      <c r="K7" s="771"/>
    </row>
    <row r="8">
      <c r="A8" s="549"/>
      <c r="B8" s="549" t="s">
        <v>980</v>
      </c>
      <c r="C8" s="103"/>
      <c r="D8" s="103"/>
      <c r="E8" s="103"/>
      <c r="F8" s="103"/>
      <c r="G8" s="103"/>
      <c r="H8" s="103"/>
      <c r="I8" s="187"/>
      <c r="J8" s="771"/>
      <c r="K8" s="771"/>
    </row>
    <row r="9">
      <c r="A9" s="772" t="s">
        <v>937</v>
      </c>
      <c r="B9" s="773">
        <v>1.0</v>
      </c>
      <c r="C9" s="774">
        <v>2.0</v>
      </c>
      <c r="D9" s="773">
        <v>3.0</v>
      </c>
      <c r="E9" s="774">
        <v>4.0</v>
      </c>
      <c r="F9" s="773">
        <v>5.0</v>
      </c>
      <c r="G9" s="774">
        <v>6.0</v>
      </c>
      <c r="H9" s="773">
        <v>7.0</v>
      </c>
      <c r="I9" s="775">
        <v>8.0</v>
      </c>
      <c r="J9" s="771"/>
      <c r="K9" s="771"/>
    </row>
    <row r="10">
      <c r="A10" s="776" t="s">
        <v>604</v>
      </c>
      <c r="B10" s="777">
        <v>4112.0</v>
      </c>
      <c r="C10" s="778">
        <v>14808.0</v>
      </c>
      <c r="D10" s="777">
        <v>27958.0</v>
      </c>
      <c r="E10" s="778">
        <v>67434.0</v>
      </c>
      <c r="F10" s="777">
        <v>102206.0</v>
      </c>
      <c r="G10" s="778">
        <v>152551.0</v>
      </c>
      <c r="H10" s="777">
        <v>233689.0</v>
      </c>
      <c r="I10" s="779">
        <v>324541.0</v>
      </c>
      <c r="J10" s="771"/>
      <c r="K10" s="771"/>
    </row>
    <row r="11">
      <c r="A11" s="549"/>
      <c r="B11" s="549" t="s">
        <v>981</v>
      </c>
      <c r="C11" s="103"/>
      <c r="D11" s="103"/>
      <c r="E11" s="103"/>
      <c r="F11" s="103"/>
      <c r="G11" s="103"/>
      <c r="H11" s="103"/>
      <c r="I11" s="187"/>
      <c r="J11" s="771"/>
      <c r="K11" s="771"/>
    </row>
    <row r="12">
      <c r="A12" s="772" t="s">
        <v>937</v>
      </c>
      <c r="B12" s="773">
        <v>1.0</v>
      </c>
      <c r="C12" s="774">
        <v>2.0</v>
      </c>
      <c r="D12" s="773">
        <v>3.0</v>
      </c>
      <c r="E12" s="774">
        <v>4.0</v>
      </c>
      <c r="F12" s="773">
        <v>5.0</v>
      </c>
      <c r="G12" s="774">
        <v>6.0</v>
      </c>
      <c r="H12" s="773">
        <v>7.0</v>
      </c>
      <c r="I12" s="775">
        <v>8.0</v>
      </c>
      <c r="J12" s="771"/>
      <c r="K12" s="771"/>
    </row>
    <row r="13">
      <c r="A13" s="776" t="s">
        <v>604</v>
      </c>
      <c r="B13" s="777">
        <v>4109.0</v>
      </c>
      <c r="C13" s="778">
        <v>15531.0</v>
      </c>
      <c r="D13" s="777">
        <v>28965.0</v>
      </c>
      <c r="E13" s="778">
        <v>65379.0</v>
      </c>
      <c r="F13" s="777">
        <v>92867.0</v>
      </c>
      <c r="G13" s="778">
        <v>145217.0</v>
      </c>
      <c r="H13" s="777">
        <v>225517.0</v>
      </c>
      <c r="I13" s="779">
        <v>287134.0</v>
      </c>
      <c r="J13" s="251"/>
      <c r="K13" s="251"/>
    </row>
    <row r="14">
      <c r="A14" s="549"/>
      <c r="B14" s="549" t="s">
        <v>982</v>
      </c>
      <c r="C14" s="103"/>
      <c r="D14" s="103"/>
      <c r="E14" s="103"/>
      <c r="F14" s="103"/>
      <c r="G14" s="103"/>
      <c r="H14" s="103"/>
      <c r="I14" s="187"/>
      <c r="J14" s="251"/>
      <c r="K14" s="251"/>
    </row>
    <row r="15">
      <c r="A15" s="772" t="s">
        <v>937</v>
      </c>
      <c r="B15" s="773">
        <v>1.0</v>
      </c>
      <c r="C15" s="774">
        <v>2.0</v>
      </c>
      <c r="D15" s="773">
        <v>3.0</v>
      </c>
      <c r="E15" s="774">
        <v>4.0</v>
      </c>
      <c r="F15" s="773">
        <v>5.0</v>
      </c>
      <c r="G15" s="774">
        <v>6.0</v>
      </c>
      <c r="H15" s="773">
        <v>7.0</v>
      </c>
      <c r="I15" s="775">
        <v>8.0</v>
      </c>
      <c r="J15" s="251"/>
      <c r="K15" s="251"/>
    </row>
    <row r="16">
      <c r="A16" s="776" t="s">
        <v>604</v>
      </c>
      <c r="B16" s="777">
        <v>4552.0</v>
      </c>
      <c r="C16" s="778">
        <v>16081.0</v>
      </c>
      <c r="D16" s="777">
        <v>29493.0</v>
      </c>
      <c r="E16" s="778">
        <v>64098.0</v>
      </c>
      <c r="F16" s="777">
        <v>102132.0</v>
      </c>
      <c r="G16" s="778">
        <v>144513.0</v>
      </c>
      <c r="H16" s="777">
        <v>211539.0</v>
      </c>
      <c r="I16" s="779">
        <v>315557.0</v>
      </c>
      <c r="J16" s="251"/>
      <c r="K16" s="251"/>
    </row>
    <row r="17">
      <c r="A17" s="780"/>
      <c r="B17" s="780" t="s">
        <v>983</v>
      </c>
      <c r="C17" s="103"/>
      <c r="D17" s="103"/>
      <c r="E17" s="103"/>
      <c r="F17" s="103"/>
      <c r="G17" s="103"/>
      <c r="H17" s="103"/>
      <c r="I17" s="187"/>
      <c r="J17" s="251"/>
      <c r="K17" s="251"/>
    </row>
    <row r="18">
      <c r="A18" s="772" t="s">
        <v>984</v>
      </c>
      <c r="B18" s="774">
        <v>6.0</v>
      </c>
      <c r="C18" s="774">
        <v>6.0</v>
      </c>
      <c r="D18" s="774">
        <v>6.0</v>
      </c>
      <c r="E18" s="774">
        <v>6.0</v>
      </c>
      <c r="F18" s="774">
        <v>6.0</v>
      </c>
      <c r="G18" s="774">
        <v>6.0</v>
      </c>
      <c r="H18" s="774">
        <v>6.0</v>
      </c>
      <c r="I18" s="774">
        <v>6.0</v>
      </c>
      <c r="J18" s="781" t="s">
        <v>985</v>
      </c>
      <c r="K18" s="251"/>
    </row>
    <row r="19">
      <c r="A19" s="526" t="s">
        <v>986</v>
      </c>
      <c r="B19" s="310">
        <v>2.0</v>
      </c>
      <c r="C19" s="310">
        <v>1.0</v>
      </c>
      <c r="D19" s="310"/>
      <c r="E19" s="310">
        <v>1.0</v>
      </c>
      <c r="F19" s="310"/>
      <c r="G19" s="310">
        <v>2.0</v>
      </c>
      <c r="H19" s="310">
        <v>1.0</v>
      </c>
      <c r="I19" s="782"/>
      <c r="J19" s="783">
        <v>50.0</v>
      </c>
      <c r="K19" s="251"/>
    </row>
    <row r="20">
      <c r="A20" s="526" t="s">
        <v>987</v>
      </c>
      <c r="B20" s="310">
        <v>5.0</v>
      </c>
      <c r="C20" s="310">
        <v>6.0</v>
      </c>
      <c r="D20" s="310">
        <v>2.0</v>
      </c>
      <c r="E20" s="310">
        <v>1.0</v>
      </c>
      <c r="F20" s="310">
        <v>1.0</v>
      </c>
      <c r="G20" s="310">
        <v>1.0</v>
      </c>
      <c r="H20" s="310"/>
      <c r="I20" s="782"/>
      <c r="J20" s="783">
        <v>100.0</v>
      </c>
      <c r="K20" s="251"/>
    </row>
    <row r="21">
      <c r="A21" s="526" t="s">
        <v>988</v>
      </c>
      <c r="B21" s="296"/>
      <c r="C21" s="310">
        <v>3.0</v>
      </c>
      <c r="D21" s="310">
        <v>7.0</v>
      </c>
      <c r="E21" s="310">
        <v>5.0</v>
      </c>
      <c r="F21" s="310">
        <v>3.0</v>
      </c>
      <c r="G21" s="310">
        <v>4.0</v>
      </c>
      <c r="H21" s="310">
        <v>2.0</v>
      </c>
      <c r="I21" s="784">
        <v>2.0</v>
      </c>
      <c r="J21" s="783">
        <v>200.0</v>
      </c>
      <c r="K21" s="251"/>
    </row>
    <row r="22">
      <c r="A22" s="526" t="s">
        <v>989</v>
      </c>
      <c r="B22" s="296"/>
      <c r="C22" s="310"/>
      <c r="D22" s="310">
        <v>1.0</v>
      </c>
      <c r="E22" s="310">
        <v>3.0</v>
      </c>
      <c r="F22" s="310">
        <v>5.0</v>
      </c>
      <c r="G22" s="310">
        <v>4.0</v>
      </c>
      <c r="H22" s="310">
        <v>3.0</v>
      </c>
      <c r="I22" s="784">
        <v>2.0</v>
      </c>
      <c r="J22" s="783">
        <v>750.0</v>
      </c>
      <c r="K22" s="251"/>
    </row>
    <row r="23">
      <c r="A23" s="526" t="s">
        <v>990</v>
      </c>
      <c r="B23" s="296"/>
      <c r="C23" s="310"/>
      <c r="D23" s="310"/>
      <c r="E23" s="310"/>
      <c r="F23" s="310"/>
      <c r="G23" s="310">
        <v>1.0</v>
      </c>
      <c r="H23" s="310">
        <v>3.0</v>
      </c>
      <c r="I23" s="784">
        <v>3.0</v>
      </c>
      <c r="J23" s="783">
        <v>1500.0</v>
      </c>
      <c r="K23" s="251"/>
    </row>
    <row r="24">
      <c r="A24" s="526" t="s">
        <v>991</v>
      </c>
      <c r="B24" s="296"/>
      <c r="C24" s="310"/>
      <c r="D24" s="310"/>
      <c r="E24" s="310"/>
      <c r="F24" s="310"/>
      <c r="G24" s="310"/>
      <c r="H24" s="310"/>
      <c r="I24" s="784">
        <v>1.0</v>
      </c>
      <c r="J24" s="785">
        <v>3000.0</v>
      </c>
      <c r="K24" s="251"/>
    </row>
    <row r="25">
      <c r="A25" s="526" t="s">
        <v>992</v>
      </c>
      <c r="B25" s="310">
        <f t="shared" ref="B25:I25" si="1">B19*$J$19+B20*$J$20+B21*$J$21+B22*$J$22+B23*$J$23+B24*$J$24</f>
        <v>600</v>
      </c>
      <c r="C25" s="310">
        <f t="shared" si="1"/>
        <v>1250</v>
      </c>
      <c r="D25" s="310">
        <f t="shared" si="1"/>
        <v>2350</v>
      </c>
      <c r="E25" s="310">
        <f t="shared" si="1"/>
        <v>3400</v>
      </c>
      <c r="F25" s="310">
        <f t="shared" si="1"/>
        <v>4450</v>
      </c>
      <c r="G25" s="310">
        <f t="shared" si="1"/>
        <v>5500</v>
      </c>
      <c r="H25" s="310">
        <f t="shared" si="1"/>
        <v>7200</v>
      </c>
      <c r="I25" s="786">
        <f t="shared" si="1"/>
        <v>9400</v>
      </c>
      <c r="J25" s="771"/>
      <c r="K25" s="251"/>
    </row>
    <row r="26">
      <c r="A26" s="526" t="s">
        <v>993</v>
      </c>
      <c r="B26" s="310">
        <f t="shared" ref="B26:I26" si="2">MULTIPLY(B25,3)</f>
        <v>1800</v>
      </c>
      <c r="C26" s="310">
        <f t="shared" si="2"/>
        <v>3750</v>
      </c>
      <c r="D26" s="310">
        <f t="shared" si="2"/>
        <v>7050</v>
      </c>
      <c r="E26" s="310">
        <f t="shared" si="2"/>
        <v>10200</v>
      </c>
      <c r="F26" s="310">
        <f t="shared" si="2"/>
        <v>13350</v>
      </c>
      <c r="G26" s="310">
        <f t="shared" si="2"/>
        <v>16500</v>
      </c>
      <c r="H26" s="310">
        <f t="shared" si="2"/>
        <v>21600</v>
      </c>
      <c r="I26" s="786">
        <f t="shared" si="2"/>
        <v>28200</v>
      </c>
      <c r="J26" s="771"/>
      <c r="K26" s="251"/>
    </row>
    <row r="27">
      <c r="A27" s="550" t="s">
        <v>994</v>
      </c>
      <c r="B27" s="541">
        <f t="shared" ref="B27:I27" si="3">MULTIPLY(B26,4)</f>
        <v>7200</v>
      </c>
      <c r="C27" s="541">
        <f t="shared" si="3"/>
        <v>15000</v>
      </c>
      <c r="D27" s="541">
        <f t="shared" si="3"/>
        <v>28200</v>
      </c>
      <c r="E27" s="541">
        <f t="shared" si="3"/>
        <v>40800</v>
      </c>
      <c r="F27" s="541">
        <f t="shared" si="3"/>
        <v>53400</v>
      </c>
      <c r="G27" s="541">
        <f t="shared" si="3"/>
        <v>66000</v>
      </c>
      <c r="H27" s="541">
        <f t="shared" si="3"/>
        <v>86400</v>
      </c>
      <c r="I27" s="787">
        <f t="shared" si="3"/>
        <v>112800</v>
      </c>
      <c r="J27" s="788"/>
      <c r="K27" s="251"/>
    </row>
    <row r="28">
      <c r="A28" s="549"/>
      <c r="B28" s="549" t="s">
        <v>995</v>
      </c>
      <c r="C28" s="103"/>
      <c r="D28" s="103"/>
      <c r="E28" s="103"/>
      <c r="F28" s="103"/>
      <c r="G28" s="103"/>
      <c r="H28" s="103"/>
      <c r="I28" s="187"/>
      <c r="J28" s="251"/>
      <c r="K28" s="251"/>
    </row>
    <row r="29">
      <c r="A29" s="772" t="s">
        <v>937</v>
      </c>
      <c r="B29" s="773">
        <v>1.0</v>
      </c>
      <c r="C29" s="774">
        <v>2.0</v>
      </c>
      <c r="D29" s="773">
        <v>3.0</v>
      </c>
      <c r="E29" s="774">
        <v>4.0</v>
      </c>
      <c r="F29" s="773">
        <v>5.0</v>
      </c>
      <c r="G29" s="774">
        <v>6.0</v>
      </c>
      <c r="H29" s="773">
        <v>7.0</v>
      </c>
      <c r="I29" s="775">
        <v>8.0</v>
      </c>
      <c r="J29" s="251"/>
      <c r="K29" s="251"/>
    </row>
    <row r="30">
      <c r="A30" s="789" t="s">
        <v>604</v>
      </c>
      <c r="B30" s="669">
        <v>4012.0</v>
      </c>
      <c r="C30" s="675">
        <v>14165.0</v>
      </c>
      <c r="D30" s="669">
        <v>27752.0</v>
      </c>
      <c r="E30" s="675">
        <v>63055.0</v>
      </c>
      <c r="F30" s="669">
        <v>85302.0</v>
      </c>
      <c r="G30" s="675">
        <v>148459.0</v>
      </c>
      <c r="H30" s="669">
        <v>239217.0</v>
      </c>
      <c r="I30" s="677">
        <v>307956.0</v>
      </c>
      <c r="J30" s="251"/>
      <c r="K30" s="251"/>
    </row>
    <row r="31">
      <c r="A31" s="789" t="s">
        <v>984</v>
      </c>
      <c r="B31" s="675">
        <v>6.0</v>
      </c>
      <c r="C31" s="675">
        <v>6.0</v>
      </c>
      <c r="D31" s="675">
        <v>6.0</v>
      </c>
      <c r="E31" s="675">
        <v>6.0</v>
      </c>
      <c r="F31" s="675">
        <v>6.0</v>
      </c>
      <c r="G31" s="675">
        <v>6.0</v>
      </c>
      <c r="H31" s="675">
        <v>6.0</v>
      </c>
      <c r="I31" s="677">
        <v>6.0</v>
      </c>
      <c r="J31" s="790" t="s">
        <v>996</v>
      </c>
      <c r="K31" s="251"/>
    </row>
    <row r="32">
      <c r="A32" s="526" t="s">
        <v>986</v>
      </c>
      <c r="B32" s="310">
        <v>2.0</v>
      </c>
      <c r="C32" s="310">
        <v>1.0</v>
      </c>
      <c r="D32" s="310"/>
      <c r="E32" s="310">
        <v>1.0</v>
      </c>
      <c r="F32" s="310"/>
      <c r="G32" s="310">
        <v>2.0</v>
      </c>
      <c r="H32" s="310">
        <v>1.0</v>
      </c>
      <c r="I32" s="297"/>
      <c r="J32" s="783">
        <v>50.0</v>
      </c>
      <c r="K32" s="251"/>
    </row>
    <row r="33">
      <c r="A33" s="526" t="s">
        <v>987</v>
      </c>
      <c r="B33" s="310">
        <v>5.0</v>
      </c>
      <c r="C33" s="310">
        <v>6.0</v>
      </c>
      <c r="D33" s="310">
        <v>2.0</v>
      </c>
      <c r="E33" s="310">
        <v>1.0</v>
      </c>
      <c r="F33" s="310">
        <v>1.0</v>
      </c>
      <c r="G33" s="310">
        <v>1.0</v>
      </c>
      <c r="H33" s="310"/>
      <c r="I33" s="297"/>
      <c r="J33" s="783">
        <v>100.0</v>
      </c>
      <c r="K33" s="251"/>
    </row>
    <row r="34">
      <c r="A34" s="526" t="s">
        <v>988</v>
      </c>
      <c r="B34" s="296"/>
      <c r="C34" s="310">
        <v>3.0</v>
      </c>
      <c r="D34" s="310">
        <v>7.0</v>
      </c>
      <c r="E34" s="310">
        <v>5.0</v>
      </c>
      <c r="F34" s="310">
        <v>3.0</v>
      </c>
      <c r="G34" s="310">
        <v>4.0</v>
      </c>
      <c r="H34" s="310">
        <v>2.0</v>
      </c>
      <c r="I34" s="786">
        <v>2.0</v>
      </c>
      <c r="J34" s="783">
        <v>200.0</v>
      </c>
      <c r="K34" s="251"/>
    </row>
    <row r="35">
      <c r="A35" s="526" t="s">
        <v>989</v>
      </c>
      <c r="B35" s="296"/>
      <c r="C35" s="310"/>
      <c r="D35" s="310">
        <v>1.0</v>
      </c>
      <c r="E35" s="310">
        <v>3.0</v>
      </c>
      <c r="F35" s="310">
        <v>5.0</v>
      </c>
      <c r="G35" s="310">
        <v>4.0</v>
      </c>
      <c r="H35" s="310">
        <v>3.0</v>
      </c>
      <c r="I35" s="786">
        <v>2.0</v>
      </c>
      <c r="J35" s="783">
        <v>750.0</v>
      </c>
      <c r="K35" s="251"/>
    </row>
    <row r="36">
      <c r="A36" s="526" t="s">
        <v>990</v>
      </c>
      <c r="B36" s="296"/>
      <c r="C36" s="310"/>
      <c r="D36" s="310"/>
      <c r="E36" s="310"/>
      <c r="F36" s="310"/>
      <c r="G36" s="310">
        <v>1.0</v>
      </c>
      <c r="H36" s="310">
        <v>3.0</v>
      </c>
      <c r="I36" s="786">
        <v>3.0</v>
      </c>
      <c r="J36" s="783">
        <v>1500.0</v>
      </c>
      <c r="K36" s="251"/>
    </row>
    <row r="37">
      <c r="A37" s="550" t="s">
        <v>991</v>
      </c>
      <c r="B37" s="791"/>
      <c r="C37" s="791"/>
      <c r="D37" s="791"/>
      <c r="E37" s="791"/>
      <c r="F37" s="791"/>
      <c r="G37" s="791"/>
      <c r="H37" s="791"/>
      <c r="I37" s="787">
        <v>1.0</v>
      </c>
      <c r="J37" s="785">
        <v>3000.0</v>
      </c>
      <c r="K37" s="251"/>
    </row>
    <row r="38">
      <c r="A38" s="549"/>
      <c r="B38" s="549" t="s">
        <v>997</v>
      </c>
      <c r="C38" s="103"/>
      <c r="D38" s="103"/>
      <c r="E38" s="103"/>
      <c r="F38" s="103"/>
      <c r="G38" s="103"/>
      <c r="H38" s="103"/>
      <c r="I38" s="187"/>
      <c r="J38" s="251"/>
      <c r="K38" s="251"/>
    </row>
    <row r="39">
      <c r="A39" s="772" t="s">
        <v>937</v>
      </c>
      <c r="B39" s="773">
        <v>1.0</v>
      </c>
      <c r="C39" s="774">
        <v>2.0</v>
      </c>
      <c r="D39" s="773">
        <v>3.0</v>
      </c>
      <c r="E39" s="774">
        <v>4.0</v>
      </c>
      <c r="F39" s="773">
        <v>5.0</v>
      </c>
      <c r="G39" s="774">
        <v>6.0</v>
      </c>
      <c r="H39" s="773">
        <v>7.0</v>
      </c>
      <c r="I39" s="775">
        <v>8.0</v>
      </c>
      <c r="J39" s="251"/>
      <c r="K39" s="251"/>
    </row>
    <row r="40">
      <c r="A40" s="789" t="s">
        <v>604</v>
      </c>
      <c r="B40" s="669">
        <v>4035.0</v>
      </c>
      <c r="C40" s="675">
        <v>14277.0</v>
      </c>
      <c r="D40" s="669">
        <v>25378.0</v>
      </c>
      <c r="E40" s="675">
        <v>56264.0</v>
      </c>
      <c r="F40" s="669">
        <v>82544.0</v>
      </c>
      <c r="G40" s="675">
        <v>139791.0</v>
      </c>
      <c r="H40" s="669">
        <v>225189.0</v>
      </c>
      <c r="I40" s="677">
        <v>293716.0</v>
      </c>
      <c r="J40" s="251"/>
      <c r="K40" s="251"/>
    </row>
    <row r="41">
      <c r="A41" s="792"/>
      <c r="B41" s="793"/>
      <c r="C41" s="793"/>
      <c r="D41" s="793"/>
      <c r="E41" s="793"/>
      <c r="F41" s="793"/>
      <c r="G41" s="793"/>
      <c r="H41" s="793"/>
      <c r="I41" s="793"/>
      <c r="J41" s="251"/>
      <c r="K41" s="251"/>
    </row>
  </sheetData>
  <mergeCells count="9">
    <mergeCell ref="B28:I28"/>
    <mergeCell ref="B38:I38"/>
    <mergeCell ref="B1:I1"/>
    <mergeCell ref="B2:I2"/>
    <mergeCell ref="B5:I5"/>
    <mergeCell ref="B8:I8"/>
    <mergeCell ref="B11:I11"/>
    <mergeCell ref="B14:I14"/>
    <mergeCell ref="B17:I17"/>
  </mergeCells>
  <drawing r:id="rId1"/>
  <tableParts count="3">
    <tablePart r:id="rId5"/>
    <tablePart r:id="rId6"/>
    <tablePart r:id="rId7"/>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3" width="23.0"/>
    <col customWidth="1" min="4" max="4" width="14.43"/>
    <col hidden="1" min="7" max="8" width="14.43"/>
    <col customWidth="1" hidden="1" min="9" max="9" width="19.86"/>
    <col customWidth="1" hidden="1" min="10" max="10" width="18.86"/>
    <col customWidth="1" hidden="1" min="11" max="11" width="25.86"/>
    <col customWidth="1" hidden="1" min="12" max="12" width="24.71"/>
  </cols>
  <sheetData>
    <row r="1">
      <c r="A1" s="10"/>
      <c r="G1" s="73">
        <v>4.0</v>
      </c>
      <c r="I1" s="73"/>
      <c r="J1" s="73"/>
      <c r="L1" s="75"/>
    </row>
    <row r="2">
      <c r="B2" s="794" t="s">
        <v>998</v>
      </c>
      <c r="C2" s="795"/>
      <c r="D2" s="795"/>
      <c r="E2" s="796"/>
      <c r="G2" s="73">
        <v>4.0</v>
      </c>
      <c r="I2" s="73"/>
      <c r="J2" s="73"/>
      <c r="L2" s="75"/>
    </row>
    <row r="3">
      <c r="A3" s="84"/>
      <c r="B3" s="797" t="s">
        <v>999</v>
      </c>
      <c r="C3" s="798"/>
      <c r="D3" s="799" t="s">
        <v>1000</v>
      </c>
      <c r="E3" s="800" t="s">
        <v>939</v>
      </c>
      <c r="F3" s="84"/>
      <c r="G3" s="73">
        <v>3.0</v>
      </c>
      <c r="I3" s="73"/>
      <c r="J3" s="73"/>
      <c r="L3" s="84"/>
    </row>
    <row r="4">
      <c r="A4" s="801"/>
      <c r="B4" s="802"/>
      <c r="C4" s="803"/>
      <c r="D4" s="804">
        <v>-3.0</v>
      </c>
      <c r="E4" s="805">
        <v>0.0</v>
      </c>
      <c r="F4" s="84"/>
      <c r="G4" s="73">
        <v>6.0</v>
      </c>
      <c r="I4" s="73"/>
      <c r="J4" s="73"/>
      <c r="L4" s="84"/>
    </row>
    <row r="5">
      <c r="A5" s="801"/>
      <c r="B5" s="806" t="s">
        <v>1001</v>
      </c>
      <c r="D5" s="807" t="s">
        <v>314</v>
      </c>
      <c r="E5" s="808"/>
      <c r="G5" s="73">
        <v>6.0</v>
      </c>
      <c r="I5" s="73"/>
      <c r="J5" s="73"/>
      <c r="L5" s="75"/>
    </row>
    <row r="6">
      <c r="A6" s="84"/>
      <c r="B6" s="809" t="s">
        <v>1002</v>
      </c>
      <c r="C6" s="685"/>
      <c r="D6" s="810" t="s">
        <v>362</v>
      </c>
      <c r="E6" s="811"/>
      <c r="F6" s="812"/>
      <c r="G6" s="73">
        <v>3.0</v>
      </c>
      <c r="I6" s="73"/>
      <c r="J6" s="73"/>
      <c r="L6" s="73"/>
    </row>
    <row r="7">
      <c r="A7" s="84"/>
      <c r="B7" s="813" t="s">
        <v>1003</v>
      </c>
      <c r="C7" s="814"/>
      <c r="D7" s="815" t="s">
        <v>1004</v>
      </c>
      <c r="E7" s="816"/>
      <c r="F7" s="817"/>
      <c r="G7" s="73">
        <v>6.0</v>
      </c>
      <c r="I7" s="73" t="s">
        <v>1005</v>
      </c>
      <c r="J7" s="73" t="s">
        <v>1006</v>
      </c>
      <c r="K7" s="73" t="s">
        <v>1007</v>
      </c>
      <c r="L7" s="73" t="s">
        <v>1008</v>
      </c>
    </row>
    <row r="8">
      <c r="A8" s="84"/>
      <c r="B8" s="818" t="s">
        <v>1009</v>
      </c>
      <c r="C8" s="408"/>
      <c r="D8" s="819">
        <f t="shared" ref="D8:D10" si="2">IF($D$5="Y",IF($D$6="Y",$L8+TIME(1,0,0),$L8),IF($D$6="Y",$K8+TIME(1,0,0),$K8))</f>
        <v>-0.125</v>
      </c>
      <c r="E8" s="820"/>
      <c r="F8" s="73"/>
      <c r="G8" s="73">
        <v>2.0</v>
      </c>
      <c r="I8" s="821">
        <v>0.0</v>
      </c>
      <c r="J8" s="821">
        <v>0.0</v>
      </c>
      <c r="K8" s="821">
        <f t="shared" ref="K8:L8" si="1">IF($D$4&lt;0,I8-TIME($D$4*-1,$E$4,0),I8+TIME($D$4,$E$4,0))</f>
        <v>-0.125</v>
      </c>
      <c r="L8" s="821">
        <f t="shared" si="1"/>
        <v>-0.125</v>
      </c>
    </row>
    <row r="9">
      <c r="A9" s="84"/>
      <c r="B9" s="822" t="s">
        <v>1010</v>
      </c>
      <c r="C9" s="823"/>
      <c r="D9" s="824">
        <f t="shared" si="2"/>
        <v>0.375</v>
      </c>
      <c r="E9" s="825"/>
      <c r="F9" s="73"/>
      <c r="G9" s="73">
        <v>3.0</v>
      </c>
      <c r="I9" s="821">
        <v>0.5</v>
      </c>
      <c r="J9" s="821">
        <v>0.5</v>
      </c>
      <c r="K9" s="821">
        <f t="shared" ref="K9:L9" si="3">IF($D$4&lt;0,I9-TIME($D$4*-1,$E$4,0),I9+TIME($D$4,$E$4,0))</f>
        <v>0.375</v>
      </c>
      <c r="L9" s="821">
        <f t="shared" si="3"/>
        <v>0.375</v>
      </c>
    </row>
    <row r="10">
      <c r="A10" s="84"/>
      <c r="B10" s="826" t="s">
        <v>1011</v>
      </c>
      <c r="C10" s="740"/>
      <c r="D10" s="819">
        <f t="shared" si="2"/>
        <v>0.2083333333</v>
      </c>
      <c r="E10" s="820"/>
      <c r="F10" s="73"/>
      <c r="G10" s="73">
        <v>6.0</v>
      </c>
      <c r="H10" s="73"/>
      <c r="I10" s="827">
        <v>0.375</v>
      </c>
      <c r="J10" s="821">
        <v>0.3333333333333333</v>
      </c>
      <c r="K10" s="821">
        <f t="shared" ref="K10:L10" si="4">IF($D$4&lt;0,I10-TIME($D$4*-1,$E$4,0),I10+TIME($D$4,$E$4,0))</f>
        <v>0.25</v>
      </c>
      <c r="L10" s="821">
        <f t="shared" si="4"/>
        <v>0.2083333333</v>
      </c>
    </row>
    <row r="11">
      <c r="A11" s="84"/>
      <c r="B11" s="828" t="s">
        <v>1012</v>
      </c>
      <c r="C11" s="829" t="s">
        <v>1013</v>
      </c>
      <c r="D11" s="830" t="str">
        <f t="shared" ref="D11:D21" si="6">TEXT(H11,"ddd")</f>
        <v>Wed</v>
      </c>
      <c r="E11" s="831">
        <f t="shared" ref="E11:E21" si="7">IF($D$5="Y",IF($D$6="Y",$L11+TIME(1,0,0),$L11),IF($D$6="Y",$K11+TIME(1,0,0),$K11))</f>
        <v>0.7083333333</v>
      </c>
      <c r="F11" s="73"/>
      <c r="G11" s="73">
        <v>5.0</v>
      </c>
      <c r="H11" s="73">
        <f t="shared" ref="H11:H21" si="8">IF($D$5="Y",IF(HOUR($J11)+$D$4+IF($D$6="Y",1,0)&gt;=24,$G1+1,$G1),IF(HOUR($I11)+$D$4+IF($D$6="Y",1,0)&gt;=24,$G1+1,$G1))</f>
        <v>4</v>
      </c>
      <c r="I11" s="827">
        <v>0.875</v>
      </c>
      <c r="J11" s="821">
        <v>0.8333333333333334</v>
      </c>
      <c r="K11" s="821">
        <f t="shared" ref="K11:L11" si="5">IF($D$4&lt;0,I11-TIME($D$4*-1,$E$4,0),I11+TIME($D$4,$E$4,0))</f>
        <v>0.75</v>
      </c>
      <c r="L11" s="821">
        <f t="shared" si="5"/>
        <v>0.7083333333</v>
      </c>
    </row>
    <row r="12">
      <c r="A12" s="84"/>
      <c r="B12" s="832"/>
      <c r="C12" s="307" t="s">
        <v>1014</v>
      </c>
      <c r="D12" s="833" t="str">
        <f t="shared" si="6"/>
        <v>Wed</v>
      </c>
      <c r="E12" s="834">
        <f t="shared" si="7"/>
        <v>0.6666666667</v>
      </c>
      <c r="F12" s="73"/>
      <c r="G12" s="73"/>
      <c r="H12" s="73">
        <f t="shared" si="8"/>
        <v>4</v>
      </c>
      <c r="I12" s="827">
        <v>0.8333333333333334</v>
      </c>
      <c r="J12" s="821">
        <v>0.7916666666666666</v>
      </c>
      <c r="K12" s="821">
        <f t="shared" ref="K12:L12" si="9">IF($D$4&lt;0,I12-TIME($D$4*-1,$E$4,0),I12+TIME($D$4,$E$4,0))</f>
        <v>0.7083333333</v>
      </c>
      <c r="L12" s="821">
        <f t="shared" si="9"/>
        <v>0.6666666667</v>
      </c>
    </row>
    <row r="13">
      <c r="A13" s="84"/>
      <c r="B13" s="828" t="s">
        <v>1015</v>
      </c>
      <c r="C13" s="829" t="s">
        <v>1013</v>
      </c>
      <c r="D13" s="830" t="str">
        <f t="shared" si="6"/>
        <v>Tue</v>
      </c>
      <c r="E13" s="831">
        <f t="shared" si="7"/>
        <v>0.5416666667</v>
      </c>
      <c r="F13" s="73"/>
      <c r="G13" s="73"/>
      <c r="H13" s="73">
        <f t="shared" si="8"/>
        <v>3</v>
      </c>
      <c r="I13" s="827">
        <v>0.7083333333333334</v>
      </c>
      <c r="J13" s="821">
        <v>0.6666666666666666</v>
      </c>
      <c r="K13" s="821">
        <f t="shared" ref="K13:L13" si="10">IF($D$4&lt;0,I13-TIME($D$4*-1,$E$4,0),I13+TIME($D$4,$E$4,0))</f>
        <v>0.5833333333</v>
      </c>
      <c r="L13" s="821">
        <f t="shared" si="10"/>
        <v>0.5416666667</v>
      </c>
    </row>
    <row r="14">
      <c r="A14" s="84"/>
      <c r="B14" s="832"/>
      <c r="C14" s="307" t="s">
        <v>1014</v>
      </c>
      <c r="D14" s="833" t="str">
        <f t="shared" si="6"/>
        <v>Fri</v>
      </c>
      <c r="E14" s="834">
        <f t="shared" si="7"/>
        <v>0.75</v>
      </c>
      <c r="F14" s="73"/>
      <c r="G14" s="73"/>
      <c r="H14" s="73">
        <f t="shared" si="8"/>
        <v>6</v>
      </c>
      <c r="I14" s="821">
        <v>0.9166666666666666</v>
      </c>
      <c r="J14" s="821">
        <v>0.875</v>
      </c>
      <c r="K14" s="821">
        <f t="shared" ref="K14:L14" si="11">IF($D$4&lt;0,I14-TIME($D$4*-1,$E$4,0),I14+TIME($D$4,$E$4,0))</f>
        <v>0.7916666667</v>
      </c>
      <c r="L14" s="821">
        <f t="shared" si="11"/>
        <v>0.75</v>
      </c>
    </row>
    <row r="15">
      <c r="A15" s="84"/>
      <c r="B15" s="828" t="s">
        <v>1016</v>
      </c>
      <c r="C15" s="829" t="s">
        <v>1013</v>
      </c>
      <c r="D15" s="830" t="str">
        <f t="shared" si="6"/>
        <v>Fri</v>
      </c>
      <c r="E15" s="831">
        <f t="shared" si="7"/>
        <v>0.7916666667</v>
      </c>
      <c r="F15" s="73"/>
      <c r="G15" s="73"/>
      <c r="H15" s="73">
        <f t="shared" si="8"/>
        <v>6</v>
      </c>
      <c r="I15" s="821">
        <v>0.9583333333333334</v>
      </c>
      <c r="J15" s="821">
        <v>0.9166666666666666</v>
      </c>
      <c r="K15" s="821">
        <f t="shared" ref="K15:L15" si="12">IF($D$4&lt;0,I15-TIME($D$4*-1,$E$4,0),I15+TIME($D$4,$E$4,0))</f>
        <v>0.8333333333</v>
      </c>
      <c r="L15" s="821">
        <f t="shared" si="12"/>
        <v>0.7916666667</v>
      </c>
    </row>
    <row r="16">
      <c r="A16" s="84"/>
      <c r="B16" s="832"/>
      <c r="C16" s="307" t="s">
        <v>1014</v>
      </c>
      <c r="D16" s="833" t="str">
        <f t="shared" si="6"/>
        <v>Tue</v>
      </c>
      <c r="E16" s="834">
        <f t="shared" si="7"/>
        <v>0.5</v>
      </c>
      <c r="F16" s="73"/>
      <c r="G16" s="73"/>
      <c r="H16" s="73">
        <f t="shared" si="8"/>
        <v>3</v>
      </c>
      <c r="I16" s="821">
        <v>0.6666666666666666</v>
      </c>
      <c r="J16" s="821">
        <v>0.625</v>
      </c>
      <c r="K16" s="821">
        <f t="shared" ref="K16:L16" si="13">IF($D$4&lt;0,I16-TIME($D$4*-1,$E$4,0),I16+TIME($D$4,$E$4,0))</f>
        <v>0.5416666667</v>
      </c>
      <c r="L16" s="821">
        <f t="shared" si="13"/>
        <v>0.5</v>
      </c>
    </row>
    <row r="17">
      <c r="A17" s="84"/>
      <c r="B17" s="828" t="s">
        <v>1017</v>
      </c>
      <c r="C17" s="829" t="s">
        <v>1018</v>
      </c>
      <c r="D17" s="830" t="str">
        <f t="shared" si="6"/>
        <v>Fri</v>
      </c>
      <c r="E17" s="831">
        <f t="shared" si="7"/>
        <v>0.5833333333</v>
      </c>
      <c r="F17" s="73"/>
      <c r="G17" s="73"/>
      <c r="H17" s="73">
        <f t="shared" si="8"/>
        <v>6</v>
      </c>
      <c r="I17" s="821">
        <v>0.75</v>
      </c>
      <c r="J17" s="821">
        <v>0.7083333333333334</v>
      </c>
      <c r="K17" s="821">
        <f t="shared" ref="K17:L17" si="14">IF($D$4&lt;0,I17-TIME($D$4*-1,$E$4,0),I17+TIME($D$4,$E$4,0))</f>
        <v>0.625</v>
      </c>
      <c r="L17" s="821">
        <f t="shared" si="14"/>
        <v>0.5833333333</v>
      </c>
    </row>
    <row r="18">
      <c r="A18" s="84"/>
      <c r="B18" s="832"/>
      <c r="C18" s="307" t="s">
        <v>1014</v>
      </c>
      <c r="D18" s="833" t="str">
        <f t="shared" si="6"/>
        <v>Mon</v>
      </c>
      <c r="E18" s="834">
        <f t="shared" si="7"/>
        <v>0.5833333333</v>
      </c>
      <c r="F18" s="73"/>
      <c r="G18" s="73"/>
      <c r="H18" s="73">
        <f t="shared" si="8"/>
        <v>2</v>
      </c>
      <c r="I18" s="821">
        <v>0.75</v>
      </c>
      <c r="J18" s="821">
        <v>0.7083333333333334</v>
      </c>
      <c r="K18" s="821">
        <f t="shared" ref="K18:L18" si="15">IF($D$4&lt;0,I18-TIME($D$4*-1,$E$4,0),I18+TIME($D$4,$E$4,0))</f>
        <v>0.625</v>
      </c>
      <c r="L18" s="821">
        <f t="shared" si="15"/>
        <v>0.5833333333</v>
      </c>
    </row>
    <row r="19">
      <c r="A19" s="84"/>
      <c r="B19" s="828" t="s">
        <v>1019</v>
      </c>
      <c r="C19" s="829" t="s">
        <v>1018</v>
      </c>
      <c r="D19" s="830" t="str">
        <f t="shared" si="6"/>
        <v>Tue</v>
      </c>
      <c r="E19" s="831">
        <f t="shared" si="7"/>
        <v>0.5833333333</v>
      </c>
      <c r="F19" s="73"/>
      <c r="G19" s="73"/>
      <c r="H19" s="73">
        <f t="shared" si="8"/>
        <v>3</v>
      </c>
      <c r="I19" s="821">
        <v>0.75</v>
      </c>
      <c r="J19" s="821">
        <v>0.7083333333333334</v>
      </c>
      <c r="K19" s="821">
        <f t="shared" ref="K19:L19" si="16">IF($D$4&lt;0,I19-TIME($D$4*-1,$E$4,0),I19+TIME($D$4,$E$4,0))</f>
        <v>0.625</v>
      </c>
      <c r="L19" s="821">
        <f t="shared" si="16"/>
        <v>0.5833333333</v>
      </c>
    </row>
    <row r="20">
      <c r="A20" s="84"/>
      <c r="B20" s="835"/>
      <c r="C20" s="307" t="s">
        <v>1014</v>
      </c>
      <c r="D20" s="833" t="str">
        <f t="shared" si="6"/>
        <v>Fri</v>
      </c>
      <c r="E20" s="834">
        <f t="shared" si="7"/>
        <v>0.5833333333</v>
      </c>
      <c r="F20" s="73"/>
      <c r="G20" s="73"/>
      <c r="H20" s="73">
        <f t="shared" si="8"/>
        <v>6</v>
      </c>
      <c r="I20" s="821">
        <v>0.75</v>
      </c>
      <c r="J20" s="821">
        <v>0.7083333333333334</v>
      </c>
      <c r="K20" s="821">
        <f t="shared" ref="K20:L20" si="17">IF($D$4&lt;0,I20-TIME($D$4*-1,$E$4,0),I20+TIME($D$4,$E$4,0))</f>
        <v>0.625</v>
      </c>
      <c r="L20" s="821">
        <f t="shared" si="17"/>
        <v>0.5833333333</v>
      </c>
    </row>
    <row r="21">
      <c r="A21" s="84"/>
      <c r="B21" s="836" t="s">
        <v>1020</v>
      </c>
      <c r="C21" s="837" t="s">
        <v>1021</v>
      </c>
      <c r="D21" s="838" t="str">
        <f t="shared" si="6"/>
        <v>Thu</v>
      </c>
      <c r="E21" s="839">
        <f t="shared" si="7"/>
        <v>0.5833333333</v>
      </c>
      <c r="F21" s="73"/>
      <c r="G21" s="73"/>
      <c r="H21" s="73">
        <f t="shared" si="8"/>
        <v>5</v>
      </c>
      <c r="I21" s="821">
        <v>0.75</v>
      </c>
      <c r="J21" s="821">
        <v>0.7083333333333334</v>
      </c>
      <c r="K21" s="821">
        <f t="shared" ref="K21:L21" si="18">IF($D$4&lt;0,I21-TIME($D$4*-1,$E$4,0),I21+TIME($D$4,$E$4,0))</f>
        <v>0.625</v>
      </c>
      <c r="L21" s="821">
        <f t="shared" si="18"/>
        <v>0.5833333333</v>
      </c>
    </row>
    <row r="22">
      <c r="A22" s="84"/>
      <c r="B22" s="840"/>
      <c r="C22" s="841"/>
      <c r="D22" s="842"/>
      <c r="E22" s="843"/>
      <c r="F22" s="73"/>
      <c r="G22" s="73"/>
      <c r="H22" s="73"/>
      <c r="I22" s="817"/>
      <c r="J22" s="817"/>
      <c r="K22" s="817"/>
      <c r="L22" s="817"/>
    </row>
    <row r="23">
      <c r="A23" s="84"/>
      <c r="B23" s="840"/>
      <c r="C23" s="841"/>
      <c r="D23" s="842"/>
      <c r="E23" s="843"/>
      <c r="F23" s="73"/>
      <c r="G23" s="73"/>
      <c r="H23" s="73"/>
      <c r="I23" s="817"/>
      <c r="J23" s="817"/>
      <c r="K23" s="817"/>
      <c r="L23" s="817"/>
    </row>
    <row r="24">
      <c r="A24" s="84"/>
      <c r="B24" s="844" t="s">
        <v>1022</v>
      </c>
      <c r="C24" s="845"/>
      <c r="D24" s="845"/>
      <c r="E24" s="846"/>
      <c r="F24" s="73"/>
      <c r="G24" s="73"/>
      <c r="H24" s="73"/>
      <c r="I24" s="817"/>
      <c r="J24" s="817"/>
      <c r="K24" s="817"/>
      <c r="L24" s="817"/>
    </row>
    <row r="25">
      <c r="A25" s="84"/>
      <c r="B25" s="847" t="s">
        <v>1023</v>
      </c>
      <c r="C25" s="848" t="s">
        <v>1024</v>
      </c>
      <c r="D25" s="849"/>
      <c r="E25" s="850"/>
      <c r="F25" s="73"/>
      <c r="G25" s="73"/>
      <c r="H25" s="73"/>
      <c r="I25" s="73"/>
      <c r="J25" s="73"/>
      <c r="K25" s="73" t="s">
        <v>1025</v>
      </c>
      <c r="L25" s="73" t="s">
        <v>1026</v>
      </c>
    </row>
    <row r="26">
      <c r="A26" s="84"/>
      <c r="B26" s="851" t="str">
        <f t="shared" ref="B26:B32" si="19">IF($D$6="Y",TEXT(L26,"ddd"),TEXT(K26,"ddd"))</f>
        <v>Sat</v>
      </c>
      <c r="C26" s="852" t="s">
        <v>595</v>
      </c>
      <c r="D26" s="853"/>
      <c r="E26" s="854"/>
      <c r="F26" s="73"/>
      <c r="G26" s="73"/>
      <c r="H26" s="73"/>
      <c r="I26" s="73"/>
      <c r="J26" s="73">
        <v>1.0</v>
      </c>
      <c r="K26" s="73">
        <f>IF($D$4&lt;0,7,IF($D$4=12,J26+1,J26))</f>
        <v>7</v>
      </c>
      <c r="L26" s="73">
        <f>IF($D$4+1&lt;0,7,IF($D$4+1&gt;=12,J26+1,J26))</f>
        <v>7</v>
      </c>
    </row>
    <row r="27">
      <c r="A27" s="84"/>
      <c r="B27" s="855" t="str">
        <f t="shared" si="19"/>
        <v>Sun</v>
      </c>
      <c r="C27" s="822" t="s">
        <v>1027</v>
      </c>
      <c r="D27" s="823"/>
      <c r="E27" s="825"/>
      <c r="F27" s="73"/>
      <c r="G27" s="73"/>
      <c r="H27" s="73"/>
      <c r="I27" s="73"/>
      <c r="J27" s="73">
        <v>2.0</v>
      </c>
      <c r="K27" s="73">
        <f t="shared" ref="K27:K32" si="20">IF($D$4&lt;0,J27-1,IF($D$4=12,J27+1,J27))</f>
        <v>1</v>
      </c>
      <c r="L27" s="73">
        <f t="shared" ref="L27:L32" si="21">IF($D$4+1&lt;0,J27-1,IF($D$4+1&gt;=12,J27+1,J27))</f>
        <v>1</v>
      </c>
    </row>
    <row r="28">
      <c r="A28" s="84"/>
      <c r="B28" s="856" t="str">
        <f t="shared" si="19"/>
        <v>Mon</v>
      </c>
      <c r="C28" s="857" t="s">
        <v>1028</v>
      </c>
      <c r="D28" s="740"/>
      <c r="E28" s="820"/>
      <c r="F28" s="73"/>
      <c r="G28" s="73"/>
      <c r="H28" s="73"/>
      <c r="I28" s="73"/>
      <c r="J28" s="73">
        <v>3.0</v>
      </c>
      <c r="K28" s="73">
        <f t="shared" si="20"/>
        <v>2</v>
      </c>
      <c r="L28" s="73">
        <f t="shared" si="21"/>
        <v>2</v>
      </c>
    </row>
    <row r="29">
      <c r="A29" s="84"/>
      <c r="B29" s="855" t="str">
        <f t="shared" si="19"/>
        <v>Tue</v>
      </c>
      <c r="C29" s="822" t="s">
        <v>1029</v>
      </c>
      <c r="D29" s="823"/>
      <c r="E29" s="825"/>
      <c r="F29" s="73"/>
      <c r="G29" s="73"/>
      <c r="H29" s="73"/>
      <c r="I29" s="73"/>
      <c r="J29" s="73">
        <v>4.0</v>
      </c>
      <c r="K29" s="73">
        <f t="shared" si="20"/>
        <v>3</v>
      </c>
      <c r="L29" s="73">
        <f t="shared" si="21"/>
        <v>3</v>
      </c>
    </row>
    <row r="30">
      <c r="A30" s="84"/>
      <c r="B30" s="856" t="str">
        <f t="shared" si="19"/>
        <v>Wed</v>
      </c>
      <c r="C30" s="857" t="s">
        <v>1030</v>
      </c>
      <c r="D30" s="740"/>
      <c r="E30" s="820"/>
      <c r="F30" s="73"/>
      <c r="G30" s="73"/>
      <c r="H30" s="73"/>
      <c r="I30" s="73"/>
      <c r="J30" s="73">
        <v>5.0</v>
      </c>
      <c r="K30" s="73">
        <f t="shared" si="20"/>
        <v>4</v>
      </c>
      <c r="L30" s="73">
        <f t="shared" si="21"/>
        <v>4</v>
      </c>
    </row>
    <row r="31">
      <c r="A31" s="84"/>
      <c r="B31" s="855" t="str">
        <f t="shared" si="19"/>
        <v>Thu</v>
      </c>
      <c r="C31" s="822" t="s">
        <v>1031</v>
      </c>
      <c r="D31" s="823"/>
      <c r="E31" s="825"/>
      <c r="F31" s="73"/>
      <c r="G31" s="73"/>
      <c r="H31" s="73"/>
      <c r="I31" s="73"/>
      <c r="J31" s="73">
        <v>6.0</v>
      </c>
      <c r="K31" s="73">
        <f t="shared" si="20"/>
        <v>5</v>
      </c>
      <c r="L31" s="73">
        <f t="shared" si="21"/>
        <v>5</v>
      </c>
    </row>
    <row r="32">
      <c r="A32" s="84"/>
      <c r="B32" s="858" t="str">
        <f t="shared" si="19"/>
        <v>Fri</v>
      </c>
      <c r="C32" s="859" t="s">
        <v>1032</v>
      </c>
      <c r="D32" s="860"/>
      <c r="E32" s="861"/>
      <c r="F32" s="73"/>
      <c r="G32" s="73"/>
      <c r="H32" s="73"/>
      <c r="I32" s="73"/>
      <c r="J32" s="73">
        <v>7.0</v>
      </c>
      <c r="K32" s="73">
        <f t="shared" si="20"/>
        <v>6</v>
      </c>
      <c r="L32" s="73">
        <f t="shared" si="21"/>
        <v>6</v>
      </c>
    </row>
    <row r="33">
      <c r="A33" s="84"/>
      <c r="B33" s="840"/>
      <c r="C33" s="841"/>
      <c r="D33" s="842"/>
      <c r="E33" s="843"/>
      <c r="F33" s="73"/>
      <c r="G33" s="73"/>
      <c r="H33" s="73"/>
      <c r="I33" s="817"/>
      <c r="J33" s="817"/>
      <c r="K33" s="817"/>
      <c r="L33" s="817"/>
    </row>
    <row r="34">
      <c r="A34" s="84"/>
      <c r="B34" s="840"/>
      <c r="C34" s="841"/>
      <c r="D34" s="842"/>
      <c r="E34" s="843"/>
      <c r="F34" s="73"/>
      <c r="G34" s="73"/>
      <c r="H34" s="73"/>
      <c r="I34" s="817"/>
      <c r="J34" s="817"/>
      <c r="K34" s="817"/>
      <c r="L34" s="817"/>
    </row>
  </sheetData>
  <mergeCells count="29">
    <mergeCell ref="A1:F1"/>
    <mergeCell ref="B2:E2"/>
    <mergeCell ref="B3:C4"/>
    <mergeCell ref="B5:C5"/>
    <mergeCell ref="D5:E5"/>
    <mergeCell ref="B6:C6"/>
    <mergeCell ref="D6:E6"/>
    <mergeCell ref="B7:C7"/>
    <mergeCell ref="D7:E7"/>
    <mergeCell ref="B8:C8"/>
    <mergeCell ref="D8:E8"/>
    <mergeCell ref="B9:C9"/>
    <mergeCell ref="D9:E9"/>
    <mergeCell ref="D10:E10"/>
    <mergeCell ref="C25:E25"/>
    <mergeCell ref="C26:E26"/>
    <mergeCell ref="C27:E27"/>
    <mergeCell ref="C28:E28"/>
    <mergeCell ref="C29:E29"/>
    <mergeCell ref="C30:E30"/>
    <mergeCell ref="C31:E31"/>
    <mergeCell ref="C32:E32"/>
    <mergeCell ref="B10:C10"/>
    <mergeCell ref="B11:B12"/>
    <mergeCell ref="B13:B14"/>
    <mergeCell ref="B15:B16"/>
    <mergeCell ref="B17:B18"/>
    <mergeCell ref="B19:B20"/>
    <mergeCell ref="B24:E24"/>
  </mergeCells>
  <dataValidations>
    <dataValidation type="list" allowBlank="1" showErrorMessage="1" sqref="E4">
      <formula1>"0,30,45"</formula1>
    </dataValidation>
    <dataValidation type="list" allowBlank="1" showErrorMessage="1" sqref="D6">
      <formula1>"Y,N"</formula1>
    </dataValidation>
    <dataValidation type="list" allowBlank="1" showErrorMessage="1" sqref="D4">
      <formula1>"-12,-11,-10,-9,-8,-7,-6,-5,-4,-3,-2,-1,0,1,2,3,4,5,6,7,8,9,10,11,12"</formula1>
    </dataValidation>
    <dataValidation type="list" allowBlank="1" sqref="D5">
      <formula1>"Y,N"</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43"/>
  </cols>
  <sheetData>
    <row r="1">
      <c r="A1" s="288"/>
      <c r="B1" s="707" t="s">
        <v>1033</v>
      </c>
      <c r="C1" s="103"/>
      <c r="D1" s="103"/>
      <c r="E1" s="103"/>
      <c r="F1" s="187"/>
      <c r="G1" s="288"/>
    </row>
    <row r="2">
      <c r="A2" s="288"/>
      <c r="B2" s="288"/>
      <c r="C2" s="288"/>
      <c r="D2" s="288"/>
      <c r="E2" s="288"/>
      <c r="F2" s="288"/>
      <c r="G2" s="288"/>
    </row>
    <row r="3">
      <c r="A3" s="288"/>
      <c r="B3" s="707" t="s">
        <v>1034</v>
      </c>
      <c r="C3" s="103"/>
      <c r="D3" s="103"/>
      <c r="E3" s="103"/>
      <c r="F3" s="187"/>
      <c r="G3" s="288"/>
    </row>
    <row r="4">
      <c r="A4" s="288"/>
      <c r="B4" s="862" t="s">
        <v>295</v>
      </c>
      <c r="C4" s="863" t="s">
        <v>553</v>
      </c>
      <c r="D4" s="864" t="s">
        <v>983</v>
      </c>
      <c r="E4" s="324"/>
      <c r="F4" s="325"/>
      <c r="G4" s="288"/>
    </row>
    <row r="5">
      <c r="A5" s="288"/>
      <c r="B5" s="421"/>
      <c r="C5" s="403"/>
      <c r="D5" s="865" t="s">
        <v>609</v>
      </c>
      <c r="E5" s="865" t="s">
        <v>553</v>
      </c>
      <c r="F5" s="866" t="s">
        <v>1035</v>
      </c>
      <c r="G5" s="288"/>
    </row>
    <row r="6">
      <c r="A6" s="288"/>
      <c r="B6" s="867">
        <v>1.0</v>
      </c>
      <c r="C6" s="868">
        <v>5000.0</v>
      </c>
      <c r="D6" s="868">
        <v>1300.0</v>
      </c>
      <c r="E6" s="868">
        <v>40.0</v>
      </c>
      <c r="F6" s="869">
        <v>3.0</v>
      </c>
      <c r="G6" s="288"/>
    </row>
    <row r="7">
      <c r="A7" s="288"/>
      <c r="B7" s="867">
        <v>2.0</v>
      </c>
      <c r="C7" s="868">
        <v>15000.0</v>
      </c>
      <c r="D7" s="868">
        <v>1400.0</v>
      </c>
      <c r="E7" s="868">
        <v>45.0</v>
      </c>
      <c r="F7" s="869">
        <v>5.0</v>
      </c>
      <c r="G7" s="288"/>
    </row>
    <row r="8">
      <c r="A8" s="288"/>
      <c r="B8" s="867">
        <v>3.0</v>
      </c>
      <c r="C8" s="868">
        <v>35000.0</v>
      </c>
      <c r="D8" s="868">
        <v>1600.0</v>
      </c>
      <c r="E8" s="868">
        <v>50.0</v>
      </c>
      <c r="F8" s="869">
        <v>8.0</v>
      </c>
      <c r="G8" s="288"/>
    </row>
    <row r="9">
      <c r="A9" s="288"/>
      <c r="B9" s="867">
        <v>4.0</v>
      </c>
      <c r="C9" s="868">
        <v>50000.0</v>
      </c>
      <c r="D9" s="868">
        <v>2000.0</v>
      </c>
      <c r="E9" s="868">
        <v>60.0</v>
      </c>
      <c r="F9" s="869">
        <v>10.0</v>
      </c>
      <c r="G9" s="288"/>
    </row>
    <row r="10">
      <c r="A10" s="288"/>
      <c r="B10" s="867">
        <v>5.0</v>
      </c>
      <c r="C10" s="868">
        <v>75000.0</v>
      </c>
      <c r="D10" s="868">
        <v>3500.0</v>
      </c>
      <c r="E10" s="868">
        <v>70.0</v>
      </c>
      <c r="F10" s="869">
        <v>15.0</v>
      </c>
      <c r="G10" s="288"/>
    </row>
    <row r="11">
      <c r="A11" s="288"/>
      <c r="B11" s="870">
        <v>6.0</v>
      </c>
      <c r="C11" s="871">
        <v>100000.0</v>
      </c>
      <c r="D11" s="871">
        <v>4500.0</v>
      </c>
      <c r="E11" s="871">
        <v>85.0</v>
      </c>
      <c r="F11" s="872">
        <v>20.0</v>
      </c>
      <c r="G11" s="288"/>
    </row>
    <row r="12">
      <c r="A12" s="288"/>
      <c r="B12" s="288"/>
      <c r="C12" s="288"/>
      <c r="D12" s="288"/>
      <c r="E12" s="288"/>
      <c r="F12" s="288"/>
      <c r="G12" s="288"/>
    </row>
    <row r="13">
      <c r="A13" s="288"/>
      <c r="B13" s="288"/>
      <c r="C13" s="288"/>
      <c r="D13" s="288"/>
      <c r="E13" s="288"/>
      <c r="F13" s="288"/>
      <c r="G13" s="288"/>
    </row>
    <row r="14">
      <c r="A14" s="288"/>
      <c r="B14" s="707" t="s">
        <v>1036</v>
      </c>
      <c r="C14" s="103"/>
      <c r="D14" s="103"/>
      <c r="E14" s="103"/>
      <c r="F14" s="187"/>
      <c r="G14" s="288"/>
    </row>
    <row r="15">
      <c r="A15" s="288"/>
      <c r="B15" s="862" t="s">
        <v>295</v>
      </c>
      <c r="C15" s="863" t="s">
        <v>1037</v>
      </c>
      <c r="D15" s="864" t="s">
        <v>983</v>
      </c>
      <c r="E15" s="324"/>
      <c r="F15" s="325"/>
      <c r="G15" s="288"/>
    </row>
    <row r="16">
      <c r="A16" s="288"/>
      <c r="B16" s="421"/>
      <c r="C16" s="403"/>
      <c r="D16" s="865" t="s">
        <v>609</v>
      </c>
      <c r="E16" s="865" t="s">
        <v>553</v>
      </c>
      <c r="F16" s="866" t="s">
        <v>1035</v>
      </c>
      <c r="G16" s="288"/>
    </row>
    <row r="17">
      <c r="A17" s="288"/>
      <c r="B17" s="867">
        <v>1.0</v>
      </c>
      <c r="C17" s="868">
        <v>150000.0</v>
      </c>
      <c r="D17" s="868">
        <v>1300.0</v>
      </c>
      <c r="E17" s="868">
        <v>40.0</v>
      </c>
      <c r="F17" s="869">
        <v>3.0</v>
      </c>
      <c r="G17" s="288"/>
    </row>
    <row r="18">
      <c r="A18" s="288"/>
      <c r="B18" s="867">
        <v>2.0</v>
      </c>
      <c r="C18" s="868">
        <v>300000.0</v>
      </c>
      <c r="D18" s="868">
        <v>1400.0</v>
      </c>
      <c r="E18" s="868">
        <v>45.0</v>
      </c>
      <c r="F18" s="869">
        <v>5.0</v>
      </c>
      <c r="G18" s="288"/>
    </row>
    <row r="19">
      <c r="A19" s="288"/>
      <c r="B19" s="867">
        <v>3.0</v>
      </c>
      <c r="C19" s="868">
        <v>600000.0</v>
      </c>
      <c r="D19" s="868">
        <v>1600.0</v>
      </c>
      <c r="E19" s="868">
        <v>50.0</v>
      </c>
      <c r="F19" s="869">
        <v>8.0</v>
      </c>
      <c r="G19" s="288"/>
    </row>
    <row r="20">
      <c r="A20" s="288"/>
      <c r="B20" s="867">
        <v>4.0</v>
      </c>
      <c r="C20" s="868">
        <v>1000000.0</v>
      </c>
      <c r="D20" s="868">
        <v>2000.0</v>
      </c>
      <c r="E20" s="868">
        <v>60.0</v>
      </c>
      <c r="F20" s="869">
        <v>10.0</v>
      </c>
      <c r="G20" s="288"/>
    </row>
    <row r="21">
      <c r="A21" s="288"/>
      <c r="B21" s="867">
        <v>5.0</v>
      </c>
      <c r="C21" s="868">
        <v>2000000.0</v>
      </c>
      <c r="D21" s="868">
        <v>3500.0</v>
      </c>
      <c r="E21" s="868">
        <v>70.0</v>
      </c>
      <c r="F21" s="869">
        <v>15.0</v>
      </c>
      <c r="G21" s="288"/>
    </row>
    <row r="22">
      <c r="A22" s="288"/>
      <c r="B22" s="870">
        <v>6.0</v>
      </c>
      <c r="C22" s="871">
        <v>4000000.0</v>
      </c>
      <c r="D22" s="871">
        <v>4500.0</v>
      </c>
      <c r="E22" s="871">
        <v>85.0</v>
      </c>
      <c r="F22" s="872">
        <v>20.0</v>
      </c>
      <c r="G22" s="288"/>
    </row>
    <row r="23">
      <c r="A23" s="288"/>
      <c r="B23" s="288"/>
      <c r="C23" s="288"/>
      <c r="D23" s="288"/>
      <c r="E23" s="288"/>
      <c r="F23" s="288"/>
      <c r="G23" s="288"/>
    </row>
    <row r="24">
      <c r="A24" s="288"/>
      <c r="B24" s="288"/>
      <c r="C24" s="288"/>
      <c r="D24" s="288"/>
      <c r="E24" s="288"/>
      <c r="F24" s="288"/>
      <c r="G24" s="288"/>
    </row>
    <row r="25">
      <c r="A25" s="288"/>
      <c r="B25" s="707" t="s">
        <v>1038</v>
      </c>
      <c r="C25" s="103"/>
      <c r="D25" s="103"/>
      <c r="E25" s="103"/>
      <c r="F25" s="187"/>
      <c r="G25" s="288"/>
    </row>
    <row r="26">
      <c r="A26" s="288"/>
      <c r="B26" s="707" t="s">
        <v>1039</v>
      </c>
      <c r="C26" s="103"/>
      <c r="D26" s="103"/>
      <c r="E26" s="103"/>
      <c r="F26" s="187"/>
      <c r="G26" s="288"/>
    </row>
    <row r="27">
      <c r="A27" s="288"/>
      <c r="B27" s="707" t="s">
        <v>1040</v>
      </c>
      <c r="C27" s="103"/>
      <c r="D27" s="103"/>
      <c r="E27" s="103"/>
      <c r="F27" s="187"/>
      <c r="G27" s="288"/>
    </row>
    <row r="28">
      <c r="A28" s="288"/>
      <c r="B28" s="707" t="s">
        <v>1041</v>
      </c>
      <c r="C28" s="103"/>
      <c r="D28" s="103"/>
      <c r="E28" s="103"/>
      <c r="F28" s="187"/>
      <c r="G28" s="288"/>
    </row>
    <row r="29">
      <c r="A29" s="288"/>
      <c r="B29" s="707" t="s">
        <v>1042</v>
      </c>
      <c r="C29" s="103"/>
      <c r="D29" s="103"/>
      <c r="E29" s="103"/>
      <c r="F29" s="187"/>
      <c r="G29" s="288"/>
    </row>
    <row r="30">
      <c r="A30" s="288"/>
      <c r="B30" s="862" t="s">
        <v>295</v>
      </c>
      <c r="C30" s="873" t="s">
        <v>1043</v>
      </c>
      <c r="D30" s="864" t="s">
        <v>983</v>
      </c>
      <c r="E30" s="324"/>
      <c r="F30" s="325"/>
      <c r="G30" s="288"/>
    </row>
    <row r="31">
      <c r="A31" s="288"/>
      <c r="B31" s="421"/>
      <c r="C31" s="403"/>
      <c r="D31" s="865" t="s">
        <v>609</v>
      </c>
      <c r="E31" s="865" t="s">
        <v>553</v>
      </c>
      <c r="F31" s="866" t="s">
        <v>1035</v>
      </c>
      <c r="G31" s="288"/>
    </row>
    <row r="32">
      <c r="A32" s="288"/>
      <c r="B32" s="867">
        <v>1.0</v>
      </c>
      <c r="C32" s="868">
        <v>150.0</v>
      </c>
      <c r="D32" s="868">
        <v>1000.0</v>
      </c>
      <c r="E32" s="868">
        <v>30.0</v>
      </c>
      <c r="F32" s="869">
        <v>3.0</v>
      </c>
      <c r="G32" s="288"/>
    </row>
    <row r="33">
      <c r="A33" s="288"/>
      <c r="B33" s="867">
        <v>2.0</v>
      </c>
      <c r="C33" s="868">
        <v>300.0</v>
      </c>
      <c r="D33" s="868">
        <v>1200.0</v>
      </c>
      <c r="E33" s="868">
        <v>35.0</v>
      </c>
      <c r="F33" s="869">
        <v>5.0</v>
      </c>
      <c r="G33" s="288"/>
    </row>
    <row r="34">
      <c r="A34" s="288"/>
      <c r="B34" s="867">
        <v>3.0</v>
      </c>
      <c r="C34" s="868">
        <v>450.0</v>
      </c>
      <c r="D34" s="868">
        <v>1400.0</v>
      </c>
      <c r="E34" s="868">
        <v>40.0</v>
      </c>
      <c r="F34" s="869">
        <v>8.0</v>
      </c>
      <c r="G34" s="288"/>
    </row>
    <row r="35">
      <c r="A35" s="288"/>
      <c r="B35" s="867">
        <v>4.0</v>
      </c>
      <c r="C35" s="868">
        <v>600.0</v>
      </c>
      <c r="D35" s="868">
        <v>1800.0</v>
      </c>
      <c r="E35" s="868">
        <v>45.0</v>
      </c>
      <c r="F35" s="869">
        <v>10.0</v>
      </c>
      <c r="G35" s="288"/>
    </row>
    <row r="36">
      <c r="A36" s="288"/>
      <c r="B36" s="867">
        <v>5.0</v>
      </c>
      <c r="C36" s="868">
        <v>750.0</v>
      </c>
      <c r="D36" s="868">
        <v>2400.0</v>
      </c>
      <c r="E36" s="868">
        <v>50.0</v>
      </c>
      <c r="F36" s="869">
        <v>15.0</v>
      </c>
      <c r="G36" s="288"/>
    </row>
    <row r="37">
      <c r="A37" s="288"/>
      <c r="B37" s="870">
        <v>6.0</v>
      </c>
      <c r="C37" s="871">
        <v>900.0</v>
      </c>
      <c r="D37" s="871">
        <v>3500.0</v>
      </c>
      <c r="E37" s="871">
        <v>70.0</v>
      </c>
      <c r="F37" s="872">
        <v>20.0</v>
      </c>
      <c r="G37" s="288"/>
    </row>
    <row r="38">
      <c r="A38" s="288"/>
      <c r="B38" s="288"/>
      <c r="C38" s="288"/>
      <c r="D38" s="288"/>
      <c r="E38" s="288"/>
      <c r="F38" s="288"/>
      <c r="G38" s="288"/>
    </row>
  </sheetData>
  <mergeCells count="17">
    <mergeCell ref="B14:F14"/>
    <mergeCell ref="D15:F15"/>
    <mergeCell ref="B25:F25"/>
    <mergeCell ref="B26:F26"/>
    <mergeCell ref="B27:F27"/>
    <mergeCell ref="B28:F28"/>
    <mergeCell ref="B29:F29"/>
    <mergeCell ref="B30:B31"/>
    <mergeCell ref="C30:C31"/>
    <mergeCell ref="D30:F30"/>
    <mergeCell ref="B1:F1"/>
    <mergeCell ref="B3:F3"/>
    <mergeCell ref="B4:B5"/>
    <mergeCell ref="C4:C5"/>
    <mergeCell ref="D4:F4"/>
    <mergeCell ref="B15:B16"/>
    <mergeCell ref="C15:C16"/>
  </mergeCells>
  <drawing r:id="rId1"/>
  <tableParts count="3">
    <tablePart r:id="rId5"/>
    <tablePart r:id="rId6"/>
    <tablePart r:id="rId7"/>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86"/>
    <col customWidth="1" min="3" max="5" width="18.0"/>
    <col customWidth="1" min="6" max="6" width="20.0"/>
    <col customWidth="1" min="7" max="7" width="18.0"/>
    <col customWidth="1" min="8" max="8" width="18.57"/>
    <col customWidth="1" min="9" max="9" width="21.71"/>
    <col customWidth="1" min="10" max="11" width="23.43"/>
  </cols>
  <sheetData>
    <row r="1">
      <c r="A1" s="874" t="s">
        <v>1044</v>
      </c>
      <c r="B1" s="875" t="s">
        <v>1045</v>
      </c>
      <c r="C1" s="8"/>
      <c r="D1" s="8"/>
      <c r="E1" s="8"/>
      <c r="F1" s="8"/>
      <c r="G1" s="8"/>
      <c r="H1" s="8"/>
      <c r="I1" s="8"/>
      <c r="J1" s="8"/>
      <c r="K1" s="9"/>
    </row>
    <row r="2">
      <c r="A2" s="403"/>
      <c r="B2" s="876" t="s">
        <v>1046</v>
      </c>
      <c r="C2" s="877" t="s">
        <v>1047</v>
      </c>
      <c r="D2" s="877" t="s">
        <v>1048</v>
      </c>
      <c r="E2" s="877" t="s">
        <v>1049</v>
      </c>
      <c r="F2" s="877" t="s">
        <v>1050</v>
      </c>
      <c r="G2" s="878" t="s">
        <v>1051</v>
      </c>
      <c r="H2" s="877" t="s">
        <v>1052</v>
      </c>
      <c r="I2" s="877" t="s">
        <v>1053</v>
      </c>
      <c r="J2" s="877" t="s">
        <v>1054</v>
      </c>
      <c r="K2" s="877" t="s">
        <v>1055</v>
      </c>
    </row>
    <row r="3">
      <c r="A3" s="879" t="s">
        <v>38</v>
      </c>
      <c r="B3" s="880">
        <v>0.0</v>
      </c>
      <c r="C3" s="881">
        <v>25.0</v>
      </c>
      <c r="D3" s="881">
        <v>0.0</v>
      </c>
      <c r="E3" s="881">
        <v>0.0</v>
      </c>
      <c r="F3" s="881">
        <v>0.0</v>
      </c>
      <c r="G3" s="882">
        <v>1.0</v>
      </c>
      <c r="H3" s="881">
        <v>150.0</v>
      </c>
      <c r="I3" s="882">
        <v>1.0</v>
      </c>
      <c r="J3" s="882">
        <v>1.0</v>
      </c>
      <c r="K3" s="881">
        <v>0.0</v>
      </c>
    </row>
    <row r="4">
      <c r="A4" s="879" t="s">
        <v>62</v>
      </c>
      <c r="B4" s="880">
        <v>0.0</v>
      </c>
      <c r="C4" s="881">
        <v>25.0</v>
      </c>
      <c r="D4" s="881">
        <v>0.0</v>
      </c>
      <c r="E4" s="881">
        <v>0.0</v>
      </c>
      <c r="F4" s="881">
        <v>0.0</v>
      </c>
      <c r="G4" s="882">
        <v>1.0</v>
      </c>
      <c r="H4" s="881">
        <v>150.0</v>
      </c>
      <c r="I4" s="882">
        <v>1.0</v>
      </c>
      <c r="J4" s="882">
        <v>1.0</v>
      </c>
      <c r="K4" s="881">
        <v>0.0</v>
      </c>
    </row>
    <row r="5">
      <c r="A5" s="879" t="s">
        <v>69</v>
      </c>
      <c r="B5" s="880">
        <v>0.0</v>
      </c>
      <c r="C5" s="881">
        <v>25.0</v>
      </c>
      <c r="D5" s="881">
        <v>0.0</v>
      </c>
      <c r="E5" s="881">
        <v>0.0</v>
      </c>
      <c r="F5" s="881">
        <v>0.0</v>
      </c>
      <c r="G5" s="882">
        <v>1.0</v>
      </c>
      <c r="H5" s="881">
        <v>150.0</v>
      </c>
      <c r="I5" s="882">
        <v>1.0</v>
      </c>
      <c r="J5" s="882">
        <v>1.0</v>
      </c>
      <c r="K5" s="881">
        <v>0.0</v>
      </c>
    </row>
    <row r="6">
      <c r="A6" s="879" t="s">
        <v>125</v>
      </c>
      <c r="B6" s="880">
        <v>0.0</v>
      </c>
      <c r="C6" s="881">
        <v>25.0</v>
      </c>
      <c r="D6" s="881">
        <v>0.0</v>
      </c>
      <c r="E6" s="881">
        <v>0.0</v>
      </c>
      <c r="F6" s="881">
        <v>0.0</v>
      </c>
      <c r="G6" s="882">
        <v>1.0</v>
      </c>
      <c r="H6" s="881">
        <v>150.0</v>
      </c>
      <c r="I6" s="882">
        <v>1.0</v>
      </c>
      <c r="J6" s="882">
        <v>1.0</v>
      </c>
      <c r="K6" s="881">
        <v>0.0</v>
      </c>
    </row>
    <row r="7">
      <c r="A7" s="879" t="s">
        <v>133</v>
      </c>
      <c r="B7" s="880">
        <v>0.0</v>
      </c>
      <c r="C7" s="881">
        <v>25.0</v>
      </c>
      <c r="D7" s="881">
        <v>0.0</v>
      </c>
      <c r="E7" s="881">
        <v>0.0</v>
      </c>
      <c r="F7" s="881">
        <v>0.0</v>
      </c>
      <c r="G7" s="882">
        <v>1.0</v>
      </c>
      <c r="H7" s="881">
        <v>150.0</v>
      </c>
      <c r="I7" s="882">
        <v>1.0</v>
      </c>
      <c r="J7" s="882">
        <v>1.0</v>
      </c>
      <c r="K7" s="881">
        <v>0.0</v>
      </c>
    </row>
    <row r="8">
      <c r="A8" s="879" t="s">
        <v>150</v>
      </c>
      <c r="B8" s="880">
        <v>0.0</v>
      </c>
      <c r="C8" s="881">
        <v>25.0</v>
      </c>
      <c r="D8" s="881">
        <v>0.0</v>
      </c>
      <c r="E8" s="881">
        <v>0.0</v>
      </c>
      <c r="F8" s="881">
        <v>0.0</v>
      </c>
      <c r="G8" s="882">
        <v>1.0</v>
      </c>
      <c r="H8" s="881">
        <v>150.0</v>
      </c>
      <c r="I8" s="882">
        <v>1.0</v>
      </c>
      <c r="J8" s="882">
        <v>1.0</v>
      </c>
      <c r="K8" s="881">
        <v>0.0</v>
      </c>
    </row>
    <row r="9">
      <c r="A9" s="879" t="s">
        <v>167</v>
      </c>
      <c r="B9" s="880">
        <v>0.0</v>
      </c>
      <c r="C9" s="881">
        <v>25.0</v>
      </c>
      <c r="D9" s="881">
        <v>0.0</v>
      </c>
      <c r="E9" s="881">
        <v>0.0</v>
      </c>
      <c r="F9" s="881">
        <v>0.0</v>
      </c>
      <c r="G9" s="882">
        <v>1.0</v>
      </c>
      <c r="H9" s="881">
        <v>150.0</v>
      </c>
      <c r="I9" s="882">
        <v>1.0</v>
      </c>
      <c r="J9" s="882">
        <v>1.0</v>
      </c>
      <c r="K9" s="881">
        <v>0.0</v>
      </c>
    </row>
    <row r="10">
      <c r="A10" s="879" t="s">
        <v>197</v>
      </c>
      <c r="B10" s="880">
        <v>0.0</v>
      </c>
      <c r="C10" s="881">
        <v>25.0</v>
      </c>
      <c r="D10" s="881">
        <v>0.0</v>
      </c>
      <c r="E10" s="881">
        <v>0.0</v>
      </c>
      <c r="F10" s="881">
        <v>0.0</v>
      </c>
      <c r="G10" s="882">
        <v>1.0</v>
      </c>
      <c r="H10" s="881">
        <v>150.0</v>
      </c>
      <c r="I10" s="882">
        <v>1.0</v>
      </c>
      <c r="J10" s="882">
        <v>1.0</v>
      </c>
      <c r="K10" s="881">
        <v>0.0</v>
      </c>
    </row>
    <row r="11">
      <c r="A11" s="879" t="s">
        <v>205</v>
      </c>
      <c r="B11" s="880">
        <v>0.0</v>
      </c>
      <c r="C11" s="881">
        <v>25.0</v>
      </c>
      <c r="D11" s="881">
        <v>0.0</v>
      </c>
      <c r="E11" s="881">
        <v>0.0</v>
      </c>
      <c r="F11" s="881">
        <v>0.0</v>
      </c>
      <c r="G11" s="882">
        <v>1.0</v>
      </c>
      <c r="H11" s="881">
        <v>150.0</v>
      </c>
      <c r="I11" s="882">
        <v>1.0</v>
      </c>
      <c r="J11" s="882">
        <v>1.0</v>
      </c>
      <c r="K11" s="881">
        <v>0.0</v>
      </c>
    </row>
    <row r="12">
      <c r="A12" s="879" t="s">
        <v>209</v>
      </c>
      <c r="B12" s="880">
        <v>0.0</v>
      </c>
      <c r="C12" s="881">
        <v>25.0</v>
      </c>
      <c r="D12" s="881">
        <v>0.0</v>
      </c>
      <c r="E12" s="881">
        <v>0.0</v>
      </c>
      <c r="F12" s="881">
        <v>0.0</v>
      </c>
      <c r="G12" s="882">
        <v>1.0</v>
      </c>
      <c r="H12" s="881">
        <v>150.0</v>
      </c>
      <c r="I12" s="882">
        <v>1.0</v>
      </c>
      <c r="J12" s="882">
        <v>1.0</v>
      </c>
      <c r="K12" s="881">
        <v>0.0</v>
      </c>
    </row>
    <row r="13">
      <c r="A13" s="879" t="s">
        <v>138</v>
      </c>
      <c r="B13" s="880">
        <v>0.0</v>
      </c>
      <c r="C13" s="881">
        <v>25.0</v>
      </c>
      <c r="D13" s="881">
        <v>0.0</v>
      </c>
      <c r="E13" s="881">
        <v>0.0</v>
      </c>
      <c r="F13" s="881">
        <v>0.0</v>
      </c>
      <c r="G13" s="882">
        <v>1.0</v>
      </c>
      <c r="H13" s="881">
        <v>150.0</v>
      </c>
      <c r="I13" s="882">
        <v>1.0</v>
      </c>
      <c r="J13" s="882">
        <v>1.0</v>
      </c>
      <c r="K13" s="881">
        <v>0.0</v>
      </c>
    </row>
    <row r="14">
      <c r="A14" s="879" t="s">
        <v>154</v>
      </c>
      <c r="B14" s="880">
        <v>0.0</v>
      </c>
      <c r="C14" s="881">
        <v>25.0</v>
      </c>
      <c r="D14" s="881">
        <v>0.0</v>
      </c>
      <c r="E14" s="881">
        <v>0.0</v>
      </c>
      <c r="F14" s="881">
        <v>0.0</v>
      </c>
      <c r="G14" s="882">
        <v>1.0</v>
      </c>
      <c r="H14" s="881">
        <v>150.0</v>
      </c>
      <c r="I14" s="882">
        <v>1.0</v>
      </c>
      <c r="J14" s="882">
        <v>1.0</v>
      </c>
      <c r="K14" s="881">
        <v>0.0</v>
      </c>
    </row>
    <row r="15">
      <c r="A15" s="879" t="s">
        <v>144</v>
      </c>
      <c r="B15" s="880">
        <v>0.0</v>
      </c>
      <c r="C15" s="881">
        <v>25.0</v>
      </c>
      <c r="D15" s="881">
        <v>0.0</v>
      </c>
      <c r="E15" s="881">
        <v>0.0</v>
      </c>
      <c r="F15" s="881">
        <v>0.0</v>
      </c>
      <c r="G15" s="882">
        <v>1.0</v>
      </c>
      <c r="H15" s="881">
        <v>150.0</v>
      </c>
      <c r="I15" s="882">
        <v>1.0</v>
      </c>
      <c r="J15" s="882">
        <v>1.0</v>
      </c>
      <c r="K15" s="881">
        <v>0.0</v>
      </c>
    </row>
    <row r="16">
      <c r="A16" s="879" t="s">
        <v>236</v>
      </c>
      <c r="B16" s="880">
        <v>0.0</v>
      </c>
      <c r="C16" s="881">
        <v>25.0</v>
      </c>
      <c r="D16" s="881">
        <v>0.0</v>
      </c>
      <c r="E16" s="881">
        <v>0.0</v>
      </c>
      <c r="F16" s="881">
        <v>0.0</v>
      </c>
      <c r="G16" s="882">
        <v>1.0</v>
      </c>
      <c r="H16" s="881">
        <v>150.0</v>
      </c>
      <c r="I16" s="882">
        <v>1.0</v>
      </c>
      <c r="J16" s="882">
        <v>1.0</v>
      </c>
      <c r="K16" s="881">
        <v>0.0</v>
      </c>
    </row>
    <row r="17">
      <c r="A17" s="879" t="s">
        <v>102</v>
      </c>
      <c r="B17" s="883">
        <v>0.0</v>
      </c>
      <c r="C17" s="881">
        <v>25.0</v>
      </c>
      <c r="D17" s="884">
        <v>0.0</v>
      </c>
      <c r="E17" s="884">
        <v>0.0</v>
      </c>
      <c r="F17" s="884">
        <v>0.0</v>
      </c>
      <c r="G17" s="885">
        <v>1.0</v>
      </c>
      <c r="H17" s="881">
        <v>150.0</v>
      </c>
      <c r="I17" s="885">
        <v>1.0</v>
      </c>
      <c r="J17" s="885">
        <v>1.0</v>
      </c>
      <c r="K17" s="884">
        <v>0.0</v>
      </c>
    </row>
    <row r="18">
      <c r="A18" s="879" t="s">
        <v>140</v>
      </c>
      <c r="B18" s="880">
        <v>0.0</v>
      </c>
      <c r="C18" s="881">
        <v>25.0</v>
      </c>
      <c r="D18" s="881">
        <v>0.0</v>
      </c>
      <c r="E18" s="881">
        <v>0.0</v>
      </c>
      <c r="F18" s="881">
        <v>0.0</v>
      </c>
      <c r="G18" s="882">
        <v>1.0</v>
      </c>
      <c r="H18" s="881">
        <v>150.0</v>
      </c>
      <c r="I18" s="882">
        <v>1.0</v>
      </c>
      <c r="J18" s="882">
        <v>1.0</v>
      </c>
      <c r="K18" s="881">
        <v>0.0</v>
      </c>
    </row>
    <row r="19">
      <c r="A19" s="879" t="s">
        <v>147</v>
      </c>
      <c r="B19" s="880">
        <v>0.0</v>
      </c>
      <c r="C19" s="881">
        <v>25.0</v>
      </c>
      <c r="D19" s="881">
        <v>0.0</v>
      </c>
      <c r="E19" s="881">
        <v>0.0</v>
      </c>
      <c r="F19" s="881">
        <v>0.0</v>
      </c>
      <c r="G19" s="882">
        <v>1.0</v>
      </c>
      <c r="H19" s="881">
        <v>150.0</v>
      </c>
      <c r="I19" s="882">
        <v>1.0</v>
      </c>
      <c r="J19" s="882">
        <v>1.0</v>
      </c>
      <c r="K19" s="881">
        <v>0.0</v>
      </c>
    </row>
    <row r="20">
      <c r="A20" s="879" t="s">
        <v>177</v>
      </c>
      <c r="B20" s="880">
        <v>0.0</v>
      </c>
      <c r="C20" s="881">
        <v>25.0</v>
      </c>
      <c r="D20" s="881">
        <v>0.0</v>
      </c>
      <c r="E20" s="881">
        <v>0.0</v>
      </c>
      <c r="F20" s="881">
        <v>0.0</v>
      </c>
      <c r="G20" s="882">
        <v>1.0</v>
      </c>
      <c r="H20" s="881">
        <v>150.0</v>
      </c>
      <c r="I20" s="882">
        <v>1.0</v>
      </c>
      <c r="J20" s="882">
        <v>1.0</v>
      </c>
      <c r="K20" s="881">
        <v>0.0</v>
      </c>
    </row>
    <row r="21">
      <c r="A21" s="879" t="s">
        <v>224</v>
      </c>
      <c r="B21" s="880">
        <v>0.0</v>
      </c>
      <c r="C21" s="881">
        <v>25.0</v>
      </c>
      <c r="D21" s="881">
        <v>0.0</v>
      </c>
      <c r="E21" s="881">
        <v>0.0</v>
      </c>
      <c r="F21" s="881">
        <v>0.0</v>
      </c>
      <c r="G21" s="882">
        <v>1.0</v>
      </c>
      <c r="H21" s="881">
        <v>150.0</v>
      </c>
      <c r="I21" s="882">
        <v>1.0</v>
      </c>
      <c r="J21" s="882">
        <v>1.0</v>
      </c>
      <c r="K21" s="881">
        <v>0.0</v>
      </c>
    </row>
    <row r="22">
      <c r="A22" s="879" t="s">
        <v>237</v>
      </c>
      <c r="B22" s="880">
        <v>0.0</v>
      </c>
      <c r="C22" s="881">
        <v>25.0</v>
      </c>
      <c r="D22" s="881">
        <v>0.0</v>
      </c>
      <c r="E22" s="881">
        <v>0.0</v>
      </c>
      <c r="F22" s="881">
        <v>0.0</v>
      </c>
      <c r="G22" s="882">
        <v>1.0</v>
      </c>
      <c r="H22" s="881">
        <v>150.0</v>
      </c>
      <c r="I22" s="882">
        <v>1.0</v>
      </c>
      <c r="J22" s="882">
        <v>1.0</v>
      </c>
      <c r="K22" s="881">
        <v>0.0</v>
      </c>
    </row>
    <row r="23">
      <c r="A23" s="886" t="s">
        <v>46</v>
      </c>
      <c r="B23" s="887">
        <v>0.0</v>
      </c>
      <c r="C23" s="888">
        <v>25.0</v>
      </c>
      <c r="D23" s="888">
        <v>0.0</v>
      </c>
      <c r="E23" s="888">
        <v>0.0</v>
      </c>
      <c r="F23" s="888">
        <v>0.0</v>
      </c>
      <c r="G23" s="889">
        <v>1.0</v>
      </c>
      <c r="H23" s="888">
        <v>150.0</v>
      </c>
      <c r="I23" s="889">
        <v>1.0</v>
      </c>
      <c r="J23" s="889">
        <v>1.0</v>
      </c>
      <c r="K23" s="888">
        <v>0.0</v>
      </c>
    </row>
    <row r="24">
      <c r="A24" s="886" t="s">
        <v>49</v>
      </c>
      <c r="B24" s="890">
        <v>5.0</v>
      </c>
      <c r="C24" s="888">
        <v>25.0</v>
      </c>
      <c r="D24" s="888">
        <v>0.0</v>
      </c>
      <c r="E24" s="888">
        <v>0.0</v>
      </c>
      <c r="F24" s="888">
        <v>0.0</v>
      </c>
      <c r="G24" s="888">
        <v>1.0</v>
      </c>
      <c r="H24" s="888">
        <v>150.0</v>
      </c>
      <c r="I24" s="888">
        <v>1.0</v>
      </c>
      <c r="J24" s="888">
        <v>1.0</v>
      </c>
      <c r="K24" s="888">
        <v>0.0</v>
      </c>
    </row>
    <row r="25">
      <c r="A25" s="886" t="s">
        <v>52</v>
      </c>
      <c r="B25" s="890">
        <v>5.0</v>
      </c>
      <c r="C25" s="888">
        <v>25.0</v>
      </c>
      <c r="D25" s="888">
        <v>0.0</v>
      </c>
      <c r="E25" s="888">
        <v>0.0</v>
      </c>
      <c r="F25" s="888">
        <v>0.0</v>
      </c>
      <c r="G25" s="888">
        <v>1.0</v>
      </c>
      <c r="H25" s="888">
        <v>150.0</v>
      </c>
      <c r="I25" s="888">
        <v>1.0</v>
      </c>
      <c r="J25" s="888">
        <v>1.0</v>
      </c>
      <c r="K25" s="888">
        <v>0.0</v>
      </c>
    </row>
    <row r="26">
      <c r="A26" s="886" t="s">
        <v>55</v>
      </c>
      <c r="B26" s="890">
        <v>5.0</v>
      </c>
      <c r="C26" s="888">
        <v>25.0</v>
      </c>
      <c r="D26" s="888">
        <v>0.0</v>
      </c>
      <c r="E26" s="888">
        <v>10.0</v>
      </c>
      <c r="F26" s="888">
        <v>10.0</v>
      </c>
      <c r="G26" s="888">
        <v>1.0</v>
      </c>
      <c r="H26" s="888">
        <v>150.0</v>
      </c>
      <c r="I26" s="888">
        <v>1.0</v>
      </c>
      <c r="J26" s="888">
        <v>1.0</v>
      </c>
      <c r="K26" s="888">
        <v>0.0</v>
      </c>
    </row>
    <row r="27">
      <c r="A27" s="886" t="s">
        <v>59</v>
      </c>
      <c r="B27" s="890">
        <v>0.0</v>
      </c>
      <c r="C27" s="888">
        <v>25.0</v>
      </c>
      <c r="D27" s="888">
        <v>0.0</v>
      </c>
      <c r="E27" s="888">
        <v>0.0</v>
      </c>
      <c r="F27" s="888">
        <v>0.0</v>
      </c>
      <c r="G27" s="888">
        <v>1.0</v>
      </c>
      <c r="H27" s="888">
        <v>150.0</v>
      </c>
      <c r="I27" s="888">
        <v>1.0</v>
      </c>
      <c r="J27" s="888">
        <v>10.0</v>
      </c>
      <c r="K27" s="888">
        <v>0.0</v>
      </c>
    </row>
    <row r="28">
      <c r="A28" s="886" t="s">
        <v>66</v>
      </c>
      <c r="B28" s="887">
        <v>0.0</v>
      </c>
      <c r="C28" s="888">
        <v>25.0</v>
      </c>
      <c r="D28" s="888">
        <v>0.0</v>
      </c>
      <c r="E28" s="888">
        <v>0.0</v>
      </c>
      <c r="F28" s="888">
        <v>0.0</v>
      </c>
      <c r="G28" s="889">
        <v>1.0</v>
      </c>
      <c r="H28" s="888">
        <v>150.0</v>
      </c>
      <c r="I28" s="889">
        <v>1.0</v>
      </c>
      <c r="J28" s="889">
        <v>1.0</v>
      </c>
      <c r="K28" s="888">
        <v>0.0</v>
      </c>
    </row>
    <row r="29">
      <c r="A29" s="886" t="s">
        <v>76</v>
      </c>
      <c r="B29" s="890">
        <v>5.0</v>
      </c>
      <c r="C29" s="888">
        <v>25.0</v>
      </c>
      <c r="D29" s="888">
        <v>0.0</v>
      </c>
      <c r="E29" s="888">
        <v>0.0</v>
      </c>
      <c r="F29" s="888">
        <v>0.0</v>
      </c>
      <c r="G29" s="888">
        <v>1.0</v>
      </c>
      <c r="H29" s="888">
        <v>150.0</v>
      </c>
      <c r="I29" s="888">
        <v>1.0</v>
      </c>
      <c r="J29" s="888">
        <v>5.0</v>
      </c>
      <c r="K29" s="888">
        <v>0.0</v>
      </c>
    </row>
    <row r="30">
      <c r="A30" s="886" t="s">
        <v>80</v>
      </c>
      <c r="B30" s="890">
        <v>0.0</v>
      </c>
      <c r="C30" s="888">
        <v>25.0</v>
      </c>
      <c r="D30" s="888">
        <v>0.0</v>
      </c>
      <c r="E30" s="888">
        <v>0.0</v>
      </c>
      <c r="F30" s="888">
        <v>20.0</v>
      </c>
      <c r="G30" s="888">
        <v>1.0</v>
      </c>
      <c r="H30" s="888">
        <v>150.0</v>
      </c>
      <c r="I30" s="888">
        <v>1.0</v>
      </c>
      <c r="J30" s="888">
        <v>1.0</v>
      </c>
      <c r="K30" s="888">
        <v>0.0</v>
      </c>
    </row>
    <row r="31">
      <c r="A31" s="886" t="s">
        <v>84</v>
      </c>
      <c r="B31" s="890">
        <v>0.0</v>
      </c>
      <c r="C31" s="888">
        <v>25.0</v>
      </c>
      <c r="D31" s="888">
        <v>0.0</v>
      </c>
      <c r="E31" s="888">
        <v>0.0</v>
      </c>
      <c r="F31" s="888">
        <v>0.0</v>
      </c>
      <c r="G31" s="888">
        <v>5.0</v>
      </c>
      <c r="H31" s="888">
        <v>150.0</v>
      </c>
      <c r="I31" s="888">
        <v>1.0</v>
      </c>
      <c r="J31" s="888">
        <v>5.0</v>
      </c>
      <c r="K31" s="888">
        <v>0.0</v>
      </c>
    </row>
    <row r="32">
      <c r="A32" s="886" t="s">
        <v>88</v>
      </c>
      <c r="B32" s="890">
        <v>0.0</v>
      </c>
      <c r="C32" s="888">
        <v>25.0</v>
      </c>
      <c r="D32" s="888">
        <v>0.0</v>
      </c>
      <c r="E32" s="888">
        <v>0.0</v>
      </c>
      <c r="F32" s="888">
        <v>0.0</v>
      </c>
      <c r="G32" s="888">
        <v>1.0</v>
      </c>
      <c r="H32" s="888">
        <v>175.0</v>
      </c>
      <c r="I32" s="888">
        <v>1.0</v>
      </c>
      <c r="J32" s="888">
        <v>5.0</v>
      </c>
      <c r="K32" s="888">
        <v>0.0</v>
      </c>
    </row>
    <row r="33">
      <c r="A33" s="886" t="s">
        <v>92</v>
      </c>
      <c r="B33" s="887">
        <v>0.0</v>
      </c>
      <c r="C33" s="888">
        <v>25.0</v>
      </c>
      <c r="D33" s="888">
        <v>0.0</v>
      </c>
      <c r="E33" s="888">
        <v>0.0</v>
      </c>
      <c r="F33" s="888">
        <v>0.0</v>
      </c>
      <c r="G33" s="889">
        <v>1.0</v>
      </c>
      <c r="H33" s="888">
        <v>150.0</v>
      </c>
      <c r="I33" s="889">
        <v>1.0</v>
      </c>
      <c r="J33" s="889">
        <v>1.0</v>
      </c>
      <c r="K33" s="888">
        <v>0.0</v>
      </c>
    </row>
    <row r="34">
      <c r="A34" s="886" t="s">
        <v>95</v>
      </c>
      <c r="B34" s="890">
        <v>0.0</v>
      </c>
      <c r="C34" s="888">
        <v>25.0</v>
      </c>
      <c r="D34" s="888">
        <v>0.0</v>
      </c>
      <c r="E34" s="888">
        <v>0.0</v>
      </c>
      <c r="F34" s="888">
        <v>0.0</v>
      </c>
      <c r="G34" s="888">
        <v>1.0</v>
      </c>
      <c r="H34" s="888">
        <v>150.0</v>
      </c>
      <c r="I34" s="888">
        <v>1.0</v>
      </c>
      <c r="J34" s="888">
        <v>1.0</v>
      </c>
      <c r="K34" s="888">
        <v>0.0</v>
      </c>
    </row>
    <row r="35">
      <c r="A35" s="886" t="s">
        <v>98</v>
      </c>
      <c r="B35" s="890">
        <v>5.0</v>
      </c>
      <c r="C35" s="888">
        <v>35.0</v>
      </c>
      <c r="D35" s="888">
        <v>0.0</v>
      </c>
      <c r="E35" s="888">
        <v>0.0</v>
      </c>
      <c r="F35" s="888">
        <v>0.0</v>
      </c>
      <c r="G35" s="888">
        <v>1.0</v>
      </c>
      <c r="H35" s="888">
        <v>150.0</v>
      </c>
      <c r="I35" s="888">
        <v>1.0</v>
      </c>
      <c r="J35" s="888">
        <v>10.0</v>
      </c>
      <c r="K35" s="888">
        <v>0.0</v>
      </c>
    </row>
    <row r="36">
      <c r="A36" s="886" t="s">
        <v>106</v>
      </c>
      <c r="B36" s="887">
        <v>0.0</v>
      </c>
      <c r="C36" s="888">
        <v>25.0</v>
      </c>
      <c r="D36" s="888">
        <v>0.0</v>
      </c>
      <c r="E36" s="888">
        <v>0.0</v>
      </c>
      <c r="F36" s="888">
        <v>0.0</v>
      </c>
      <c r="G36" s="889">
        <v>1.0</v>
      </c>
      <c r="H36" s="888">
        <v>150.0</v>
      </c>
      <c r="I36" s="889">
        <v>1.0</v>
      </c>
      <c r="J36" s="889">
        <v>1.0</v>
      </c>
      <c r="K36" s="888">
        <v>0.0</v>
      </c>
    </row>
    <row r="37">
      <c r="A37" s="886" t="s">
        <v>108</v>
      </c>
      <c r="B37" s="890">
        <v>5.0</v>
      </c>
      <c r="C37" s="888">
        <v>25.0</v>
      </c>
      <c r="D37" s="888">
        <v>0.0</v>
      </c>
      <c r="E37" s="888">
        <v>0.0</v>
      </c>
      <c r="F37" s="888">
        <v>0.0</v>
      </c>
      <c r="G37" s="888">
        <v>1.0</v>
      </c>
      <c r="H37" s="888">
        <v>150.0</v>
      </c>
      <c r="I37" s="888">
        <v>1.0</v>
      </c>
      <c r="J37" s="888">
        <v>1.0</v>
      </c>
      <c r="K37" s="888">
        <v>0.0</v>
      </c>
    </row>
    <row r="38">
      <c r="A38" s="886" t="s">
        <v>114</v>
      </c>
      <c r="B38" s="890">
        <v>0.0</v>
      </c>
      <c r="C38" s="888">
        <v>25.0</v>
      </c>
      <c r="D38" s="888">
        <v>0.0</v>
      </c>
      <c r="E38" s="888">
        <v>0.0</v>
      </c>
      <c r="F38" s="888">
        <v>0.0</v>
      </c>
      <c r="G38" s="888">
        <v>10.0</v>
      </c>
      <c r="H38" s="888">
        <v>150.0</v>
      </c>
      <c r="I38" s="888">
        <v>1.0</v>
      </c>
      <c r="J38" s="888">
        <v>1.0</v>
      </c>
      <c r="K38" s="888">
        <v>0.0</v>
      </c>
    </row>
    <row r="39">
      <c r="A39" s="886" t="s">
        <v>121</v>
      </c>
      <c r="B39" s="887">
        <v>0.0</v>
      </c>
      <c r="C39" s="888">
        <v>25.0</v>
      </c>
      <c r="D39" s="888">
        <v>0.0</v>
      </c>
      <c r="E39" s="888">
        <v>0.0</v>
      </c>
      <c r="F39" s="888">
        <v>0.0</v>
      </c>
      <c r="G39" s="889">
        <v>1.0</v>
      </c>
      <c r="H39" s="888">
        <v>150.0</v>
      </c>
      <c r="I39" s="889">
        <v>1.0</v>
      </c>
      <c r="J39" s="889">
        <v>1.0</v>
      </c>
      <c r="K39" s="888">
        <v>0.0</v>
      </c>
    </row>
    <row r="40">
      <c r="A40" s="886" t="s">
        <v>123</v>
      </c>
      <c r="B40" s="890">
        <v>5.0</v>
      </c>
      <c r="C40" s="888">
        <v>35.0</v>
      </c>
      <c r="D40" s="888">
        <v>10.0</v>
      </c>
      <c r="E40" s="888">
        <v>0.0</v>
      </c>
      <c r="F40" s="888">
        <v>0.0</v>
      </c>
      <c r="G40" s="888">
        <v>1.0</v>
      </c>
      <c r="H40" s="888">
        <v>150.0</v>
      </c>
      <c r="I40" s="888">
        <v>1.0</v>
      </c>
      <c r="J40" s="888">
        <v>1.0</v>
      </c>
      <c r="K40" s="888">
        <v>0.0</v>
      </c>
    </row>
    <row r="41">
      <c r="A41" s="886" t="s">
        <v>127</v>
      </c>
      <c r="B41" s="890">
        <v>5.0</v>
      </c>
      <c r="C41" s="888">
        <v>30.0</v>
      </c>
      <c r="D41" s="888">
        <v>5.0</v>
      </c>
      <c r="E41" s="888">
        <v>0.0</v>
      </c>
      <c r="F41" s="888">
        <v>0.0</v>
      </c>
      <c r="G41" s="888">
        <v>10.0</v>
      </c>
      <c r="H41" s="888">
        <v>150.0</v>
      </c>
      <c r="I41" s="888">
        <v>1.0</v>
      </c>
      <c r="J41" s="888">
        <v>1.0</v>
      </c>
      <c r="K41" s="888">
        <v>0.0</v>
      </c>
    </row>
    <row r="42">
      <c r="A42" s="886" t="s">
        <v>129</v>
      </c>
      <c r="B42" s="887">
        <v>0.0</v>
      </c>
      <c r="C42" s="888">
        <v>25.0</v>
      </c>
      <c r="D42" s="888">
        <v>0.0</v>
      </c>
      <c r="E42" s="888">
        <v>0.0</v>
      </c>
      <c r="F42" s="888">
        <v>0.0</v>
      </c>
      <c r="G42" s="889">
        <v>1.0</v>
      </c>
      <c r="H42" s="888">
        <v>150.0</v>
      </c>
      <c r="I42" s="889">
        <v>1.0</v>
      </c>
      <c r="J42" s="889">
        <v>1.0</v>
      </c>
      <c r="K42" s="888">
        <v>0.0</v>
      </c>
    </row>
    <row r="43">
      <c r="A43" s="886" t="s">
        <v>131</v>
      </c>
      <c r="B43" s="890">
        <v>0.0</v>
      </c>
      <c r="C43" s="888">
        <v>25.0</v>
      </c>
      <c r="D43" s="888">
        <v>0.0</v>
      </c>
      <c r="E43" s="888">
        <v>0.0</v>
      </c>
      <c r="F43" s="888">
        <v>0.0</v>
      </c>
      <c r="G43" s="888">
        <v>5.0</v>
      </c>
      <c r="H43" s="888">
        <v>150.0</v>
      </c>
      <c r="I43" s="888">
        <v>1.0</v>
      </c>
      <c r="J43" s="888">
        <v>1.0</v>
      </c>
      <c r="K43" s="888">
        <v>0.0</v>
      </c>
    </row>
    <row r="44">
      <c r="A44" s="886" t="s">
        <v>135</v>
      </c>
      <c r="B44" s="890">
        <v>0.0</v>
      </c>
      <c r="C44" s="888">
        <v>25.0</v>
      </c>
      <c r="D44" s="888">
        <v>0.0</v>
      </c>
      <c r="E44" s="888">
        <v>10.0</v>
      </c>
      <c r="F44" s="888">
        <v>0.0</v>
      </c>
      <c r="G44" s="888">
        <v>1.0</v>
      </c>
      <c r="H44" s="888">
        <v>150.0</v>
      </c>
      <c r="I44" s="888">
        <v>1.0</v>
      </c>
      <c r="J44" s="888">
        <v>1.0</v>
      </c>
      <c r="K44" s="888">
        <v>0.0</v>
      </c>
    </row>
    <row r="45">
      <c r="A45" s="886" t="s">
        <v>136</v>
      </c>
      <c r="B45" s="887">
        <v>0.0</v>
      </c>
      <c r="C45" s="888">
        <v>25.0</v>
      </c>
      <c r="D45" s="888">
        <v>0.0</v>
      </c>
      <c r="E45" s="888">
        <v>0.0</v>
      </c>
      <c r="F45" s="888">
        <v>0.0</v>
      </c>
      <c r="G45" s="889">
        <v>1.0</v>
      </c>
      <c r="H45" s="888">
        <v>150.0</v>
      </c>
      <c r="I45" s="889">
        <v>1.0</v>
      </c>
      <c r="J45" s="889">
        <v>1.0</v>
      </c>
      <c r="K45" s="888">
        <v>0.0</v>
      </c>
    </row>
    <row r="46">
      <c r="A46" s="886" t="s">
        <v>139</v>
      </c>
      <c r="B46" s="887">
        <v>0.0</v>
      </c>
      <c r="C46" s="888">
        <v>25.0</v>
      </c>
      <c r="D46" s="888">
        <v>0.0</v>
      </c>
      <c r="E46" s="888">
        <v>0.0</v>
      </c>
      <c r="F46" s="888">
        <v>0.0</v>
      </c>
      <c r="G46" s="889">
        <v>1.0</v>
      </c>
      <c r="H46" s="888">
        <v>150.0</v>
      </c>
      <c r="I46" s="889">
        <v>1.0</v>
      </c>
      <c r="J46" s="889">
        <v>1.0</v>
      </c>
      <c r="K46" s="888">
        <v>0.0</v>
      </c>
    </row>
    <row r="47">
      <c r="A47" s="886" t="s">
        <v>141</v>
      </c>
      <c r="B47" s="887">
        <v>0.0</v>
      </c>
      <c r="C47" s="888">
        <v>25.0</v>
      </c>
      <c r="D47" s="888">
        <v>0.0</v>
      </c>
      <c r="E47" s="888">
        <v>0.0</v>
      </c>
      <c r="F47" s="888">
        <v>0.0</v>
      </c>
      <c r="G47" s="889">
        <v>1.0</v>
      </c>
      <c r="H47" s="888">
        <v>150.0</v>
      </c>
      <c r="I47" s="889">
        <v>1.0</v>
      </c>
      <c r="J47" s="889">
        <v>1.0</v>
      </c>
      <c r="K47" s="888">
        <v>0.0</v>
      </c>
    </row>
    <row r="48">
      <c r="A48" s="886" t="s">
        <v>143</v>
      </c>
      <c r="B48" s="890">
        <v>0.0</v>
      </c>
      <c r="C48" s="888">
        <v>25.0</v>
      </c>
      <c r="D48" s="888">
        <v>0.0</v>
      </c>
      <c r="E48" s="888">
        <v>10.0</v>
      </c>
      <c r="F48" s="888">
        <v>0.0</v>
      </c>
      <c r="G48" s="888">
        <v>1.0</v>
      </c>
      <c r="H48" s="888">
        <v>150.0</v>
      </c>
      <c r="I48" s="888">
        <v>1.0</v>
      </c>
      <c r="J48" s="888">
        <v>1.0</v>
      </c>
      <c r="K48" s="888">
        <v>0.0</v>
      </c>
    </row>
    <row r="49">
      <c r="A49" s="886" t="s">
        <v>146</v>
      </c>
      <c r="B49" s="887">
        <v>0.0</v>
      </c>
      <c r="C49" s="888">
        <v>25.0</v>
      </c>
      <c r="D49" s="888">
        <v>0.0</v>
      </c>
      <c r="E49" s="888">
        <v>0.0</v>
      </c>
      <c r="F49" s="888">
        <v>0.0</v>
      </c>
      <c r="G49" s="889">
        <v>1.0</v>
      </c>
      <c r="H49" s="888">
        <v>150.0</v>
      </c>
      <c r="I49" s="889">
        <v>1.0</v>
      </c>
      <c r="J49" s="889">
        <v>1.0</v>
      </c>
      <c r="K49" s="888">
        <v>0.0</v>
      </c>
    </row>
    <row r="50">
      <c r="A50" s="886" t="s">
        <v>148</v>
      </c>
      <c r="B50" s="887">
        <v>0.0</v>
      </c>
      <c r="C50" s="888">
        <v>25.0</v>
      </c>
      <c r="D50" s="888">
        <v>0.0</v>
      </c>
      <c r="E50" s="888">
        <v>0.0</v>
      </c>
      <c r="F50" s="888">
        <v>0.0</v>
      </c>
      <c r="G50" s="889">
        <v>1.0</v>
      </c>
      <c r="H50" s="888">
        <v>150.0</v>
      </c>
      <c r="I50" s="889">
        <v>1.0</v>
      </c>
      <c r="J50" s="889">
        <v>1.0</v>
      </c>
      <c r="K50" s="888">
        <v>0.0</v>
      </c>
    </row>
    <row r="51">
      <c r="A51" s="886" t="s">
        <v>149</v>
      </c>
      <c r="B51" s="887">
        <v>0.0</v>
      </c>
      <c r="C51" s="888">
        <v>25.0</v>
      </c>
      <c r="D51" s="888">
        <v>0.0</v>
      </c>
      <c r="E51" s="888">
        <v>0.0</v>
      </c>
      <c r="F51" s="888">
        <v>0.0</v>
      </c>
      <c r="G51" s="888">
        <v>10.0</v>
      </c>
      <c r="H51" s="888">
        <v>150.0</v>
      </c>
      <c r="I51" s="889">
        <v>1.0</v>
      </c>
      <c r="J51" s="889">
        <v>1.0</v>
      </c>
      <c r="K51" s="888">
        <v>0.0</v>
      </c>
    </row>
    <row r="52">
      <c r="A52" s="886" t="s">
        <v>151</v>
      </c>
      <c r="B52" s="887">
        <v>0.0</v>
      </c>
      <c r="C52" s="888">
        <v>25.0</v>
      </c>
      <c r="D52" s="888">
        <v>0.0</v>
      </c>
      <c r="E52" s="888">
        <v>0.0</v>
      </c>
      <c r="F52" s="888">
        <v>0.0</v>
      </c>
      <c r="G52" s="889">
        <v>1.0</v>
      </c>
      <c r="H52" s="888">
        <v>150.0</v>
      </c>
      <c r="I52" s="889">
        <v>1.0</v>
      </c>
      <c r="J52" s="889">
        <v>1.0</v>
      </c>
      <c r="K52" s="888">
        <v>0.0</v>
      </c>
    </row>
    <row r="53">
      <c r="A53" s="886" t="s">
        <v>152</v>
      </c>
      <c r="B53" s="890">
        <v>5.0</v>
      </c>
      <c r="C53" s="888">
        <v>25.0</v>
      </c>
      <c r="D53" s="888">
        <v>0.0</v>
      </c>
      <c r="E53" s="888">
        <v>0.0</v>
      </c>
      <c r="F53" s="888">
        <v>0.0</v>
      </c>
      <c r="G53" s="888">
        <v>1.0</v>
      </c>
      <c r="H53" s="888">
        <v>150.0</v>
      </c>
      <c r="I53" s="888">
        <v>1.0</v>
      </c>
      <c r="J53" s="888">
        <v>5.0</v>
      </c>
      <c r="K53" s="888">
        <v>0.0</v>
      </c>
    </row>
    <row r="54">
      <c r="A54" s="886" t="s">
        <v>153</v>
      </c>
      <c r="B54" s="890">
        <v>0.0</v>
      </c>
      <c r="C54" s="888">
        <v>25.0</v>
      </c>
      <c r="D54" s="888">
        <v>0.0</v>
      </c>
      <c r="E54" s="888">
        <v>0.0</v>
      </c>
      <c r="F54" s="888">
        <v>10.0</v>
      </c>
      <c r="G54" s="888">
        <v>1.0</v>
      </c>
      <c r="H54" s="888">
        <v>150.0</v>
      </c>
      <c r="I54" s="888">
        <v>1.0</v>
      </c>
      <c r="J54" s="888">
        <v>1.0</v>
      </c>
      <c r="K54" s="888">
        <v>0.0</v>
      </c>
    </row>
    <row r="55">
      <c r="A55" s="886" t="s">
        <v>155</v>
      </c>
      <c r="B55" s="890">
        <v>5.0</v>
      </c>
      <c r="C55" s="888">
        <v>25.0</v>
      </c>
      <c r="D55" s="888">
        <v>0.0</v>
      </c>
      <c r="E55" s="888">
        <v>0.0</v>
      </c>
      <c r="F55" s="888">
        <v>0.0</v>
      </c>
      <c r="G55" s="888">
        <v>1.0</v>
      </c>
      <c r="H55" s="888">
        <v>150.0</v>
      </c>
      <c r="I55" s="888">
        <v>1.0</v>
      </c>
      <c r="J55" s="888">
        <v>1.0</v>
      </c>
      <c r="K55" s="888">
        <v>0.0</v>
      </c>
    </row>
    <row r="56">
      <c r="A56" s="886" t="s">
        <v>156</v>
      </c>
      <c r="B56" s="890">
        <v>0.0</v>
      </c>
      <c r="C56" s="888">
        <v>25.0</v>
      </c>
      <c r="D56" s="888">
        <v>0.0</v>
      </c>
      <c r="E56" s="888">
        <v>0.0</v>
      </c>
      <c r="F56" s="888">
        <v>10.0</v>
      </c>
      <c r="G56" s="888">
        <v>15.0</v>
      </c>
      <c r="H56" s="888">
        <v>150.0</v>
      </c>
      <c r="I56" s="888">
        <v>15.0</v>
      </c>
      <c r="J56" s="888">
        <v>1.0</v>
      </c>
      <c r="K56" s="888">
        <v>0.0</v>
      </c>
    </row>
    <row r="57">
      <c r="A57" s="886" t="s">
        <v>158</v>
      </c>
      <c r="B57" s="887">
        <v>0.0</v>
      </c>
      <c r="C57" s="888">
        <v>25.0</v>
      </c>
      <c r="D57" s="888">
        <v>0.0</v>
      </c>
      <c r="E57" s="888">
        <v>0.0</v>
      </c>
      <c r="F57" s="888">
        <v>0.0</v>
      </c>
      <c r="G57" s="889">
        <v>1.0</v>
      </c>
      <c r="H57" s="888">
        <v>150.0</v>
      </c>
      <c r="I57" s="889">
        <v>1.0</v>
      </c>
      <c r="J57" s="889">
        <v>1.0</v>
      </c>
      <c r="K57" s="888">
        <v>0.0</v>
      </c>
    </row>
    <row r="58">
      <c r="A58" s="886" t="s">
        <v>159</v>
      </c>
      <c r="B58" s="890">
        <v>0.0</v>
      </c>
      <c r="C58" s="888">
        <v>25.0</v>
      </c>
      <c r="D58" s="888">
        <v>10.0</v>
      </c>
      <c r="E58" s="888">
        <v>0.0</v>
      </c>
      <c r="F58" s="888">
        <v>0.0</v>
      </c>
      <c r="G58" s="888">
        <v>1.0</v>
      </c>
      <c r="H58" s="888">
        <v>150.0</v>
      </c>
      <c r="I58" s="888">
        <v>1.0</v>
      </c>
      <c r="J58" s="888">
        <v>1.0</v>
      </c>
      <c r="K58" s="888">
        <v>0.0</v>
      </c>
    </row>
    <row r="59">
      <c r="A59" s="886" t="s">
        <v>160</v>
      </c>
      <c r="B59" s="890">
        <v>0.0</v>
      </c>
      <c r="C59" s="888">
        <v>25.0</v>
      </c>
      <c r="D59" s="888">
        <v>0.0</v>
      </c>
      <c r="E59" s="888">
        <v>15.0</v>
      </c>
      <c r="F59" s="888">
        <v>0.0</v>
      </c>
      <c r="G59" s="888">
        <v>1.0</v>
      </c>
      <c r="H59" s="888">
        <v>150.0</v>
      </c>
      <c r="I59" s="888">
        <v>1.0</v>
      </c>
      <c r="J59" s="888">
        <v>10.0</v>
      </c>
      <c r="K59" s="888">
        <v>0.0</v>
      </c>
    </row>
    <row r="60">
      <c r="A60" s="886" t="s">
        <v>161</v>
      </c>
      <c r="B60" s="890">
        <v>0.0</v>
      </c>
      <c r="C60" s="888">
        <v>25.0</v>
      </c>
      <c r="D60" s="888">
        <v>10.0</v>
      </c>
      <c r="E60" s="888">
        <v>0.0</v>
      </c>
      <c r="F60" s="888">
        <v>0.0</v>
      </c>
      <c r="G60" s="888">
        <v>1.0</v>
      </c>
      <c r="H60" s="888">
        <v>150.0</v>
      </c>
      <c r="I60" s="888">
        <v>1.0</v>
      </c>
      <c r="J60" s="888">
        <v>1.0</v>
      </c>
      <c r="K60" s="888">
        <v>0.0</v>
      </c>
    </row>
    <row r="61">
      <c r="A61" s="886" t="s">
        <v>162</v>
      </c>
      <c r="B61" s="887">
        <v>0.0</v>
      </c>
      <c r="C61" s="888">
        <v>25.0</v>
      </c>
      <c r="D61" s="888">
        <v>0.0</v>
      </c>
      <c r="E61" s="888">
        <v>0.0</v>
      </c>
      <c r="F61" s="888">
        <v>20.0</v>
      </c>
      <c r="G61" s="888">
        <v>5.0</v>
      </c>
      <c r="H61" s="888">
        <v>150.0</v>
      </c>
      <c r="I61" s="889">
        <v>1.0</v>
      </c>
      <c r="J61" s="889">
        <v>1.0</v>
      </c>
      <c r="K61" s="888">
        <v>0.0</v>
      </c>
    </row>
    <row r="62">
      <c r="A62" s="886" t="s">
        <v>163</v>
      </c>
      <c r="B62" s="887">
        <v>0.0</v>
      </c>
      <c r="C62" s="888">
        <v>25.0</v>
      </c>
      <c r="D62" s="888">
        <v>0.0</v>
      </c>
      <c r="E62" s="888">
        <v>0.0</v>
      </c>
      <c r="F62" s="888">
        <v>0.0</v>
      </c>
      <c r="G62" s="889">
        <v>1.0</v>
      </c>
      <c r="H62" s="888">
        <v>150.0</v>
      </c>
      <c r="I62" s="889">
        <v>1.0</v>
      </c>
      <c r="J62" s="889">
        <v>1.0</v>
      </c>
      <c r="K62" s="888">
        <v>0.0</v>
      </c>
    </row>
    <row r="63">
      <c r="A63" s="886" t="s">
        <v>164</v>
      </c>
      <c r="B63" s="890">
        <v>0.0</v>
      </c>
      <c r="C63" s="888">
        <v>25.0</v>
      </c>
      <c r="D63" s="888">
        <v>10.0</v>
      </c>
      <c r="E63" s="888">
        <v>0.0</v>
      </c>
      <c r="F63" s="888">
        <v>0.0</v>
      </c>
      <c r="G63" s="888">
        <v>1.0</v>
      </c>
      <c r="H63" s="888">
        <v>150.0</v>
      </c>
      <c r="I63" s="888">
        <v>1.0</v>
      </c>
      <c r="J63" s="888">
        <v>1.0</v>
      </c>
      <c r="K63" s="888">
        <v>0.0</v>
      </c>
    </row>
    <row r="64">
      <c r="A64" s="886" t="s">
        <v>165</v>
      </c>
      <c r="B64" s="887">
        <v>0.0</v>
      </c>
      <c r="C64" s="888">
        <v>25.0</v>
      </c>
      <c r="D64" s="888">
        <v>0.0</v>
      </c>
      <c r="E64" s="888">
        <v>0.0</v>
      </c>
      <c r="F64" s="888">
        <v>0.0</v>
      </c>
      <c r="G64" s="889">
        <v>1.0</v>
      </c>
      <c r="H64" s="888">
        <v>150.0</v>
      </c>
      <c r="I64" s="889">
        <v>1.0</v>
      </c>
      <c r="J64" s="889">
        <v>1.0</v>
      </c>
      <c r="K64" s="888">
        <v>0.0</v>
      </c>
    </row>
    <row r="65">
      <c r="A65" s="886" t="s">
        <v>166</v>
      </c>
      <c r="B65" s="890">
        <v>0.0</v>
      </c>
      <c r="C65" s="888">
        <v>25.0</v>
      </c>
      <c r="D65" s="888">
        <v>0.0</v>
      </c>
      <c r="E65" s="888">
        <v>0.0</v>
      </c>
      <c r="F65" s="888">
        <v>0.0</v>
      </c>
      <c r="G65" s="888">
        <v>5.0</v>
      </c>
      <c r="H65" s="888">
        <v>150.0</v>
      </c>
      <c r="I65" s="888">
        <v>1.0</v>
      </c>
      <c r="J65" s="888">
        <v>1.0</v>
      </c>
      <c r="K65" s="888">
        <v>0.0</v>
      </c>
    </row>
    <row r="66">
      <c r="A66" s="886" t="s">
        <v>173</v>
      </c>
      <c r="B66" s="890">
        <v>0.0</v>
      </c>
      <c r="C66" s="888">
        <v>30.0</v>
      </c>
      <c r="D66" s="888">
        <v>0.0</v>
      </c>
      <c r="E66" s="888">
        <v>0.0</v>
      </c>
      <c r="F66" s="888">
        <v>10.0</v>
      </c>
      <c r="G66" s="888">
        <v>1.0</v>
      </c>
      <c r="H66" s="888">
        <v>150.0</v>
      </c>
      <c r="I66" s="888">
        <v>1.0</v>
      </c>
      <c r="J66" s="888">
        <v>1.0</v>
      </c>
      <c r="K66" s="888">
        <v>0.0</v>
      </c>
    </row>
    <row r="67">
      <c r="A67" s="886" t="s">
        <v>175</v>
      </c>
      <c r="B67" s="887">
        <v>0.0</v>
      </c>
      <c r="C67" s="888">
        <v>25.0</v>
      </c>
      <c r="D67" s="888">
        <v>0.0</v>
      </c>
      <c r="E67" s="888">
        <v>0.0</v>
      </c>
      <c r="F67" s="888">
        <v>0.0</v>
      </c>
      <c r="G67" s="889">
        <v>1.0</v>
      </c>
      <c r="H67" s="888">
        <v>150.0</v>
      </c>
      <c r="I67" s="889">
        <v>1.0</v>
      </c>
      <c r="J67" s="889">
        <v>1.0</v>
      </c>
      <c r="K67" s="888">
        <v>0.0</v>
      </c>
    </row>
    <row r="68">
      <c r="A68" s="886" t="s">
        <v>179</v>
      </c>
      <c r="B68" s="887">
        <v>0.0</v>
      </c>
      <c r="C68" s="888">
        <v>25.0</v>
      </c>
      <c r="D68" s="888">
        <v>0.0</v>
      </c>
      <c r="E68" s="888">
        <v>0.0</v>
      </c>
      <c r="F68" s="888">
        <v>0.0</v>
      </c>
      <c r="G68" s="889">
        <v>1.0</v>
      </c>
      <c r="H68" s="888">
        <v>150.0</v>
      </c>
      <c r="I68" s="889">
        <v>1.0</v>
      </c>
      <c r="J68" s="889">
        <v>1.0</v>
      </c>
      <c r="K68" s="888">
        <v>0.0</v>
      </c>
    </row>
    <row r="69">
      <c r="A69" s="886" t="s">
        <v>181</v>
      </c>
      <c r="B69" s="890">
        <v>0.0</v>
      </c>
      <c r="C69" s="888">
        <v>25.0</v>
      </c>
      <c r="D69" s="888">
        <v>15.0</v>
      </c>
      <c r="E69" s="888">
        <v>0.0</v>
      </c>
      <c r="F69" s="888">
        <v>10.0</v>
      </c>
      <c r="G69" s="888">
        <v>1.0</v>
      </c>
      <c r="H69" s="888">
        <v>150.0</v>
      </c>
      <c r="I69" s="888">
        <v>1.0</v>
      </c>
      <c r="J69" s="888">
        <v>1.0</v>
      </c>
      <c r="K69" s="888">
        <v>0.0</v>
      </c>
    </row>
    <row r="70">
      <c r="A70" s="886" t="s">
        <v>183</v>
      </c>
      <c r="B70" s="890">
        <v>20.0</v>
      </c>
      <c r="C70" s="888">
        <v>25.0</v>
      </c>
      <c r="D70" s="888">
        <v>0.0</v>
      </c>
      <c r="E70" s="888">
        <v>0.0</v>
      </c>
      <c r="F70" s="888">
        <v>10.0</v>
      </c>
      <c r="G70" s="888">
        <v>5.0</v>
      </c>
      <c r="H70" s="888">
        <v>150.0</v>
      </c>
      <c r="I70" s="888">
        <v>10.0</v>
      </c>
      <c r="J70" s="888">
        <v>1.0</v>
      </c>
      <c r="K70" s="888">
        <v>4.0</v>
      </c>
    </row>
    <row r="71">
      <c r="A71" s="886" t="s">
        <v>186</v>
      </c>
      <c r="B71" s="887">
        <v>0.0</v>
      </c>
      <c r="C71" s="888">
        <v>25.0</v>
      </c>
      <c r="D71" s="888">
        <v>0.0</v>
      </c>
      <c r="E71" s="888">
        <v>0.0</v>
      </c>
      <c r="F71" s="888">
        <v>0.0</v>
      </c>
      <c r="G71" s="889">
        <v>1.0</v>
      </c>
      <c r="H71" s="888">
        <v>150.0</v>
      </c>
      <c r="I71" s="889">
        <v>1.0</v>
      </c>
      <c r="J71" s="889">
        <v>1.0</v>
      </c>
      <c r="K71" s="888">
        <v>0.0</v>
      </c>
    </row>
    <row r="72">
      <c r="A72" s="886" t="s">
        <v>189</v>
      </c>
      <c r="B72" s="887">
        <v>0.0</v>
      </c>
      <c r="C72" s="888">
        <v>25.0</v>
      </c>
      <c r="D72" s="888">
        <v>0.0</v>
      </c>
      <c r="E72" s="888">
        <v>0.0</v>
      </c>
      <c r="F72" s="888">
        <v>0.0</v>
      </c>
      <c r="G72" s="889">
        <v>1.0</v>
      </c>
      <c r="H72" s="888">
        <v>150.0</v>
      </c>
      <c r="I72" s="889">
        <v>1.0</v>
      </c>
      <c r="J72" s="889">
        <v>1.0</v>
      </c>
      <c r="K72" s="888">
        <v>0.0</v>
      </c>
    </row>
    <row r="73">
      <c r="A73" s="886" t="s">
        <v>191</v>
      </c>
      <c r="B73" s="890">
        <v>5.0</v>
      </c>
      <c r="C73" s="888">
        <v>25.0</v>
      </c>
      <c r="D73" s="888">
        <v>0.0</v>
      </c>
      <c r="E73" s="888">
        <v>0.0</v>
      </c>
      <c r="F73" s="888">
        <v>0.0</v>
      </c>
      <c r="G73" s="889">
        <v>1.0</v>
      </c>
      <c r="H73" s="888">
        <v>150.0</v>
      </c>
      <c r="I73" s="889">
        <v>1.0</v>
      </c>
      <c r="J73" s="889">
        <v>1.0</v>
      </c>
      <c r="K73" s="888">
        <v>0.0</v>
      </c>
    </row>
    <row r="74">
      <c r="A74" s="886" t="s">
        <v>193</v>
      </c>
      <c r="B74" s="890">
        <v>5.0</v>
      </c>
      <c r="C74" s="888">
        <v>25.0</v>
      </c>
      <c r="D74" s="888">
        <v>0.0</v>
      </c>
      <c r="E74" s="888">
        <v>0.0</v>
      </c>
      <c r="F74" s="888">
        <v>0.0</v>
      </c>
      <c r="G74" s="888">
        <v>1.0</v>
      </c>
      <c r="H74" s="888">
        <v>150.0</v>
      </c>
      <c r="I74" s="888">
        <v>1.0</v>
      </c>
      <c r="J74" s="888">
        <v>1.0</v>
      </c>
      <c r="K74" s="888">
        <v>0.0</v>
      </c>
    </row>
    <row r="75">
      <c r="A75" s="886" t="s">
        <v>195</v>
      </c>
      <c r="B75" s="887">
        <v>0.0</v>
      </c>
      <c r="C75" s="888">
        <v>25.0</v>
      </c>
      <c r="D75" s="888">
        <v>0.0</v>
      </c>
      <c r="E75" s="888">
        <v>0.0</v>
      </c>
      <c r="F75" s="888">
        <v>0.0</v>
      </c>
      <c r="G75" s="889">
        <v>1.0</v>
      </c>
      <c r="H75" s="888">
        <v>150.0</v>
      </c>
      <c r="I75" s="889">
        <v>1.0</v>
      </c>
      <c r="J75" s="889">
        <v>1.0</v>
      </c>
      <c r="K75" s="888">
        <v>0.0</v>
      </c>
    </row>
    <row r="76">
      <c r="A76" s="886" t="s">
        <v>199</v>
      </c>
      <c r="B76" s="887">
        <v>0.0</v>
      </c>
      <c r="C76" s="888">
        <v>25.0</v>
      </c>
      <c r="D76" s="888">
        <v>0.0</v>
      </c>
      <c r="E76" s="888">
        <v>0.0</v>
      </c>
      <c r="F76" s="888">
        <v>0.0</v>
      </c>
      <c r="G76" s="889">
        <v>1.0</v>
      </c>
      <c r="H76" s="888">
        <v>150.0</v>
      </c>
      <c r="I76" s="889">
        <v>1.0</v>
      </c>
      <c r="J76" s="889">
        <v>1.0</v>
      </c>
      <c r="K76" s="888">
        <v>0.0</v>
      </c>
    </row>
    <row r="77">
      <c r="A77" s="886" t="s">
        <v>201</v>
      </c>
      <c r="B77" s="890">
        <v>5.0</v>
      </c>
      <c r="C77" s="888">
        <v>25.0</v>
      </c>
      <c r="D77" s="888">
        <v>0.0</v>
      </c>
      <c r="E77" s="888">
        <v>0.0</v>
      </c>
      <c r="F77" s="888">
        <v>0.0</v>
      </c>
      <c r="G77" s="888">
        <v>1.0</v>
      </c>
      <c r="H77" s="888">
        <v>150.0</v>
      </c>
      <c r="I77" s="888">
        <v>1.0</v>
      </c>
      <c r="J77" s="888">
        <v>1.0</v>
      </c>
      <c r="K77" s="888">
        <v>0.0</v>
      </c>
    </row>
    <row r="78">
      <c r="A78" s="886" t="s">
        <v>207</v>
      </c>
      <c r="B78" s="887">
        <v>0.0</v>
      </c>
      <c r="C78" s="888">
        <v>25.0</v>
      </c>
      <c r="D78" s="888">
        <v>0.0</v>
      </c>
      <c r="E78" s="888">
        <v>0.0</v>
      </c>
      <c r="F78" s="888">
        <v>0.0</v>
      </c>
      <c r="G78" s="889">
        <v>1.0</v>
      </c>
      <c r="H78" s="888">
        <v>150.0</v>
      </c>
      <c r="I78" s="889">
        <v>1.0</v>
      </c>
      <c r="J78" s="889">
        <v>1.0</v>
      </c>
      <c r="K78" s="888">
        <v>0.0</v>
      </c>
    </row>
    <row r="79">
      <c r="A79" s="886" t="s">
        <v>211</v>
      </c>
      <c r="B79" s="890">
        <v>0.0</v>
      </c>
      <c r="C79" s="888">
        <v>25.0</v>
      </c>
      <c r="D79" s="888">
        <v>0.0</v>
      </c>
      <c r="E79" s="888">
        <v>0.0</v>
      </c>
      <c r="F79" s="888">
        <v>0.0</v>
      </c>
      <c r="G79" s="888">
        <v>1.0</v>
      </c>
      <c r="H79" s="888">
        <v>150.0</v>
      </c>
      <c r="I79" s="888">
        <v>1.0</v>
      </c>
      <c r="J79" s="888">
        <v>1.0</v>
      </c>
      <c r="K79" s="888">
        <v>0.0</v>
      </c>
    </row>
    <row r="80">
      <c r="A80" s="886" t="s">
        <v>213</v>
      </c>
      <c r="B80" s="887">
        <v>0.0</v>
      </c>
      <c r="C80" s="888">
        <v>25.0</v>
      </c>
      <c r="D80" s="888">
        <v>0.0</v>
      </c>
      <c r="E80" s="888">
        <v>0.0</v>
      </c>
      <c r="F80" s="888">
        <v>0.0</v>
      </c>
      <c r="G80" s="889">
        <v>1.0</v>
      </c>
      <c r="H80" s="888">
        <v>150.0</v>
      </c>
      <c r="I80" s="889">
        <v>1.0</v>
      </c>
      <c r="J80" s="889">
        <v>1.0</v>
      </c>
      <c r="K80" s="888">
        <v>0.0</v>
      </c>
    </row>
    <row r="81">
      <c r="A81" s="886" t="s">
        <v>215</v>
      </c>
      <c r="B81" s="887">
        <v>0.0</v>
      </c>
      <c r="C81" s="888">
        <v>25.0</v>
      </c>
      <c r="D81" s="888">
        <v>0.0</v>
      </c>
      <c r="E81" s="888">
        <v>0.0</v>
      </c>
      <c r="F81" s="888">
        <v>0.0</v>
      </c>
      <c r="G81" s="889">
        <v>1.0</v>
      </c>
      <c r="H81" s="888">
        <v>150.0</v>
      </c>
      <c r="I81" s="889">
        <v>1.0</v>
      </c>
      <c r="J81" s="889">
        <v>1.0</v>
      </c>
      <c r="K81" s="888">
        <v>0.0</v>
      </c>
    </row>
    <row r="82">
      <c r="A82" s="886" t="s">
        <v>225</v>
      </c>
      <c r="B82" s="887">
        <v>0.0</v>
      </c>
      <c r="C82" s="888">
        <v>25.0</v>
      </c>
      <c r="D82" s="888">
        <v>0.0</v>
      </c>
      <c r="E82" s="888">
        <v>0.0</v>
      </c>
      <c r="F82" s="888">
        <v>15.0</v>
      </c>
      <c r="G82" s="888">
        <v>10.0</v>
      </c>
      <c r="H82" s="888">
        <v>150.0</v>
      </c>
      <c r="I82" s="889">
        <v>1.0</v>
      </c>
      <c r="J82" s="889">
        <v>1.0</v>
      </c>
      <c r="K82" s="888">
        <v>0.0</v>
      </c>
    </row>
    <row r="83">
      <c r="A83" s="886" t="s">
        <v>226</v>
      </c>
      <c r="B83" s="890">
        <v>0.0</v>
      </c>
      <c r="C83" s="888">
        <v>25.0</v>
      </c>
      <c r="D83" s="888">
        <v>0.0</v>
      </c>
      <c r="E83" s="888">
        <v>0.0</v>
      </c>
      <c r="F83" s="888">
        <v>0.0</v>
      </c>
      <c r="G83" s="888">
        <v>1.0</v>
      </c>
      <c r="H83" s="888">
        <v>150.0</v>
      </c>
      <c r="I83" s="888">
        <v>1.0</v>
      </c>
      <c r="J83" s="888">
        <v>1.0</v>
      </c>
      <c r="K83" s="888">
        <v>0.0</v>
      </c>
    </row>
    <row r="84">
      <c r="A84" s="886" t="s">
        <v>235</v>
      </c>
      <c r="B84" s="890">
        <v>0.0</v>
      </c>
      <c r="C84" s="888">
        <v>25.0</v>
      </c>
      <c r="D84" s="888">
        <v>0.0</v>
      </c>
      <c r="E84" s="888">
        <v>0.0</v>
      </c>
      <c r="F84" s="888">
        <v>0.0</v>
      </c>
      <c r="G84" s="888">
        <v>5.0</v>
      </c>
      <c r="H84" s="888">
        <v>150.0</v>
      </c>
      <c r="I84" s="888">
        <v>1.0</v>
      </c>
      <c r="J84" s="888">
        <v>1.0</v>
      </c>
      <c r="K84" s="888">
        <v>0.0</v>
      </c>
    </row>
    <row r="85">
      <c r="A85" s="886" t="s">
        <v>238</v>
      </c>
      <c r="B85" s="887">
        <v>0.0</v>
      </c>
      <c r="C85" s="888">
        <v>25.0</v>
      </c>
      <c r="D85" s="888">
        <v>0.0</v>
      </c>
      <c r="E85" s="888">
        <v>0.0</v>
      </c>
      <c r="F85" s="888">
        <v>0.0</v>
      </c>
      <c r="G85" s="889">
        <v>1.0</v>
      </c>
      <c r="H85" s="888">
        <v>150.0</v>
      </c>
      <c r="I85" s="889">
        <v>1.0</v>
      </c>
      <c r="J85" s="889">
        <v>1.0</v>
      </c>
      <c r="K85" s="888">
        <v>0.0</v>
      </c>
    </row>
    <row r="86">
      <c r="A86" s="886" t="s">
        <v>247</v>
      </c>
      <c r="B86" s="887">
        <v>0.0</v>
      </c>
      <c r="C86" s="888">
        <v>25.0</v>
      </c>
      <c r="D86" s="888">
        <v>0.0</v>
      </c>
      <c r="E86" s="888">
        <v>0.0</v>
      </c>
      <c r="F86" s="888">
        <v>0.0</v>
      </c>
      <c r="G86" s="889">
        <v>1.0</v>
      </c>
      <c r="H86" s="888">
        <v>150.0</v>
      </c>
      <c r="I86" s="889">
        <v>1.0</v>
      </c>
      <c r="J86" s="889">
        <v>1.0</v>
      </c>
      <c r="K86" s="888">
        <v>0.0</v>
      </c>
    </row>
    <row r="87">
      <c r="A87" s="891" t="s">
        <v>73</v>
      </c>
      <c r="B87" s="891">
        <v>0.0</v>
      </c>
      <c r="C87" s="891">
        <v>25.0</v>
      </c>
      <c r="D87" s="891">
        <v>0.0</v>
      </c>
      <c r="E87" s="891">
        <v>0.0</v>
      </c>
      <c r="F87" s="891">
        <v>0.0</v>
      </c>
      <c r="G87" s="891">
        <v>1.0</v>
      </c>
      <c r="H87" s="891">
        <v>175.0</v>
      </c>
      <c r="I87" s="891">
        <v>1.0</v>
      </c>
      <c r="J87" s="891">
        <v>1.0</v>
      </c>
      <c r="K87" s="891">
        <v>0.0</v>
      </c>
    </row>
    <row r="88">
      <c r="A88" s="891" t="s">
        <v>110</v>
      </c>
      <c r="B88" s="891">
        <v>0.0</v>
      </c>
      <c r="C88" s="891">
        <v>25.0</v>
      </c>
      <c r="D88" s="891">
        <v>0.0</v>
      </c>
      <c r="E88" s="891">
        <v>0.0</v>
      </c>
      <c r="F88" s="891">
        <v>0.0</v>
      </c>
      <c r="G88" s="891">
        <v>1.0</v>
      </c>
      <c r="H88" s="891">
        <v>150.0</v>
      </c>
      <c r="I88" s="891">
        <v>1.0</v>
      </c>
      <c r="J88" s="891">
        <v>1.0</v>
      </c>
      <c r="K88" s="891">
        <v>0.0</v>
      </c>
    </row>
    <row r="89">
      <c r="A89" s="891" t="s">
        <v>117</v>
      </c>
      <c r="B89" s="891">
        <v>0.0</v>
      </c>
      <c r="C89" s="891">
        <v>25.0</v>
      </c>
      <c r="D89" s="891">
        <v>0.0</v>
      </c>
      <c r="E89" s="891">
        <v>0.0</v>
      </c>
      <c r="F89" s="891">
        <v>0.0</v>
      </c>
      <c r="G89" s="891">
        <v>1.0</v>
      </c>
      <c r="H89" s="891">
        <v>150.0</v>
      </c>
      <c r="I89" s="891">
        <v>1.0</v>
      </c>
      <c r="J89" s="891">
        <v>15.0</v>
      </c>
      <c r="K89" s="891">
        <v>0.0</v>
      </c>
    </row>
    <row r="90">
      <c r="A90" s="891" t="s">
        <v>137</v>
      </c>
      <c r="B90" s="891">
        <v>15.0</v>
      </c>
      <c r="C90" s="891">
        <v>25.0</v>
      </c>
      <c r="D90" s="891">
        <v>0.0</v>
      </c>
      <c r="E90" s="891">
        <v>0.0</v>
      </c>
      <c r="F90" s="891">
        <v>0.0</v>
      </c>
      <c r="G90" s="891">
        <v>1.0</v>
      </c>
      <c r="H90" s="891">
        <v>150.0</v>
      </c>
      <c r="I90" s="891">
        <v>1.0</v>
      </c>
      <c r="J90" s="891">
        <v>15.0</v>
      </c>
      <c r="K90" s="891">
        <v>0.0</v>
      </c>
    </row>
    <row r="91">
      <c r="A91" s="891" t="s">
        <v>142</v>
      </c>
      <c r="B91" s="891">
        <v>0.0</v>
      </c>
      <c r="C91" s="891">
        <v>25.0</v>
      </c>
      <c r="D91" s="891">
        <v>10.0</v>
      </c>
      <c r="E91" s="891">
        <v>20.0</v>
      </c>
      <c r="F91" s="891">
        <v>20.0</v>
      </c>
      <c r="G91" s="891">
        <v>1.0</v>
      </c>
      <c r="H91" s="891">
        <v>150.0</v>
      </c>
      <c r="I91" s="891">
        <v>1.0</v>
      </c>
      <c r="J91" s="891">
        <v>1.0</v>
      </c>
      <c r="K91" s="891">
        <v>0.0</v>
      </c>
    </row>
    <row r="92">
      <c r="A92" s="891" t="s">
        <v>157</v>
      </c>
      <c r="B92" s="891">
        <v>10.0</v>
      </c>
      <c r="C92" s="891">
        <v>25.0</v>
      </c>
      <c r="D92" s="891">
        <v>0.0</v>
      </c>
      <c r="E92" s="891">
        <v>0.0</v>
      </c>
      <c r="F92" s="891">
        <v>0.0</v>
      </c>
      <c r="G92" s="891">
        <v>1.0</v>
      </c>
      <c r="H92" s="891">
        <v>150.0</v>
      </c>
      <c r="I92" s="891">
        <v>1.0</v>
      </c>
      <c r="J92" s="891">
        <v>1.0</v>
      </c>
      <c r="K92" s="891">
        <v>0.0</v>
      </c>
    </row>
    <row r="93">
      <c r="A93" s="891" t="s">
        <v>145</v>
      </c>
      <c r="B93" s="891">
        <v>10.0</v>
      </c>
      <c r="C93" s="891">
        <v>30.0</v>
      </c>
      <c r="D93" s="891">
        <v>0.0</v>
      </c>
      <c r="E93" s="891">
        <v>0.0</v>
      </c>
      <c r="F93" s="891">
        <v>0.0</v>
      </c>
      <c r="G93" s="891">
        <v>1.0</v>
      </c>
      <c r="H93" s="891">
        <v>150.0</v>
      </c>
      <c r="I93" s="891">
        <v>1.0</v>
      </c>
      <c r="J93" s="891">
        <v>10.0</v>
      </c>
      <c r="K93" s="891">
        <v>0.0</v>
      </c>
    </row>
    <row r="94">
      <c r="A94" s="891" t="s">
        <v>203</v>
      </c>
      <c r="B94" s="892">
        <v>5.0</v>
      </c>
      <c r="C94" s="893">
        <v>25.0</v>
      </c>
      <c r="D94" s="893">
        <v>0.0</v>
      </c>
      <c r="E94" s="893">
        <v>0.0</v>
      </c>
      <c r="F94" s="893">
        <v>0.0</v>
      </c>
      <c r="G94" s="894">
        <v>1.0</v>
      </c>
      <c r="H94" s="893">
        <v>150.0</v>
      </c>
      <c r="I94" s="894">
        <v>1.0</v>
      </c>
      <c r="J94" s="893">
        <v>5.0</v>
      </c>
      <c r="K94" s="893">
        <v>0.0</v>
      </c>
    </row>
  </sheetData>
  <mergeCells count="2">
    <mergeCell ref="A1:A2"/>
    <mergeCell ref="B1:K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32.29"/>
    <col customWidth="1" min="2" max="2" width="14.71"/>
    <col customWidth="1" min="5" max="5" width="29.86"/>
    <col customWidth="1" min="6" max="13" width="10.86"/>
    <col customWidth="1" min="14" max="14" width="18.0"/>
    <col customWidth="1" min="15" max="16" width="10.86"/>
  </cols>
  <sheetData>
    <row r="1">
      <c r="A1" s="82"/>
      <c r="B1" s="83" t="s">
        <v>292</v>
      </c>
      <c r="Q1" s="84"/>
      <c r="R1" s="85"/>
      <c r="S1" s="86"/>
    </row>
    <row r="2">
      <c r="A2" s="87" t="s">
        <v>293</v>
      </c>
      <c r="B2" s="88" t="s">
        <v>294</v>
      </c>
      <c r="C2" s="89" t="s">
        <v>295</v>
      </c>
      <c r="D2" s="89" t="s">
        <v>296</v>
      </c>
      <c r="E2" s="90" t="s">
        <v>18</v>
      </c>
      <c r="F2" s="90" t="s">
        <v>297</v>
      </c>
      <c r="G2" s="90" t="s">
        <v>298</v>
      </c>
      <c r="H2" s="90" t="s">
        <v>299</v>
      </c>
      <c r="I2" s="90" t="s">
        <v>300</v>
      </c>
      <c r="J2" s="90" t="s">
        <v>301</v>
      </c>
      <c r="K2" s="90" t="s">
        <v>302</v>
      </c>
      <c r="L2" s="90" t="s">
        <v>303</v>
      </c>
      <c r="M2" s="89" t="s">
        <v>19</v>
      </c>
      <c r="N2" s="90" t="s">
        <v>304</v>
      </c>
      <c r="O2" s="90" t="s">
        <v>305</v>
      </c>
      <c r="P2" s="91" t="s">
        <v>306</v>
      </c>
      <c r="Q2" s="92" t="s">
        <v>307</v>
      </c>
      <c r="R2" s="93" t="s">
        <v>308</v>
      </c>
      <c r="S2" s="86"/>
    </row>
    <row r="3">
      <c r="A3" s="94" t="s">
        <v>38</v>
      </c>
      <c r="B3" s="95" t="s">
        <v>309</v>
      </c>
      <c r="C3" s="96" t="s">
        <v>310</v>
      </c>
      <c r="D3" s="96" t="s">
        <v>311</v>
      </c>
      <c r="E3" s="97" t="s">
        <v>312</v>
      </c>
      <c r="F3" s="98">
        <v>1.0</v>
      </c>
      <c r="G3" s="99">
        <v>10.0</v>
      </c>
      <c r="H3" s="99">
        <v>20.0</v>
      </c>
      <c r="I3" s="99">
        <v>80.0</v>
      </c>
      <c r="J3" s="99">
        <v>160.0</v>
      </c>
      <c r="K3" s="99">
        <v>300.0</v>
      </c>
      <c r="L3" s="99">
        <v>230.0</v>
      </c>
      <c r="M3" s="100">
        <f t="shared" ref="M3:M94" si="1">SUM(G3:L3)</f>
        <v>800</v>
      </c>
      <c r="N3" s="99" t="s">
        <v>313</v>
      </c>
      <c r="O3" s="99" t="s">
        <v>314</v>
      </c>
      <c r="P3" s="101" t="s">
        <v>314</v>
      </c>
      <c r="Q3" s="102" t="s">
        <v>315</v>
      </c>
      <c r="R3" s="103"/>
      <c r="S3" s="2"/>
    </row>
    <row r="4">
      <c r="A4" s="104" t="s">
        <v>62</v>
      </c>
      <c r="B4" s="105" t="s">
        <v>316</v>
      </c>
      <c r="C4" s="106" t="s">
        <v>310</v>
      </c>
      <c r="D4" s="106" t="s">
        <v>311</v>
      </c>
      <c r="E4" s="107" t="s">
        <v>317</v>
      </c>
      <c r="F4" s="107">
        <v>1.0</v>
      </c>
      <c r="G4" s="106">
        <v>10.0</v>
      </c>
      <c r="H4" s="106">
        <v>20.0</v>
      </c>
      <c r="I4" s="106">
        <v>80.0</v>
      </c>
      <c r="J4" s="106">
        <v>160.0</v>
      </c>
      <c r="K4" s="106">
        <v>300.0</v>
      </c>
      <c r="L4" s="108">
        <v>230.0</v>
      </c>
      <c r="M4" s="109">
        <f t="shared" si="1"/>
        <v>800</v>
      </c>
      <c r="N4" s="108" t="s">
        <v>313</v>
      </c>
      <c r="O4" s="106" t="s">
        <v>314</v>
      </c>
      <c r="P4" s="110" t="s">
        <v>314</v>
      </c>
      <c r="Q4" s="111" t="s">
        <v>299</v>
      </c>
      <c r="R4" s="112">
        <v>1000.0</v>
      </c>
      <c r="S4" s="2"/>
    </row>
    <row r="5">
      <c r="A5" s="113" t="s">
        <v>69</v>
      </c>
      <c r="B5" s="114" t="s">
        <v>318</v>
      </c>
      <c r="C5" s="115" t="s">
        <v>310</v>
      </c>
      <c r="D5" s="115" t="s">
        <v>319</v>
      </c>
      <c r="E5" s="116" t="s">
        <v>320</v>
      </c>
      <c r="F5" s="116">
        <v>1.0</v>
      </c>
      <c r="G5" s="115">
        <v>10.0</v>
      </c>
      <c r="H5" s="115">
        <v>20.0</v>
      </c>
      <c r="I5" s="115">
        <v>80.0</v>
      </c>
      <c r="J5" s="115">
        <v>160.0</v>
      </c>
      <c r="K5" s="115">
        <v>300.0</v>
      </c>
      <c r="L5" s="117">
        <v>230.0</v>
      </c>
      <c r="M5" s="118">
        <f t="shared" si="1"/>
        <v>800</v>
      </c>
      <c r="N5" s="117" t="s">
        <v>313</v>
      </c>
      <c r="O5" s="115" t="s">
        <v>314</v>
      </c>
      <c r="P5" s="119" t="s">
        <v>314</v>
      </c>
      <c r="Q5" s="120" t="s">
        <v>300</v>
      </c>
      <c r="R5" s="121">
        <v>5000.0</v>
      </c>
      <c r="S5" s="2"/>
    </row>
    <row r="6">
      <c r="A6" s="104" t="s">
        <v>125</v>
      </c>
      <c r="B6" s="105" t="s">
        <v>321</v>
      </c>
      <c r="C6" s="106" t="s">
        <v>310</v>
      </c>
      <c r="D6" s="106" t="s">
        <v>322</v>
      </c>
      <c r="E6" s="107" t="s">
        <v>323</v>
      </c>
      <c r="F6" s="107">
        <v>1.0</v>
      </c>
      <c r="G6" s="106">
        <v>10.0</v>
      </c>
      <c r="H6" s="106">
        <v>20.0</v>
      </c>
      <c r="I6" s="106">
        <v>80.0</v>
      </c>
      <c r="J6" s="106">
        <v>160.0</v>
      </c>
      <c r="K6" s="106">
        <v>300.0</v>
      </c>
      <c r="L6" s="108">
        <v>230.0</v>
      </c>
      <c r="M6" s="109">
        <f t="shared" si="1"/>
        <v>800</v>
      </c>
      <c r="N6" s="108" t="s">
        <v>313</v>
      </c>
      <c r="O6" s="106" t="s">
        <v>314</v>
      </c>
      <c r="P6" s="110" t="s">
        <v>314</v>
      </c>
      <c r="Q6" s="120" t="s">
        <v>301</v>
      </c>
      <c r="R6" s="121">
        <v>10000.0</v>
      </c>
      <c r="S6" s="2"/>
    </row>
    <row r="7">
      <c r="A7" s="113" t="s">
        <v>133</v>
      </c>
      <c r="B7" s="114" t="s">
        <v>324</v>
      </c>
      <c r="C7" s="115" t="s">
        <v>310</v>
      </c>
      <c r="D7" s="115" t="s">
        <v>319</v>
      </c>
      <c r="E7" s="116" t="s">
        <v>325</v>
      </c>
      <c r="F7" s="116">
        <v>1.0</v>
      </c>
      <c r="G7" s="115">
        <v>10.0</v>
      </c>
      <c r="H7" s="115">
        <v>20.0</v>
      </c>
      <c r="I7" s="115">
        <v>80.0</v>
      </c>
      <c r="J7" s="115">
        <v>160.0</v>
      </c>
      <c r="K7" s="115">
        <v>300.0</v>
      </c>
      <c r="L7" s="117">
        <v>230.0</v>
      </c>
      <c r="M7" s="118">
        <f t="shared" si="1"/>
        <v>800</v>
      </c>
      <c r="N7" s="117" t="s">
        <v>313</v>
      </c>
      <c r="O7" s="115" t="s">
        <v>314</v>
      </c>
      <c r="P7" s="119" t="s">
        <v>314</v>
      </c>
      <c r="Q7" s="120" t="s">
        <v>302</v>
      </c>
      <c r="R7" s="121">
        <v>25000.0</v>
      </c>
      <c r="S7" s="2"/>
    </row>
    <row r="8">
      <c r="A8" s="104" t="s">
        <v>138</v>
      </c>
      <c r="B8" s="105" t="s">
        <v>326</v>
      </c>
      <c r="C8" s="106" t="s">
        <v>310</v>
      </c>
      <c r="D8" s="106" t="s">
        <v>319</v>
      </c>
      <c r="E8" s="107" t="s">
        <v>323</v>
      </c>
      <c r="F8" s="107">
        <v>1.0</v>
      </c>
      <c r="G8" s="106">
        <v>10.0</v>
      </c>
      <c r="H8" s="106">
        <v>20.0</v>
      </c>
      <c r="I8" s="106">
        <v>80.0</v>
      </c>
      <c r="J8" s="106">
        <v>160.0</v>
      </c>
      <c r="K8" s="106">
        <v>300.0</v>
      </c>
      <c r="L8" s="108">
        <v>230.0</v>
      </c>
      <c r="M8" s="109">
        <f t="shared" si="1"/>
        <v>800</v>
      </c>
      <c r="N8" s="108" t="s">
        <v>313</v>
      </c>
      <c r="O8" s="106" t="s">
        <v>314</v>
      </c>
      <c r="P8" s="110" t="s">
        <v>314</v>
      </c>
      <c r="Q8" s="92" t="s">
        <v>303</v>
      </c>
      <c r="R8" s="93">
        <v>85000.0</v>
      </c>
      <c r="S8" s="2"/>
    </row>
    <row r="9">
      <c r="A9" s="113" t="s">
        <v>144</v>
      </c>
      <c r="B9" s="114" t="s">
        <v>327</v>
      </c>
      <c r="C9" s="115" t="s">
        <v>310</v>
      </c>
      <c r="D9" s="115" t="s">
        <v>311</v>
      </c>
      <c r="E9" s="116" t="s">
        <v>323</v>
      </c>
      <c r="F9" s="116">
        <v>1.0</v>
      </c>
      <c r="G9" s="115">
        <v>10.0</v>
      </c>
      <c r="H9" s="115">
        <v>20.0</v>
      </c>
      <c r="I9" s="115">
        <v>80.0</v>
      </c>
      <c r="J9" s="115">
        <v>160.0</v>
      </c>
      <c r="K9" s="115">
        <v>300.0</v>
      </c>
      <c r="L9" s="117">
        <v>230.0</v>
      </c>
      <c r="M9" s="118">
        <f t="shared" si="1"/>
        <v>800</v>
      </c>
      <c r="N9" s="117" t="s">
        <v>313</v>
      </c>
      <c r="O9" s="115" t="s">
        <v>314</v>
      </c>
      <c r="P9" s="119" t="s">
        <v>314</v>
      </c>
      <c r="Q9" s="122" t="s">
        <v>19</v>
      </c>
      <c r="R9" s="123">
        <f>SUM(R4:R8)</f>
        <v>126000</v>
      </c>
      <c r="S9" s="2"/>
    </row>
    <row r="10">
      <c r="A10" s="104" t="s">
        <v>150</v>
      </c>
      <c r="B10" s="105" t="s">
        <v>328</v>
      </c>
      <c r="C10" s="106" t="s">
        <v>310</v>
      </c>
      <c r="D10" s="106" t="s">
        <v>329</v>
      </c>
      <c r="E10" s="107" t="s">
        <v>330</v>
      </c>
      <c r="F10" s="107">
        <v>1.0</v>
      </c>
      <c r="G10" s="106">
        <v>10.0</v>
      </c>
      <c r="H10" s="106">
        <v>20.0</v>
      </c>
      <c r="I10" s="106">
        <v>80.0</v>
      </c>
      <c r="J10" s="106">
        <v>160.0</v>
      </c>
      <c r="K10" s="106">
        <v>300.0</v>
      </c>
      <c r="L10" s="108">
        <v>230.0</v>
      </c>
      <c r="M10" s="109">
        <f t="shared" si="1"/>
        <v>800</v>
      </c>
      <c r="N10" s="108" t="s">
        <v>313</v>
      </c>
      <c r="O10" s="106" t="s">
        <v>314</v>
      </c>
      <c r="P10" s="110" t="s">
        <v>314</v>
      </c>
      <c r="Q10" s="124" t="s">
        <v>331</v>
      </c>
      <c r="R10" s="103"/>
      <c r="S10" s="2"/>
    </row>
    <row r="11">
      <c r="A11" s="113" t="s">
        <v>154</v>
      </c>
      <c r="B11" s="114" t="s">
        <v>332</v>
      </c>
      <c r="C11" s="115" t="s">
        <v>310</v>
      </c>
      <c r="D11" s="115" t="s">
        <v>322</v>
      </c>
      <c r="E11" s="116" t="s">
        <v>333</v>
      </c>
      <c r="F11" s="116">
        <v>1.0</v>
      </c>
      <c r="G11" s="115">
        <v>10.0</v>
      </c>
      <c r="H11" s="115">
        <v>20.0</v>
      </c>
      <c r="I11" s="115">
        <v>80.0</v>
      </c>
      <c r="J11" s="115">
        <v>160.0</v>
      </c>
      <c r="K11" s="115">
        <v>300.0</v>
      </c>
      <c r="L11" s="117">
        <v>230.0</v>
      </c>
      <c r="M11" s="118">
        <f t="shared" si="1"/>
        <v>800</v>
      </c>
      <c r="N11" s="117" t="s">
        <v>313</v>
      </c>
      <c r="O11" s="115" t="s">
        <v>314</v>
      </c>
      <c r="P11" s="119" t="s">
        <v>314</v>
      </c>
      <c r="Q11" s="111" t="s">
        <v>300</v>
      </c>
      <c r="R11" s="112">
        <v>5000.0</v>
      </c>
      <c r="S11" s="2"/>
    </row>
    <row r="12">
      <c r="A12" s="104" t="s">
        <v>167</v>
      </c>
      <c r="B12" s="105" t="s">
        <v>334</v>
      </c>
      <c r="C12" s="106" t="s">
        <v>310</v>
      </c>
      <c r="D12" s="106" t="s">
        <v>322</v>
      </c>
      <c r="E12" s="107" t="s">
        <v>335</v>
      </c>
      <c r="F12" s="107">
        <v>1.0</v>
      </c>
      <c r="G12" s="106">
        <v>10.0</v>
      </c>
      <c r="H12" s="106">
        <v>20.0</v>
      </c>
      <c r="I12" s="106">
        <v>80.0</v>
      </c>
      <c r="J12" s="106">
        <v>160.0</v>
      </c>
      <c r="K12" s="106">
        <v>300.0</v>
      </c>
      <c r="L12" s="108">
        <v>230.0</v>
      </c>
      <c r="M12" s="109">
        <f t="shared" si="1"/>
        <v>800</v>
      </c>
      <c r="N12" s="108" t="s">
        <v>313</v>
      </c>
      <c r="O12" s="106" t="s">
        <v>314</v>
      </c>
      <c r="P12" s="110" t="s">
        <v>314</v>
      </c>
      <c r="Q12" s="120" t="s">
        <v>301</v>
      </c>
      <c r="R12" s="121">
        <v>10000.0</v>
      </c>
      <c r="S12" s="2"/>
    </row>
    <row r="13">
      <c r="A13" s="113" t="s">
        <v>197</v>
      </c>
      <c r="B13" s="114" t="s">
        <v>336</v>
      </c>
      <c r="C13" s="115" t="s">
        <v>310</v>
      </c>
      <c r="D13" s="115" t="s">
        <v>311</v>
      </c>
      <c r="E13" s="116" t="s">
        <v>337</v>
      </c>
      <c r="F13" s="116">
        <v>1.0</v>
      </c>
      <c r="G13" s="115">
        <v>10.0</v>
      </c>
      <c r="H13" s="115">
        <v>20.0</v>
      </c>
      <c r="I13" s="115">
        <v>80.0</v>
      </c>
      <c r="J13" s="115">
        <v>160.0</v>
      </c>
      <c r="K13" s="115">
        <v>300.0</v>
      </c>
      <c r="L13" s="117">
        <v>230.0</v>
      </c>
      <c r="M13" s="118">
        <f t="shared" si="1"/>
        <v>800</v>
      </c>
      <c r="N13" s="117" t="s">
        <v>313</v>
      </c>
      <c r="O13" s="115" t="s">
        <v>314</v>
      </c>
      <c r="P13" s="119" t="s">
        <v>314</v>
      </c>
      <c r="Q13" s="120" t="s">
        <v>302</v>
      </c>
      <c r="R13" s="121">
        <v>25000.0</v>
      </c>
      <c r="S13" s="2"/>
    </row>
    <row r="14">
      <c r="A14" s="104" t="s">
        <v>205</v>
      </c>
      <c r="B14" s="105" t="s">
        <v>338</v>
      </c>
      <c r="C14" s="106" t="s">
        <v>310</v>
      </c>
      <c r="D14" s="106" t="s">
        <v>339</v>
      </c>
      <c r="E14" s="107" t="s">
        <v>340</v>
      </c>
      <c r="F14" s="107">
        <v>1.0</v>
      </c>
      <c r="G14" s="106">
        <v>10.0</v>
      </c>
      <c r="H14" s="106">
        <v>20.0</v>
      </c>
      <c r="I14" s="106">
        <v>80.0</v>
      </c>
      <c r="J14" s="106">
        <v>160.0</v>
      </c>
      <c r="K14" s="106">
        <v>300.0</v>
      </c>
      <c r="L14" s="108">
        <v>230.0</v>
      </c>
      <c r="M14" s="109">
        <f t="shared" si="1"/>
        <v>800</v>
      </c>
      <c r="N14" s="108" t="s">
        <v>313</v>
      </c>
      <c r="O14" s="106" t="s">
        <v>314</v>
      </c>
      <c r="P14" s="110" t="s">
        <v>314</v>
      </c>
      <c r="Q14" s="92" t="s">
        <v>303</v>
      </c>
      <c r="R14" s="93">
        <v>85000.0</v>
      </c>
      <c r="S14" s="2"/>
    </row>
    <row r="15">
      <c r="A15" s="113" t="s">
        <v>209</v>
      </c>
      <c r="B15" s="114" t="s">
        <v>341</v>
      </c>
      <c r="C15" s="115" t="s">
        <v>310</v>
      </c>
      <c r="D15" s="115" t="s">
        <v>339</v>
      </c>
      <c r="E15" s="116" t="s">
        <v>342</v>
      </c>
      <c r="F15" s="116">
        <v>1.0</v>
      </c>
      <c r="G15" s="115">
        <v>10.0</v>
      </c>
      <c r="H15" s="115">
        <v>20.0</v>
      </c>
      <c r="I15" s="115">
        <v>80.0</v>
      </c>
      <c r="J15" s="115">
        <v>160.0</v>
      </c>
      <c r="K15" s="115">
        <v>300.0</v>
      </c>
      <c r="L15" s="117">
        <v>230.0</v>
      </c>
      <c r="M15" s="118">
        <f t="shared" si="1"/>
        <v>800</v>
      </c>
      <c r="N15" s="117" t="s">
        <v>313</v>
      </c>
      <c r="O15" s="115" t="s">
        <v>314</v>
      </c>
      <c r="P15" s="119" t="s">
        <v>314</v>
      </c>
      <c r="Q15" s="122" t="s">
        <v>19</v>
      </c>
      <c r="R15" s="123">
        <f>SUM(R11:R14)</f>
        <v>125000</v>
      </c>
      <c r="S15" s="2"/>
    </row>
    <row r="16">
      <c r="A16" s="104" t="s">
        <v>236</v>
      </c>
      <c r="B16" s="105" t="s">
        <v>343</v>
      </c>
      <c r="C16" s="106" t="s">
        <v>310</v>
      </c>
      <c r="D16" s="106" t="s">
        <v>311</v>
      </c>
      <c r="E16" s="107" t="s">
        <v>344</v>
      </c>
      <c r="F16" s="107">
        <v>1.0</v>
      </c>
      <c r="G16" s="106">
        <v>10.0</v>
      </c>
      <c r="H16" s="106">
        <v>20.0</v>
      </c>
      <c r="I16" s="106">
        <v>80.0</v>
      </c>
      <c r="J16" s="106">
        <v>160.0</v>
      </c>
      <c r="K16" s="106">
        <v>300.0</v>
      </c>
      <c r="L16" s="108">
        <v>230.0</v>
      </c>
      <c r="M16" s="109">
        <f t="shared" si="1"/>
        <v>800</v>
      </c>
      <c r="N16" s="108" t="s">
        <v>313</v>
      </c>
      <c r="O16" s="106" t="s">
        <v>314</v>
      </c>
      <c r="P16" s="110" t="s">
        <v>314</v>
      </c>
      <c r="Q16" s="124" t="s">
        <v>345</v>
      </c>
      <c r="R16" s="103"/>
      <c r="S16" s="2"/>
    </row>
    <row r="17">
      <c r="A17" s="113" t="s">
        <v>102</v>
      </c>
      <c r="B17" s="114" t="s">
        <v>346</v>
      </c>
      <c r="C17" s="115" t="s">
        <v>310</v>
      </c>
      <c r="D17" s="115" t="s">
        <v>322</v>
      </c>
      <c r="E17" s="116" t="s">
        <v>347</v>
      </c>
      <c r="F17" s="116">
        <v>2.0</v>
      </c>
      <c r="G17" s="115"/>
      <c r="H17" s="115">
        <v>30.0</v>
      </c>
      <c r="I17" s="115">
        <v>80.0</v>
      </c>
      <c r="J17" s="115">
        <v>160.0</v>
      </c>
      <c r="K17" s="115">
        <v>300.0</v>
      </c>
      <c r="L17" s="117">
        <v>230.0</v>
      </c>
      <c r="M17" s="118">
        <f t="shared" si="1"/>
        <v>800</v>
      </c>
      <c r="N17" s="117" t="s">
        <v>313</v>
      </c>
      <c r="O17" s="115" t="s">
        <v>314</v>
      </c>
      <c r="P17" s="119" t="s">
        <v>314</v>
      </c>
      <c r="Q17" s="111" t="s">
        <v>300</v>
      </c>
      <c r="R17" s="112">
        <v>10000.0</v>
      </c>
      <c r="S17" s="2"/>
    </row>
    <row r="18">
      <c r="A18" s="104" t="s">
        <v>140</v>
      </c>
      <c r="B18" s="105" t="s">
        <v>348</v>
      </c>
      <c r="C18" s="106" t="s">
        <v>310</v>
      </c>
      <c r="D18" s="106" t="s">
        <v>329</v>
      </c>
      <c r="E18" s="107" t="s">
        <v>349</v>
      </c>
      <c r="F18" s="107">
        <v>2.0</v>
      </c>
      <c r="G18" s="106"/>
      <c r="H18" s="106">
        <v>30.0</v>
      </c>
      <c r="I18" s="106">
        <v>80.0</v>
      </c>
      <c r="J18" s="106">
        <v>160.0</v>
      </c>
      <c r="K18" s="106">
        <v>300.0</v>
      </c>
      <c r="L18" s="108">
        <v>230.0</v>
      </c>
      <c r="M18" s="109">
        <f t="shared" si="1"/>
        <v>800</v>
      </c>
      <c r="N18" s="108" t="s">
        <v>313</v>
      </c>
      <c r="O18" s="106" t="s">
        <v>314</v>
      </c>
      <c r="P18" s="110" t="s">
        <v>314</v>
      </c>
      <c r="Q18" s="120" t="s">
        <v>301</v>
      </c>
      <c r="R18" s="121">
        <v>20000.0</v>
      </c>
      <c r="S18" s="2"/>
    </row>
    <row r="19">
      <c r="A19" s="113" t="s">
        <v>147</v>
      </c>
      <c r="B19" s="114" t="s">
        <v>350</v>
      </c>
      <c r="C19" s="115" t="s">
        <v>310</v>
      </c>
      <c r="D19" s="115" t="s">
        <v>319</v>
      </c>
      <c r="E19" s="116" t="s">
        <v>351</v>
      </c>
      <c r="F19" s="116">
        <v>2.0</v>
      </c>
      <c r="G19" s="115"/>
      <c r="H19" s="115">
        <v>30.0</v>
      </c>
      <c r="I19" s="115">
        <v>80.0</v>
      </c>
      <c r="J19" s="115">
        <v>160.0</v>
      </c>
      <c r="K19" s="115">
        <v>300.0</v>
      </c>
      <c r="L19" s="117">
        <v>230.0</v>
      </c>
      <c r="M19" s="118">
        <f t="shared" si="1"/>
        <v>800</v>
      </c>
      <c r="N19" s="117" t="s">
        <v>313</v>
      </c>
      <c r="O19" s="115" t="s">
        <v>314</v>
      </c>
      <c r="P19" s="119" t="s">
        <v>314</v>
      </c>
      <c r="Q19" s="120" t="s">
        <v>302</v>
      </c>
      <c r="R19" s="121">
        <v>50000.0</v>
      </c>
      <c r="S19" s="2"/>
    </row>
    <row r="20">
      <c r="A20" s="104" t="s">
        <v>177</v>
      </c>
      <c r="B20" s="105" t="s">
        <v>352</v>
      </c>
      <c r="C20" s="106" t="s">
        <v>310</v>
      </c>
      <c r="D20" s="106" t="s">
        <v>339</v>
      </c>
      <c r="E20" s="107" t="s">
        <v>353</v>
      </c>
      <c r="F20" s="107">
        <v>2.0</v>
      </c>
      <c r="G20" s="106"/>
      <c r="H20" s="106">
        <v>30.0</v>
      </c>
      <c r="I20" s="106">
        <v>80.0</v>
      </c>
      <c r="J20" s="106">
        <v>160.0</v>
      </c>
      <c r="K20" s="106">
        <v>300.0</v>
      </c>
      <c r="L20" s="108">
        <v>230.0</v>
      </c>
      <c r="M20" s="109">
        <f t="shared" si="1"/>
        <v>800</v>
      </c>
      <c r="N20" s="108" t="s">
        <v>313</v>
      </c>
      <c r="O20" s="106" t="s">
        <v>314</v>
      </c>
      <c r="P20" s="110" t="s">
        <v>314</v>
      </c>
      <c r="Q20" s="92" t="s">
        <v>303</v>
      </c>
      <c r="R20" s="93">
        <v>170000.0</v>
      </c>
      <c r="S20" s="2"/>
    </row>
    <row r="21">
      <c r="A21" s="113" t="s">
        <v>224</v>
      </c>
      <c r="B21" s="114" t="s">
        <v>354</v>
      </c>
      <c r="C21" s="115" t="s">
        <v>310</v>
      </c>
      <c r="D21" s="115" t="s">
        <v>322</v>
      </c>
      <c r="E21" s="116" t="s">
        <v>347</v>
      </c>
      <c r="F21" s="116">
        <v>2.0</v>
      </c>
      <c r="G21" s="115"/>
      <c r="H21" s="115">
        <v>30.0</v>
      </c>
      <c r="I21" s="115">
        <v>80.0</v>
      </c>
      <c r="J21" s="115">
        <v>160.0</v>
      </c>
      <c r="K21" s="115">
        <v>300.0</v>
      </c>
      <c r="L21" s="117">
        <v>230.0</v>
      </c>
      <c r="M21" s="118">
        <f t="shared" si="1"/>
        <v>800</v>
      </c>
      <c r="N21" s="117" t="s">
        <v>313</v>
      </c>
      <c r="O21" s="115" t="s">
        <v>314</v>
      </c>
      <c r="P21" s="119" t="s">
        <v>314</v>
      </c>
      <c r="Q21" s="122" t="s">
        <v>19</v>
      </c>
      <c r="R21" s="123">
        <f>SUM(R17:R20)</f>
        <v>250000</v>
      </c>
      <c r="S21" s="2"/>
    </row>
    <row r="22">
      <c r="A22" s="104" t="s">
        <v>237</v>
      </c>
      <c r="B22" s="105" t="s">
        <v>355</v>
      </c>
      <c r="C22" s="106" t="s">
        <v>310</v>
      </c>
      <c r="D22" s="106" t="s">
        <v>311</v>
      </c>
      <c r="E22" s="107" t="s">
        <v>356</v>
      </c>
      <c r="F22" s="107">
        <v>2.0</v>
      </c>
      <c r="G22" s="106"/>
      <c r="H22" s="106">
        <v>30.0</v>
      </c>
      <c r="I22" s="106">
        <v>80.0</v>
      </c>
      <c r="J22" s="106">
        <v>160.0</v>
      </c>
      <c r="K22" s="106">
        <v>300.0</v>
      </c>
      <c r="L22" s="106">
        <v>230.0</v>
      </c>
      <c r="M22" s="109">
        <f t="shared" si="1"/>
        <v>800</v>
      </c>
      <c r="N22" s="108" t="s">
        <v>313</v>
      </c>
      <c r="O22" s="106" t="s">
        <v>314</v>
      </c>
      <c r="P22" s="110" t="s">
        <v>314</v>
      </c>
      <c r="Q22" s="124" t="s">
        <v>357</v>
      </c>
      <c r="R22" s="103"/>
      <c r="S22" s="2"/>
    </row>
    <row r="23">
      <c r="A23" s="125" t="s">
        <v>46</v>
      </c>
      <c r="B23" s="126" t="s">
        <v>358</v>
      </c>
      <c r="C23" s="127" t="s">
        <v>359</v>
      </c>
      <c r="D23" s="127" t="s">
        <v>311</v>
      </c>
      <c r="E23" s="116" t="s">
        <v>325</v>
      </c>
      <c r="F23" s="128">
        <v>2.0</v>
      </c>
      <c r="G23" s="129"/>
      <c r="H23" s="115">
        <v>60.0</v>
      </c>
      <c r="I23" s="115">
        <v>100.0</v>
      </c>
      <c r="J23" s="115">
        <v>200.0</v>
      </c>
      <c r="K23" s="115">
        <v>440.0</v>
      </c>
      <c r="L23" s="115">
        <v>300.0</v>
      </c>
      <c r="M23" s="118">
        <f t="shared" si="1"/>
        <v>1100</v>
      </c>
      <c r="N23" s="117" t="s">
        <v>313</v>
      </c>
      <c r="O23" s="115" t="s">
        <v>314</v>
      </c>
      <c r="P23" s="119" t="s">
        <v>314</v>
      </c>
      <c r="Q23" s="111" t="s">
        <v>301</v>
      </c>
      <c r="R23" s="112">
        <v>20000.0</v>
      </c>
      <c r="S23" s="2"/>
    </row>
    <row r="24">
      <c r="A24" s="130" t="s">
        <v>80</v>
      </c>
      <c r="B24" s="131" t="s">
        <v>360</v>
      </c>
      <c r="C24" s="132" t="s">
        <v>359</v>
      </c>
      <c r="D24" s="132" t="s">
        <v>322</v>
      </c>
      <c r="E24" s="107" t="s">
        <v>361</v>
      </c>
      <c r="F24" s="133">
        <v>2.0</v>
      </c>
      <c r="G24" s="134"/>
      <c r="H24" s="106">
        <v>60.0</v>
      </c>
      <c r="I24" s="106">
        <v>100.0</v>
      </c>
      <c r="J24" s="106">
        <v>200.0</v>
      </c>
      <c r="K24" s="106">
        <v>440.0</v>
      </c>
      <c r="L24" s="106">
        <v>300.0</v>
      </c>
      <c r="M24" s="109">
        <f t="shared" si="1"/>
        <v>1100</v>
      </c>
      <c r="N24" s="108" t="s">
        <v>313</v>
      </c>
      <c r="O24" s="106" t="s">
        <v>362</v>
      </c>
      <c r="P24" s="110" t="s">
        <v>362</v>
      </c>
      <c r="Q24" s="120" t="s">
        <v>302</v>
      </c>
      <c r="R24" s="121">
        <v>50000.0</v>
      </c>
      <c r="S24" s="2"/>
    </row>
    <row r="25">
      <c r="A25" s="125" t="s">
        <v>95</v>
      </c>
      <c r="B25" s="126" t="s">
        <v>363</v>
      </c>
      <c r="C25" s="127" t="s">
        <v>359</v>
      </c>
      <c r="D25" s="127" t="s">
        <v>322</v>
      </c>
      <c r="E25" s="116" t="s">
        <v>364</v>
      </c>
      <c r="F25" s="128">
        <v>2.0</v>
      </c>
      <c r="G25" s="129"/>
      <c r="H25" s="115">
        <v>60.0</v>
      </c>
      <c r="I25" s="115">
        <v>100.0</v>
      </c>
      <c r="J25" s="115">
        <v>200.0</v>
      </c>
      <c r="K25" s="115">
        <v>440.0</v>
      </c>
      <c r="L25" s="115">
        <v>300.0</v>
      </c>
      <c r="M25" s="118">
        <f t="shared" si="1"/>
        <v>1100</v>
      </c>
      <c r="N25" s="117" t="s">
        <v>313</v>
      </c>
      <c r="O25" s="115" t="s">
        <v>362</v>
      </c>
      <c r="P25" s="119" t="s">
        <v>362</v>
      </c>
      <c r="Q25" s="92" t="s">
        <v>303</v>
      </c>
      <c r="R25" s="93">
        <v>170000.0</v>
      </c>
      <c r="S25" s="2"/>
    </row>
    <row r="26">
      <c r="A26" s="130" t="s">
        <v>114</v>
      </c>
      <c r="B26" s="131" t="s">
        <v>365</v>
      </c>
      <c r="C26" s="132" t="s">
        <v>359</v>
      </c>
      <c r="D26" s="132" t="s">
        <v>329</v>
      </c>
      <c r="E26" s="107" t="s">
        <v>366</v>
      </c>
      <c r="F26" s="133">
        <v>2.0</v>
      </c>
      <c r="G26" s="134"/>
      <c r="H26" s="106">
        <v>60.0</v>
      </c>
      <c r="I26" s="106">
        <v>100.0</v>
      </c>
      <c r="J26" s="106">
        <v>200.0</v>
      </c>
      <c r="K26" s="106">
        <v>440.0</v>
      </c>
      <c r="L26" s="106">
        <v>300.0</v>
      </c>
      <c r="M26" s="109">
        <f t="shared" si="1"/>
        <v>1100</v>
      </c>
      <c r="N26" s="108" t="s">
        <v>367</v>
      </c>
      <c r="O26" s="106" t="s">
        <v>314</v>
      </c>
      <c r="P26" s="110" t="s">
        <v>314</v>
      </c>
      <c r="Q26" s="122" t="s">
        <v>19</v>
      </c>
      <c r="R26" s="123">
        <f>SUM(R23:R25)</f>
        <v>240000</v>
      </c>
      <c r="S26" s="2"/>
    </row>
    <row r="27">
      <c r="A27" s="125" t="s">
        <v>131</v>
      </c>
      <c r="B27" s="126" t="s">
        <v>37</v>
      </c>
      <c r="C27" s="127" t="s">
        <v>359</v>
      </c>
      <c r="D27" s="127" t="s">
        <v>339</v>
      </c>
      <c r="E27" s="116" t="s">
        <v>366</v>
      </c>
      <c r="F27" s="128">
        <v>2.0</v>
      </c>
      <c r="G27" s="129"/>
      <c r="H27" s="115">
        <v>60.0</v>
      </c>
      <c r="I27" s="115">
        <v>100.0</v>
      </c>
      <c r="J27" s="115">
        <v>200.0</v>
      </c>
      <c r="K27" s="115">
        <v>440.0</v>
      </c>
      <c r="L27" s="115">
        <v>300.0</v>
      </c>
      <c r="M27" s="118">
        <f t="shared" si="1"/>
        <v>1100</v>
      </c>
      <c r="N27" s="117" t="s">
        <v>367</v>
      </c>
      <c r="O27" s="115" t="s">
        <v>314</v>
      </c>
      <c r="P27" s="119" t="s">
        <v>314</v>
      </c>
      <c r="Q27" s="124" t="s">
        <v>368</v>
      </c>
      <c r="R27" s="103"/>
      <c r="S27" s="2"/>
    </row>
    <row r="28">
      <c r="A28" s="130" t="s">
        <v>135</v>
      </c>
      <c r="B28" s="131" t="s">
        <v>369</v>
      </c>
      <c r="C28" s="132" t="s">
        <v>359</v>
      </c>
      <c r="D28" s="132" t="s">
        <v>319</v>
      </c>
      <c r="E28" s="107" t="s">
        <v>370</v>
      </c>
      <c r="F28" s="133">
        <v>2.0</v>
      </c>
      <c r="G28" s="134"/>
      <c r="H28" s="106">
        <v>60.0</v>
      </c>
      <c r="I28" s="106">
        <v>100.0</v>
      </c>
      <c r="J28" s="106">
        <v>200.0</v>
      </c>
      <c r="K28" s="106">
        <v>440.0</v>
      </c>
      <c r="L28" s="106">
        <v>300.0</v>
      </c>
      <c r="M28" s="109">
        <f t="shared" si="1"/>
        <v>1100</v>
      </c>
      <c r="N28" s="108" t="s">
        <v>367</v>
      </c>
      <c r="O28" s="106" t="s">
        <v>362</v>
      </c>
      <c r="P28" s="110" t="s">
        <v>362</v>
      </c>
      <c r="Q28" s="111" t="s">
        <v>302</v>
      </c>
      <c r="R28" s="112">
        <v>50000.0</v>
      </c>
      <c r="S28" s="2"/>
    </row>
    <row r="29">
      <c r="A29" s="125" t="s">
        <v>136</v>
      </c>
      <c r="B29" s="126" t="s">
        <v>371</v>
      </c>
      <c r="C29" s="127" t="s">
        <v>359</v>
      </c>
      <c r="D29" s="127" t="s">
        <v>319</v>
      </c>
      <c r="E29" s="116" t="s">
        <v>323</v>
      </c>
      <c r="F29" s="128">
        <v>2.0</v>
      </c>
      <c r="G29" s="129"/>
      <c r="H29" s="115">
        <v>60.0</v>
      </c>
      <c r="I29" s="115">
        <v>100.0</v>
      </c>
      <c r="J29" s="115">
        <v>200.0</v>
      </c>
      <c r="K29" s="115">
        <v>440.0</v>
      </c>
      <c r="L29" s="115">
        <v>300.0</v>
      </c>
      <c r="M29" s="118">
        <f t="shared" si="1"/>
        <v>1100</v>
      </c>
      <c r="N29" s="117" t="s">
        <v>313</v>
      </c>
      <c r="O29" s="115" t="s">
        <v>314</v>
      </c>
      <c r="P29" s="119" t="s">
        <v>314</v>
      </c>
      <c r="Q29" s="135" t="s">
        <v>303</v>
      </c>
      <c r="R29" s="136">
        <v>170000.0</v>
      </c>
      <c r="S29" s="2"/>
    </row>
    <row r="30">
      <c r="A30" s="130" t="s">
        <v>143</v>
      </c>
      <c r="B30" s="131" t="s">
        <v>372</v>
      </c>
      <c r="C30" s="132" t="s">
        <v>359</v>
      </c>
      <c r="D30" s="132" t="s">
        <v>329</v>
      </c>
      <c r="E30" s="107" t="s">
        <v>119</v>
      </c>
      <c r="F30" s="133">
        <v>2.0</v>
      </c>
      <c r="G30" s="134"/>
      <c r="H30" s="106">
        <v>60.0</v>
      </c>
      <c r="I30" s="106">
        <v>100.0</v>
      </c>
      <c r="J30" s="106">
        <v>200.0</v>
      </c>
      <c r="K30" s="106">
        <v>440.0</v>
      </c>
      <c r="L30" s="106">
        <v>300.0</v>
      </c>
      <c r="M30" s="109">
        <f t="shared" si="1"/>
        <v>1100</v>
      </c>
      <c r="N30" s="108" t="s">
        <v>313</v>
      </c>
      <c r="O30" s="106" t="s">
        <v>314</v>
      </c>
      <c r="P30" s="110" t="s">
        <v>314</v>
      </c>
      <c r="Q30" s="92" t="s">
        <v>19</v>
      </c>
      <c r="R30" s="93">
        <f>SUM(R28,R29)</f>
        <v>220000</v>
      </c>
      <c r="S30" s="2"/>
    </row>
    <row r="31">
      <c r="A31" s="125" t="s">
        <v>151</v>
      </c>
      <c r="B31" s="126" t="s">
        <v>373</v>
      </c>
      <c r="C31" s="127" t="s">
        <v>359</v>
      </c>
      <c r="D31" s="127" t="s">
        <v>329</v>
      </c>
      <c r="E31" s="116" t="s">
        <v>374</v>
      </c>
      <c r="F31" s="128">
        <v>2.0</v>
      </c>
      <c r="G31" s="129"/>
      <c r="H31" s="115">
        <v>60.0</v>
      </c>
      <c r="I31" s="115">
        <v>100.0</v>
      </c>
      <c r="J31" s="115">
        <v>200.0</v>
      </c>
      <c r="K31" s="115">
        <v>440.0</v>
      </c>
      <c r="L31" s="115">
        <v>300.0</v>
      </c>
      <c r="M31" s="118">
        <f t="shared" si="1"/>
        <v>1100</v>
      </c>
      <c r="N31" s="117" t="s">
        <v>313</v>
      </c>
      <c r="O31" s="115" t="s">
        <v>314</v>
      </c>
      <c r="P31" s="119" t="s">
        <v>314</v>
      </c>
      <c r="Q31" s="124" t="s">
        <v>375</v>
      </c>
      <c r="R31" s="103"/>
      <c r="S31" s="2"/>
    </row>
    <row r="32">
      <c r="A32" s="130" t="s">
        <v>152</v>
      </c>
      <c r="B32" s="131" t="s">
        <v>376</v>
      </c>
      <c r="C32" s="132" t="s">
        <v>359</v>
      </c>
      <c r="D32" s="132" t="s">
        <v>329</v>
      </c>
      <c r="E32" s="107" t="s">
        <v>377</v>
      </c>
      <c r="F32" s="133">
        <v>2.0</v>
      </c>
      <c r="G32" s="134"/>
      <c r="H32" s="106">
        <v>60.0</v>
      </c>
      <c r="I32" s="106">
        <v>100.0</v>
      </c>
      <c r="J32" s="106">
        <v>200.0</v>
      </c>
      <c r="K32" s="106">
        <v>440.0</v>
      </c>
      <c r="L32" s="106">
        <v>300.0</v>
      </c>
      <c r="M32" s="109">
        <f t="shared" si="1"/>
        <v>1100</v>
      </c>
      <c r="N32" s="108" t="s">
        <v>367</v>
      </c>
      <c r="O32" s="106" t="s">
        <v>362</v>
      </c>
      <c r="P32" s="110" t="s">
        <v>362</v>
      </c>
      <c r="Q32" s="111" t="s">
        <v>302</v>
      </c>
      <c r="R32" s="112">
        <v>75000.0</v>
      </c>
      <c r="S32" s="2"/>
    </row>
    <row r="33">
      <c r="A33" s="125" t="s">
        <v>153</v>
      </c>
      <c r="B33" s="126" t="s">
        <v>37</v>
      </c>
      <c r="C33" s="127" t="s">
        <v>359</v>
      </c>
      <c r="D33" s="127" t="s">
        <v>319</v>
      </c>
      <c r="E33" s="116" t="s">
        <v>378</v>
      </c>
      <c r="F33" s="128">
        <v>2.0</v>
      </c>
      <c r="G33" s="129"/>
      <c r="H33" s="115">
        <v>60.0</v>
      </c>
      <c r="I33" s="115">
        <v>100.0</v>
      </c>
      <c r="J33" s="115">
        <v>200.0</v>
      </c>
      <c r="K33" s="115">
        <v>440.0</v>
      </c>
      <c r="L33" s="115">
        <v>300.0</v>
      </c>
      <c r="M33" s="118">
        <f t="shared" si="1"/>
        <v>1100</v>
      </c>
      <c r="N33" s="117" t="s">
        <v>367</v>
      </c>
      <c r="O33" s="115" t="s">
        <v>314</v>
      </c>
      <c r="P33" s="119" t="s">
        <v>314</v>
      </c>
      <c r="Q33" s="135" t="s">
        <v>303</v>
      </c>
      <c r="R33" s="136">
        <v>255000.0</v>
      </c>
      <c r="S33" s="2"/>
    </row>
    <row r="34">
      <c r="A34" s="130" t="s">
        <v>155</v>
      </c>
      <c r="B34" s="131" t="s">
        <v>379</v>
      </c>
      <c r="C34" s="132" t="s">
        <v>359</v>
      </c>
      <c r="D34" s="132" t="s">
        <v>322</v>
      </c>
      <c r="E34" s="107" t="s">
        <v>380</v>
      </c>
      <c r="F34" s="133">
        <v>2.0</v>
      </c>
      <c r="G34" s="134"/>
      <c r="H34" s="106">
        <v>60.0</v>
      </c>
      <c r="I34" s="106">
        <v>100.0</v>
      </c>
      <c r="J34" s="106">
        <v>200.0</v>
      </c>
      <c r="K34" s="106">
        <v>440.0</v>
      </c>
      <c r="L34" s="106">
        <v>300.0</v>
      </c>
      <c r="M34" s="109">
        <f t="shared" si="1"/>
        <v>1100</v>
      </c>
      <c r="N34" s="108" t="s">
        <v>367</v>
      </c>
      <c r="O34" s="106" t="s">
        <v>314</v>
      </c>
      <c r="P34" s="110" t="s">
        <v>314</v>
      </c>
      <c r="Q34" s="92" t="s">
        <v>19</v>
      </c>
      <c r="R34" s="93">
        <f>SUM(R32,R33)</f>
        <v>330000</v>
      </c>
      <c r="S34" s="2"/>
    </row>
    <row r="35">
      <c r="A35" s="125" t="s">
        <v>156</v>
      </c>
      <c r="B35" s="126" t="s">
        <v>381</v>
      </c>
      <c r="C35" s="127" t="s">
        <v>359</v>
      </c>
      <c r="D35" s="127" t="s">
        <v>322</v>
      </c>
      <c r="E35" s="116" t="s">
        <v>382</v>
      </c>
      <c r="F35" s="128">
        <v>2.0</v>
      </c>
      <c r="G35" s="129"/>
      <c r="H35" s="115">
        <v>60.0</v>
      </c>
      <c r="I35" s="115">
        <v>100.0</v>
      </c>
      <c r="J35" s="115">
        <v>200.0</v>
      </c>
      <c r="K35" s="115">
        <v>440.0</v>
      </c>
      <c r="L35" s="115">
        <v>300.0</v>
      </c>
      <c r="M35" s="118">
        <f t="shared" si="1"/>
        <v>1100</v>
      </c>
      <c r="N35" s="117" t="s">
        <v>367</v>
      </c>
      <c r="O35" s="115" t="s">
        <v>362</v>
      </c>
      <c r="P35" s="119" t="s">
        <v>362</v>
      </c>
      <c r="Q35" s="124" t="s">
        <v>383</v>
      </c>
      <c r="R35" s="103"/>
      <c r="S35" s="2"/>
    </row>
    <row r="36">
      <c r="A36" s="130" t="s">
        <v>159</v>
      </c>
      <c r="B36" s="131" t="s">
        <v>384</v>
      </c>
      <c r="C36" s="132" t="s">
        <v>359</v>
      </c>
      <c r="D36" s="132" t="s">
        <v>329</v>
      </c>
      <c r="E36" s="107" t="s">
        <v>366</v>
      </c>
      <c r="F36" s="133">
        <v>2.0</v>
      </c>
      <c r="G36" s="134"/>
      <c r="H36" s="106">
        <v>60.0</v>
      </c>
      <c r="I36" s="106">
        <v>100.0</v>
      </c>
      <c r="J36" s="106">
        <v>200.0</v>
      </c>
      <c r="K36" s="106">
        <v>440.0</v>
      </c>
      <c r="L36" s="106">
        <v>300.0</v>
      </c>
      <c r="M36" s="109">
        <f t="shared" si="1"/>
        <v>1100</v>
      </c>
      <c r="N36" s="108" t="s">
        <v>367</v>
      </c>
      <c r="O36" s="106" t="s">
        <v>314</v>
      </c>
      <c r="P36" s="110" t="s">
        <v>314</v>
      </c>
      <c r="Q36" s="137" t="s">
        <v>310</v>
      </c>
      <c r="R36" s="138" t="s">
        <v>385</v>
      </c>
      <c r="S36" s="2"/>
    </row>
    <row r="37">
      <c r="A37" s="139" t="s">
        <v>165</v>
      </c>
      <c r="B37" s="140" t="s">
        <v>386</v>
      </c>
      <c r="C37" s="141" t="s">
        <v>359</v>
      </c>
      <c r="D37" s="142" t="s">
        <v>329</v>
      </c>
      <c r="E37" s="143" t="s">
        <v>366</v>
      </c>
      <c r="F37" s="144">
        <v>2.0</v>
      </c>
      <c r="G37" s="142"/>
      <c r="H37" s="142">
        <v>60.0</v>
      </c>
      <c r="I37" s="142">
        <v>100.0</v>
      </c>
      <c r="J37" s="142">
        <v>200.0</v>
      </c>
      <c r="K37" s="142">
        <v>440.0</v>
      </c>
      <c r="L37" s="141">
        <v>300.0</v>
      </c>
      <c r="M37" s="118">
        <f t="shared" si="1"/>
        <v>1100</v>
      </c>
      <c r="N37" s="145" t="s">
        <v>367</v>
      </c>
      <c r="O37" s="141" t="s">
        <v>314</v>
      </c>
      <c r="P37" s="146" t="s">
        <v>314</v>
      </c>
      <c r="Q37" s="111" t="s">
        <v>387</v>
      </c>
      <c r="R37" s="112">
        <v>75.0</v>
      </c>
      <c r="S37" s="2"/>
    </row>
    <row r="38">
      <c r="A38" s="104" t="s">
        <v>183</v>
      </c>
      <c r="B38" s="105" t="s">
        <v>388</v>
      </c>
      <c r="C38" s="106" t="s">
        <v>359</v>
      </c>
      <c r="D38" s="106" t="s">
        <v>329</v>
      </c>
      <c r="E38" s="107" t="s">
        <v>389</v>
      </c>
      <c r="F38" s="107">
        <v>2.0</v>
      </c>
      <c r="G38" s="106"/>
      <c r="H38" s="147">
        <v>60.0</v>
      </c>
      <c r="I38" s="147">
        <v>100.0</v>
      </c>
      <c r="J38" s="147">
        <v>200.0</v>
      </c>
      <c r="K38" s="147">
        <v>440.0</v>
      </c>
      <c r="L38" s="148">
        <v>300.0</v>
      </c>
      <c r="M38" s="109">
        <f t="shared" si="1"/>
        <v>1100</v>
      </c>
      <c r="N38" s="149" t="s">
        <v>367</v>
      </c>
      <c r="O38" s="148" t="s">
        <v>314</v>
      </c>
      <c r="P38" s="150" t="s">
        <v>314</v>
      </c>
      <c r="Q38" s="120" t="s">
        <v>390</v>
      </c>
      <c r="R38" s="121">
        <v>240.0</v>
      </c>
      <c r="S38" s="2"/>
    </row>
    <row r="39">
      <c r="A39" s="113" t="s">
        <v>201</v>
      </c>
      <c r="B39" s="114" t="s">
        <v>391</v>
      </c>
      <c r="C39" s="115" t="s">
        <v>359</v>
      </c>
      <c r="D39" s="115" t="s">
        <v>311</v>
      </c>
      <c r="E39" s="116" t="s">
        <v>392</v>
      </c>
      <c r="F39" s="116">
        <v>2.0</v>
      </c>
      <c r="G39" s="115"/>
      <c r="H39" s="115">
        <v>60.0</v>
      </c>
      <c r="I39" s="115">
        <v>100.0</v>
      </c>
      <c r="J39" s="115">
        <v>200.0</v>
      </c>
      <c r="K39" s="115">
        <v>440.0</v>
      </c>
      <c r="L39" s="115">
        <v>300.0</v>
      </c>
      <c r="M39" s="118">
        <f t="shared" si="1"/>
        <v>1100</v>
      </c>
      <c r="N39" s="117" t="s">
        <v>393</v>
      </c>
      <c r="O39" s="115" t="s">
        <v>314</v>
      </c>
      <c r="P39" s="119" t="s">
        <v>314</v>
      </c>
      <c r="Q39" s="120" t="s">
        <v>394</v>
      </c>
      <c r="R39" s="121">
        <v>480.0</v>
      </c>
      <c r="S39" s="2"/>
    </row>
    <row r="40">
      <c r="A40" s="130" t="s">
        <v>110</v>
      </c>
      <c r="B40" s="131" t="s">
        <v>395</v>
      </c>
      <c r="C40" s="132" t="s">
        <v>396</v>
      </c>
      <c r="D40" s="132" t="s">
        <v>319</v>
      </c>
      <c r="E40" s="107" t="s">
        <v>312</v>
      </c>
      <c r="F40" s="133">
        <v>3.0</v>
      </c>
      <c r="G40" s="134"/>
      <c r="H40" s="106"/>
      <c r="I40" s="106">
        <v>200.0</v>
      </c>
      <c r="J40" s="106">
        <v>250.0</v>
      </c>
      <c r="K40" s="106">
        <v>450.0</v>
      </c>
      <c r="L40" s="106">
        <v>450.0</v>
      </c>
      <c r="M40" s="109">
        <f t="shared" si="1"/>
        <v>1350</v>
      </c>
      <c r="N40" s="108" t="s">
        <v>393</v>
      </c>
      <c r="O40" s="106" t="s">
        <v>362</v>
      </c>
      <c r="P40" s="110" t="s">
        <v>362</v>
      </c>
      <c r="Q40" s="122" t="s">
        <v>397</v>
      </c>
      <c r="R40" s="151">
        <v>1050.0</v>
      </c>
      <c r="S40" s="2"/>
    </row>
    <row r="41">
      <c r="A41" s="125" t="s">
        <v>142</v>
      </c>
      <c r="B41" s="114" t="s">
        <v>398</v>
      </c>
      <c r="C41" s="115" t="s">
        <v>396</v>
      </c>
      <c r="D41" s="115" t="s">
        <v>329</v>
      </c>
      <c r="E41" s="116" t="s">
        <v>312</v>
      </c>
      <c r="F41" s="116">
        <v>3.0</v>
      </c>
      <c r="G41" s="129"/>
      <c r="H41" s="129"/>
      <c r="I41" s="115">
        <v>200.0</v>
      </c>
      <c r="J41" s="115">
        <v>250.0</v>
      </c>
      <c r="K41" s="115">
        <v>450.0</v>
      </c>
      <c r="L41" s="115">
        <v>450.0</v>
      </c>
      <c r="M41" s="118">
        <f t="shared" si="1"/>
        <v>1350</v>
      </c>
      <c r="N41" s="117" t="s">
        <v>393</v>
      </c>
      <c r="O41" s="115" t="s">
        <v>362</v>
      </c>
      <c r="P41" s="119" t="s">
        <v>362</v>
      </c>
      <c r="Q41" s="152" t="s">
        <v>359</v>
      </c>
      <c r="R41" s="153" t="s">
        <v>385</v>
      </c>
      <c r="S41" s="2"/>
    </row>
    <row r="42">
      <c r="A42" s="130" t="s">
        <v>157</v>
      </c>
      <c r="B42" s="105" t="s">
        <v>399</v>
      </c>
      <c r="C42" s="106" t="s">
        <v>396</v>
      </c>
      <c r="D42" s="106" t="s">
        <v>322</v>
      </c>
      <c r="E42" s="107" t="s">
        <v>400</v>
      </c>
      <c r="F42" s="107">
        <v>3.0</v>
      </c>
      <c r="G42" s="134"/>
      <c r="H42" s="134"/>
      <c r="I42" s="106">
        <v>200.0</v>
      </c>
      <c r="J42" s="106">
        <v>250.0</v>
      </c>
      <c r="K42" s="106">
        <v>450.0</v>
      </c>
      <c r="L42" s="106">
        <v>450.0</v>
      </c>
      <c r="M42" s="109">
        <f t="shared" si="1"/>
        <v>1350</v>
      </c>
      <c r="N42" s="108" t="s">
        <v>393</v>
      </c>
      <c r="O42" s="106" t="s">
        <v>314</v>
      </c>
      <c r="P42" s="110" t="s">
        <v>314</v>
      </c>
      <c r="Q42" s="154" t="s">
        <v>390</v>
      </c>
      <c r="R42" s="155">
        <v>450.0</v>
      </c>
      <c r="S42" s="2"/>
    </row>
    <row r="43">
      <c r="A43" s="125" t="s">
        <v>203</v>
      </c>
      <c r="B43" s="114" t="s">
        <v>401</v>
      </c>
      <c r="C43" s="115" t="s">
        <v>396</v>
      </c>
      <c r="D43" s="115" t="s">
        <v>311</v>
      </c>
      <c r="E43" s="116" t="s">
        <v>402</v>
      </c>
      <c r="F43" s="116">
        <v>3.0</v>
      </c>
      <c r="G43" s="129"/>
      <c r="H43" s="129"/>
      <c r="I43" s="115">
        <v>200.0</v>
      </c>
      <c r="J43" s="115">
        <v>250.0</v>
      </c>
      <c r="K43" s="115">
        <v>450.0</v>
      </c>
      <c r="L43" s="115">
        <v>450.0</v>
      </c>
      <c r="M43" s="118">
        <f t="shared" si="1"/>
        <v>1350</v>
      </c>
      <c r="N43" s="117" t="s">
        <v>393</v>
      </c>
      <c r="O43" s="115" t="s">
        <v>362</v>
      </c>
      <c r="P43" s="119" t="s">
        <v>362</v>
      </c>
      <c r="Q43" s="120" t="s">
        <v>394</v>
      </c>
      <c r="R43" s="121">
        <v>900.0</v>
      </c>
      <c r="S43" s="2"/>
    </row>
    <row r="44">
      <c r="A44" s="130" t="s">
        <v>49</v>
      </c>
      <c r="B44" s="131" t="s">
        <v>403</v>
      </c>
      <c r="C44" s="132" t="s">
        <v>359</v>
      </c>
      <c r="D44" s="132" t="s">
        <v>311</v>
      </c>
      <c r="E44" s="107" t="s">
        <v>404</v>
      </c>
      <c r="F44" s="133">
        <v>3.0</v>
      </c>
      <c r="G44" s="134"/>
      <c r="H44" s="134"/>
      <c r="I44" s="106">
        <v>160.0</v>
      </c>
      <c r="J44" s="106">
        <v>200.0</v>
      </c>
      <c r="K44" s="106">
        <v>440.0</v>
      </c>
      <c r="L44" s="106">
        <v>300.0</v>
      </c>
      <c r="M44" s="109">
        <f t="shared" si="1"/>
        <v>1100</v>
      </c>
      <c r="N44" s="108" t="s">
        <v>393</v>
      </c>
      <c r="O44" s="106" t="s">
        <v>362</v>
      </c>
      <c r="P44" s="110" t="s">
        <v>362</v>
      </c>
      <c r="Q44" s="92" t="s">
        <v>397</v>
      </c>
      <c r="R44" s="93">
        <v>2700.0</v>
      </c>
      <c r="S44" s="2"/>
    </row>
    <row r="45">
      <c r="A45" s="113" t="s">
        <v>52</v>
      </c>
      <c r="B45" s="114" t="s">
        <v>405</v>
      </c>
      <c r="C45" s="115" t="s">
        <v>359</v>
      </c>
      <c r="D45" s="115" t="s">
        <v>311</v>
      </c>
      <c r="E45" s="116" t="s">
        <v>406</v>
      </c>
      <c r="F45" s="116">
        <v>3.0</v>
      </c>
      <c r="G45" s="129"/>
      <c r="H45" s="129"/>
      <c r="I45" s="115">
        <v>160.0</v>
      </c>
      <c r="J45" s="115">
        <v>200.0</v>
      </c>
      <c r="K45" s="115">
        <v>440.0</v>
      </c>
      <c r="L45" s="115">
        <v>300.0</v>
      </c>
      <c r="M45" s="118">
        <f t="shared" si="1"/>
        <v>1100</v>
      </c>
      <c r="N45" s="117" t="s">
        <v>393</v>
      </c>
      <c r="O45" s="115" t="s">
        <v>362</v>
      </c>
      <c r="P45" s="119" t="s">
        <v>362</v>
      </c>
      <c r="Q45" s="102" t="s">
        <v>396</v>
      </c>
      <c r="R45" s="156" t="s">
        <v>385</v>
      </c>
      <c r="S45" s="2"/>
    </row>
    <row r="46">
      <c r="A46" s="104" t="s">
        <v>407</v>
      </c>
      <c r="B46" s="105" t="s">
        <v>408</v>
      </c>
      <c r="C46" s="106" t="s">
        <v>359</v>
      </c>
      <c r="D46" s="106" t="s">
        <v>311</v>
      </c>
      <c r="E46" s="107" t="s">
        <v>409</v>
      </c>
      <c r="F46" s="107">
        <v>3.0</v>
      </c>
      <c r="G46" s="134"/>
      <c r="H46" s="134"/>
      <c r="I46" s="106">
        <v>160.0</v>
      </c>
      <c r="J46" s="106">
        <v>200.0</v>
      </c>
      <c r="K46" s="106">
        <v>440.0</v>
      </c>
      <c r="L46" s="106">
        <v>300.0</v>
      </c>
      <c r="M46" s="109">
        <f t="shared" si="1"/>
        <v>1100</v>
      </c>
      <c r="N46" s="108" t="s">
        <v>393</v>
      </c>
      <c r="O46" s="106" t="s">
        <v>362</v>
      </c>
      <c r="P46" s="110" t="s">
        <v>362</v>
      </c>
      <c r="Q46" s="152" t="s">
        <v>397</v>
      </c>
      <c r="R46" s="153">
        <v>4500.0</v>
      </c>
      <c r="S46" s="2"/>
    </row>
    <row r="47">
      <c r="A47" s="113" t="s">
        <v>59</v>
      </c>
      <c r="B47" s="114" t="s">
        <v>410</v>
      </c>
      <c r="C47" s="115" t="s">
        <v>359</v>
      </c>
      <c r="D47" s="115" t="s">
        <v>329</v>
      </c>
      <c r="E47" s="116" t="s">
        <v>377</v>
      </c>
      <c r="F47" s="116">
        <v>3.0</v>
      </c>
      <c r="G47" s="129"/>
      <c r="H47" s="129"/>
      <c r="I47" s="115">
        <v>160.0</v>
      </c>
      <c r="J47" s="115">
        <v>200.0</v>
      </c>
      <c r="K47" s="115">
        <v>440.0</v>
      </c>
      <c r="L47" s="115">
        <v>300.0</v>
      </c>
      <c r="M47" s="118">
        <f t="shared" si="1"/>
        <v>1100</v>
      </c>
      <c r="N47" s="117" t="s">
        <v>393</v>
      </c>
      <c r="O47" s="115" t="s">
        <v>362</v>
      </c>
      <c r="P47" s="119" t="s">
        <v>362</v>
      </c>
      <c r="Q47" s="75"/>
      <c r="R47" s="157"/>
      <c r="S47" s="2"/>
    </row>
    <row r="48">
      <c r="A48" s="104" t="s">
        <v>66</v>
      </c>
      <c r="B48" s="105" t="s">
        <v>411</v>
      </c>
      <c r="C48" s="106" t="s">
        <v>359</v>
      </c>
      <c r="D48" s="106" t="s">
        <v>311</v>
      </c>
      <c r="E48" s="107" t="s">
        <v>412</v>
      </c>
      <c r="F48" s="107">
        <v>3.0</v>
      </c>
      <c r="G48" s="134"/>
      <c r="H48" s="134"/>
      <c r="I48" s="106">
        <v>160.0</v>
      </c>
      <c r="J48" s="106">
        <v>200.0</v>
      </c>
      <c r="K48" s="106">
        <v>440.0</v>
      </c>
      <c r="L48" s="106">
        <v>300.0</v>
      </c>
      <c r="M48" s="109">
        <f t="shared" si="1"/>
        <v>1100</v>
      </c>
      <c r="N48" s="108" t="s">
        <v>313</v>
      </c>
      <c r="O48" s="106" t="s">
        <v>314</v>
      </c>
      <c r="P48" s="110" t="s">
        <v>314</v>
      </c>
      <c r="Q48" s="75"/>
      <c r="R48" s="157"/>
      <c r="S48" s="2"/>
    </row>
    <row r="49">
      <c r="A49" s="125" t="s">
        <v>76</v>
      </c>
      <c r="B49" s="126" t="s">
        <v>413</v>
      </c>
      <c r="C49" s="127" t="s">
        <v>359</v>
      </c>
      <c r="D49" s="127" t="s">
        <v>319</v>
      </c>
      <c r="E49" s="116" t="s">
        <v>414</v>
      </c>
      <c r="F49" s="128">
        <v>3.0</v>
      </c>
      <c r="G49" s="129"/>
      <c r="H49" s="129"/>
      <c r="I49" s="115">
        <v>160.0</v>
      </c>
      <c r="J49" s="115">
        <v>200.0</v>
      </c>
      <c r="K49" s="115">
        <v>440.0</v>
      </c>
      <c r="L49" s="115">
        <v>300.0</v>
      </c>
      <c r="M49" s="118">
        <f t="shared" si="1"/>
        <v>1100</v>
      </c>
      <c r="N49" s="117" t="s">
        <v>393</v>
      </c>
      <c r="O49" s="115" t="s">
        <v>314</v>
      </c>
      <c r="P49" s="119" t="s">
        <v>314</v>
      </c>
      <c r="Q49" s="75"/>
      <c r="R49" s="157"/>
      <c r="S49" s="2"/>
    </row>
    <row r="50">
      <c r="A50" s="130" t="s">
        <v>84</v>
      </c>
      <c r="B50" s="131" t="s">
        <v>415</v>
      </c>
      <c r="C50" s="132" t="s">
        <v>359</v>
      </c>
      <c r="D50" s="132" t="s">
        <v>322</v>
      </c>
      <c r="E50" s="107" t="s">
        <v>404</v>
      </c>
      <c r="F50" s="133">
        <v>3.0</v>
      </c>
      <c r="G50" s="134"/>
      <c r="H50" s="134"/>
      <c r="I50" s="106">
        <v>160.0</v>
      </c>
      <c r="J50" s="106">
        <v>200.0</v>
      </c>
      <c r="K50" s="106">
        <v>440.0</v>
      </c>
      <c r="L50" s="106">
        <v>300.0</v>
      </c>
      <c r="M50" s="109">
        <f t="shared" si="1"/>
        <v>1100</v>
      </c>
      <c r="N50" s="108" t="s">
        <v>393</v>
      </c>
      <c r="O50" s="106" t="s">
        <v>362</v>
      </c>
      <c r="P50" s="110" t="s">
        <v>362</v>
      </c>
      <c r="Q50" s="75"/>
      <c r="R50" s="157"/>
      <c r="S50" s="2"/>
    </row>
    <row r="51">
      <c r="A51" s="113" t="s">
        <v>88</v>
      </c>
      <c r="B51" s="114" t="s">
        <v>416</v>
      </c>
      <c r="C51" s="115" t="s">
        <v>359</v>
      </c>
      <c r="D51" s="115" t="s">
        <v>319</v>
      </c>
      <c r="E51" s="116" t="s">
        <v>414</v>
      </c>
      <c r="F51" s="116">
        <v>3.0</v>
      </c>
      <c r="G51" s="129"/>
      <c r="H51" s="129"/>
      <c r="I51" s="115">
        <v>160.0</v>
      </c>
      <c r="J51" s="115">
        <v>200.0</v>
      </c>
      <c r="K51" s="115">
        <v>440.0</v>
      </c>
      <c r="L51" s="115">
        <v>300.0</v>
      </c>
      <c r="M51" s="118">
        <f t="shared" si="1"/>
        <v>1100</v>
      </c>
      <c r="N51" s="117" t="s">
        <v>393</v>
      </c>
      <c r="O51" s="115" t="s">
        <v>362</v>
      </c>
      <c r="P51" s="119" t="s">
        <v>362</v>
      </c>
      <c r="Q51" s="75"/>
      <c r="R51" s="157"/>
      <c r="S51" s="2"/>
    </row>
    <row r="52">
      <c r="A52" s="104" t="s">
        <v>92</v>
      </c>
      <c r="B52" s="105" t="s">
        <v>417</v>
      </c>
      <c r="C52" s="106" t="s">
        <v>359</v>
      </c>
      <c r="D52" s="106" t="s">
        <v>319</v>
      </c>
      <c r="E52" s="107" t="s">
        <v>370</v>
      </c>
      <c r="F52" s="107">
        <v>3.0</v>
      </c>
      <c r="G52" s="134"/>
      <c r="H52" s="134"/>
      <c r="I52" s="106">
        <v>160.0</v>
      </c>
      <c r="J52" s="106">
        <v>200.0</v>
      </c>
      <c r="K52" s="106">
        <v>440.0</v>
      </c>
      <c r="L52" s="106">
        <v>300.0</v>
      </c>
      <c r="M52" s="109">
        <f t="shared" si="1"/>
        <v>1100</v>
      </c>
      <c r="N52" s="108" t="s">
        <v>367</v>
      </c>
      <c r="O52" s="106" t="s">
        <v>314</v>
      </c>
      <c r="P52" s="110" t="s">
        <v>314</v>
      </c>
      <c r="Q52" s="75"/>
      <c r="R52" s="157"/>
      <c r="S52" s="2"/>
    </row>
    <row r="53">
      <c r="A53" s="113" t="s">
        <v>98</v>
      </c>
      <c r="B53" s="114" t="s">
        <v>418</v>
      </c>
      <c r="C53" s="115" t="s">
        <v>359</v>
      </c>
      <c r="D53" s="115" t="s">
        <v>329</v>
      </c>
      <c r="E53" s="116" t="s">
        <v>414</v>
      </c>
      <c r="F53" s="116">
        <v>3.0</v>
      </c>
      <c r="G53" s="129"/>
      <c r="H53" s="129"/>
      <c r="I53" s="115">
        <v>160.0</v>
      </c>
      <c r="J53" s="115">
        <v>200.0</v>
      </c>
      <c r="K53" s="115">
        <v>440.0</v>
      </c>
      <c r="L53" s="115">
        <v>300.0</v>
      </c>
      <c r="M53" s="118">
        <f t="shared" si="1"/>
        <v>1100</v>
      </c>
      <c r="N53" s="117" t="s">
        <v>393</v>
      </c>
      <c r="O53" s="115" t="s">
        <v>362</v>
      </c>
      <c r="P53" s="119" t="s">
        <v>362</v>
      </c>
      <c r="Q53" s="75"/>
      <c r="R53" s="157"/>
      <c r="S53" s="2"/>
    </row>
    <row r="54">
      <c r="A54" s="104" t="s">
        <v>106</v>
      </c>
      <c r="B54" s="105" t="s">
        <v>419</v>
      </c>
      <c r="C54" s="106" t="s">
        <v>359</v>
      </c>
      <c r="D54" s="106" t="s">
        <v>322</v>
      </c>
      <c r="E54" s="107" t="s">
        <v>370</v>
      </c>
      <c r="F54" s="107">
        <v>3.0</v>
      </c>
      <c r="G54" s="134"/>
      <c r="H54" s="134"/>
      <c r="I54" s="106">
        <v>160.0</v>
      </c>
      <c r="J54" s="106">
        <v>200.0</v>
      </c>
      <c r="K54" s="106">
        <v>440.0</v>
      </c>
      <c r="L54" s="106">
        <v>300.0</v>
      </c>
      <c r="M54" s="109">
        <f t="shared" si="1"/>
        <v>1100</v>
      </c>
      <c r="N54" s="108" t="s">
        <v>367</v>
      </c>
      <c r="O54" s="106" t="s">
        <v>314</v>
      </c>
      <c r="P54" s="110" t="s">
        <v>314</v>
      </c>
      <c r="Q54" s="75"/>
      <c r="R54" s="157"/>
      <c r="S54" s="2"/>
    </row>
    <row r="55">
      <c r="A55" s="125" t="s">
        <v>108</v>
      </c>
      <c r="B55" s="126" t="s">
        <v>420</v>
      </c>
      <c r="C55" s="127" t="s">
        <v>359</v>
      </c>
      <c r="D55" s="127" t="s">
        <v>339</v>
      </c>
      <c r="E55" s="116" t="s">
        <v>409</v>
      </c>
      <c r="F55" s="128">
        <v>3.0</v>
      </c>
      <c r="G55" s="129"/>
      <c r="H55" s="129"/>
      <c r="I55" s="115">
        <v>160.0</v>
      </c>
      <c r="J55" s="115">
        <v>200.0</v>
      </c>
      <c r="K55" s="115">
        <v>440.0</v>
      </c>
      <c r="L55" s="115">
        <v>300.0</v>
      </c>
      <c r="M55" s="118">
        <f t="shared" si="1"/>
        <v>1100</v>
      </c>
      <c r="N55" s="117" t="s">
        <v>393</v>
      </c>
      <c r="O55" s="115" t="s">
        <v>362</v>
      </c>
      <c r="P55" s="119" t="s">
        <v>362</v>
      </c>
      <c r="Q55" s="75"/>
      <c r="R55" s="157"/>
      <c r="S55" s="2"/>
    </row>
    <row r="56">
      <c r="A56" s="130" t="s">
        <v>121</v>
      </c>
      <c r="B56" s="131" t="s">
        <v>421</v>
      </c>
      <c r="C56" s="132" t="s">
        <v>359</v>
      </c>
      <c r="D56" s="132" t="s">
        <v>319</v>
      </c>
      <c r="E56" s="107" t="s">
        <v>404</v>
      </c>
      <c r="F56" s="133">
        <v>3.0</v>
      </c>
      <c r="G56" s="134"/>
      <c r="H56" s="134"/>
      <c r="I56" s="106">
        <v>160.0</v>
      </c>
      <c r="J56" s="106">
        <v>200.0</v>
      </c>
      <c r="K56" s="106">
        <v>440.0</v>
      </c>
      <c r="L56" s="106">
        <v>300.0</v>
      </c>
      <c r="M56" s="109">
        <f t="shared" si="1"/>
        <v>1100</v>
      </c>
      <c r="N56" s="108" t="s">
        <v>367</v>
      </c>
      <c r="O56" s="106" t="s">
        <v>314</v>
      </c>
      <c r="P56" s="110" t="s">
        <v>314</v>
      </c>
      <c r="Q56" s="75"/>
      <c r="R56" s="157"/>
      <c r="S56" s="2"/>
    </row>
    <row r="57">
      <c r="A57" s="125" t="s">
        <v>123</v>
      </c>
      <c r="B57" s="126" t="s">
        <v>422</v>
      </c>
      <c r="C57" s="127" t="s">
        <v>359</v>
      </c>
      <c r="D57" s="127" t="s">
        <v>319</v>
      </c>
      <c r="E57" s="116" t="s">
        <v>414</v>
      </c>
      <c r="F57" s="128">
        <v>3.0</v>
      </c>
      <c r="G57" s="129"/>
      <c r="H57" s="129"/>
      <c r="I57" s="115">
        <v>160.0</v>
      </c>
      <c r="J57" s="115">
        <v>200.0</v>
      </c>
      <c r="K57" s="115">
        <v>440.0</v>
      </c>
      <c r="L57" s="115">
        <v>300.0</v>
      </c>
      <c r="M57" s="118">
        <f t="shared" si="1"/>
        <v>1100</v>
      </c>
      <c r="N57" s="117" t="s">
        <v>393</v>
      </c>
      <c r="O57" s="115" t="s">
        <v>362</v>
      </c>
      <c r="P57" s="119" t="s">
        <v>362</v>
      </c>
      <c r="Q57" s="75"/>
      <c r="R57" s="157"/>
      <c r="S57" s="2"/>
    </row>
    <row r="58">
      <c r="A58" s="130" t="s">
        <v>127</v>
      </c>
      <c r="B58" s="131" t="s">
        <v>423</v>
      </c>
      <c r="C58" s="132" t="s">
        <v>359</v>
      </c>
      <c r="D58" s="132" t="s">
        <v>322</v>
      </c>
      <c r="E58" s="107" t="s">
        <v>424</v>
      </c>
      <c r="F58" s="133">
        <v>3.0</v>
      </c>
      <c r="G58" s="134"/>
      <c r="H58" s="134"/>
      <c r="I58" s="106">
        <v>160.0</v>
      </c>
      <c r="J58" s="106">
        <v>200.0</v>
      </c>
      <c r="K58" s="106">
        <v>440.0</v>
      </c>
      <c r="L58" s="106">
        <v>300.0</v>
      </c>
      <c r="M58" s="109">
        <f t="shared" si="1"/>
        <v>1100</v>
      </c>
      <c r="N58" s="108" t="s">
        <v>393</v>
      </c>
      <c r="O58" s="106" t="s">
        <v>314</v>
      </c>
      <c r="P58" s="110" t="s">
        <v>314</v>
      </c>
      <c r="Q58" s="75"/>
      <c r="R58" s="157"/>
      <c r="S58" s="2"/>
    </row>
    <row r="59">
      <c r="A59" s="125" t="s">
        <v>129</v>
      </c>
      <c r="B59" s="126" t="s">
        <v>425</v>
      </c>
      <c r="C59" s="127" t="s">
        <v>359</v>
      </c>
      <c r="D59" s="127" t="s">
        <v>322</v>
      </c>
      <c r="E59" s="128" t="s">
        <v>426</v>
      </c>
      <c r="F59" s="128">
        <v>3.0</v>
      </c>
      <c r="G59" s="129"/>
      <c r="H59" s="129"/>
      <c r="I59" s="115">
        <v>160.0</v>
      </c>
      <c r="J59" s="115">
        <v>200.0</v>
      </c>
      <c r="K59" s="115">
        <v>440.0</v>
      </c>
      <c r="L59" s="115">
        <v>300.0</v>
      </c>
      <c r="M59" s="118">
        <f t="shared" si="1"/>
        <v>1100</v>
      </c>
      <c r="N59" s="117" t="s">
        <v>313</v>
      </c>
      <c r="O59" s="115" t="s">
        <v>314</v>
      </c>
      <c r="P59" s="119" t="s">
        <v>314</v>
      </c>
      <c r="Q59" s="75"/>
      <c r="R59" s="157"/>
      <c r="S59" s="2"/>
    </row>
    <row r="60">
      <c r="A60" s="130" t="s">
        <v>139</v>
      </c>
      <c r="B60" s="105" t="s">
        <v>427</v>
      </c>
      <c r="C60" s="106" t="s">
        <v>359</v>
      </c>
      <c r="D60" s="106" t="s">
        <v>319</v>
      </c>
      <c r="E60" s="107" t="s">
        <v>312</v>
      </c>
      <c r="F60" s="107">
        <v>3.0</v>
      </c>
      <c r="G60" s="134"/>
      <c r="H60" s="134"/>
      <c r="I60" s="106">
        <v>160.0</v>
      </c>
      <c r="J60" s="106">
        <v>200.0</v>
      </c>
      <c r="K60" s="106">
        <v>440.0</v>
      </c>
      <c r="L60" s="106">
        <v>300.0</v>
      </c>
      <c r="M60" s="109">
        <f t="shared" si="1"/>
        <v>1100</v>
      </c>
      <c r="N60" s="108" t="s">
        <v>367</v>
      </c>
      <c r="O60" s="106" t="s">
        <v>314</v>
      </c>
      <c r="P60" s="110" t="s">
        <v>314</v>
      </c>
      <c r="Q60" s="75"/>
      <c r="R60" s="157"/>
      <c r="S60" s="2"/>
    </row>
    <row r="61">
      <c r="A61" s="125" t="s">
        <v>428</v>
      </c>
      <c r="B61" s="114" t="s">
        <v>429</v>
      </c>
      <c r="C61" s="115" t="s">
        <v>359</v>
      </c>
      <c r="D61" s="115" t="s">
        <v>329</v>
      </c>
      <c r="E61" s="116" t="s">
        <v>366</v>
      </c>
      <c r="F61" s="116">
        <v>3.0</v>
      </c>
      <c r="G61" s="129"/>
      <c r="H61" s="129"/>
      <c r="I61" s="115">
        <v>160.0</v>
      </c>
      <c r="J61" s="115">
        <v>200.0</v>
      </c>
      <c r="K61" s="115">
        <v>440.0</v>
      </c>
      <c r="L61" s="115">
        <v>300.0</v>
      </c>
      <c r="M61" s="118">
        <f t="shared" si="1"/>
        <v>1100</v>
      </c>
      <c r="N61" s="117" t="s">
        <v>367</v>
      </c>
      <c r="O61" s="115" t="s">
        <v>314</v>
      </c>
      <c r="P61" s="119" t="s">
        <v>314</v>
      </c>
      <c r="Q61" s="75"/>
      <c r="R61" s="157"/>
      <c r="S61" s="2"/>
    </row>
    <row r="62">
      <c r="A62" s="130" t="s">
        <v>146</v>
      </c>
      <c r="B62" s="131" t="s">
        <v>430</v>
      </c>
      <c r="C62" s="132" t="s">
        <v>359</v>
      </c>
      <c r="D62" s="132" t="s">
        <v>311</v>
      </c>
      <c r="E62" s="133" t="s">
        <v>431</v>
      </c>
      <c r="F62" s="133">
        <v>3.0</v>
      </c>
      <c r="G62" s="134"/>
      <c r="H62" s="134"/>
      <c r="I62" s="106">
        <v>160.0</v>
      </c>
      <c r="J62" s="106">
        <v>200.0</v>
      </c>
      <c r="K62" s="106">
        <v>440.0</v>
      </c>
      <c r="L62" s="106">
        <v>300.0</v>
      </c>
      <c r="M62" s="109">
        <f t="shared" si="1"/>
        <v>1100</v>
      </c>
      <c r="N62" s="108" t="s">
        <v>313</v>
      </c>
      <c r="O62" s="106" t="s">
        <v>314</v>
      </c>
      <c r="P62" s="110" t="s">
        <v>314</v>
      </c>
      <c r="Q62" s="75"/>
      <c r="R62" s="75"/>
      <c r="S62" s="2"/>
    </row>
    <row r="63">
      <c r="A63" s="125" t="s">
        <v>148</v>
      </c>
      <c r="B63" s="126" t="s">
        <v>432</v>
      </c>
      <c r="C63" s="127" t="s">
        <v>359</v>
      </c>
      <c r="D63" s="127" t="s">
        <v>319</v>
      </c>
      <c r="E63" s="116" t="s">
        <v>366</v>
      </c>
      <c r="F63" s="128">
        <v>3.0</v>
      </c>
      <c r="G63" s="129"/>
      <c r="H63" s="129"/>
      <c r="I63" s="115">
        <v>160.0</v>
      </c>
      <c r="J63" s="115">
        <v>200.0</v>
      </c>
      <c r="K63" s="115">
        <v>440.0</v>
      </c>
      <c r="L63" s="115">
        <v>300.0</v>
      </c>
      <c r="M63" s="118">
        <f t="shared" si="1"/>
        <v>1100</v>
      </c>
      <c r="N63" s="117" t="s">
        <v>367</v>
      </c>
      <c r="O63" s="115" t="s">
        <v>314</v>
      </c>
      <c r="P63" s="119" t="s">
        <v>314</v>
      </c>
      <c r="Q63" s="75"/>
      <c r="R63" s="75"/>
      <c r="S63" s="2"/>
    </row>
    <row r="64">
      <c r="A64" s="130" t="s">
        <v>149</v>
      </c>
      <c r="B64" s="105" t="s">
        <v>433</v>
      </c>
      <c r="C64" s="106" t="s">
        <v>359</v>
      </c>
      <c r="D64" s="106" t="s">
        <v>319</v>
      </c>
      <c r="E64" s="107" t="s">
        <v>409</v>
      </c>
      <c r="F64" s="107">
        <v>3.0</v>
      </c>
      <c r="G64" s="134"/>
      <c r="H64" s="134"/>
      <c r="I64" s="106">
        <v>160.0</v>
      </c>
      <c r="J64" s="106">
        <v>200.0</v>
      </c>
      <c r="K64" s="106">
        <v>440.0</v>
      </c>
      <c r="L64" s="106">
        <v>300.0</v>
      </c>
      <c r="M64" s="109">
        <f t="shared" si="1"/>
        <v>1100</v>
      </c>
      <c r="N64" s="108" t="s">
        <v>393</v>
      </c>
      <c r="O64" s="106" t="s">
        <v>362</v>
      </c>
      <c r="P64" s="110" t="s">
        <v>362</v>
      </c>
      <c r="Q64" s="75"/>
      <c r="R64" s="157"/>
      <c r="S64" s="2"/>
    </row>
    <row r="65">
      <c r="A65" s="125" t="s">
        <v>158</v>
      </c>
      <c r="B65" s="114" t="s">
        <v>434</v>
      </c>
      <c r="C65" s="115" t="s">
        <v>359</v>
      </c>
      <c r="D65" s="115" t="s">
        <v>322</v>
      </c>
      <c r="E65" s="116" t="s">
        <v>312</v>
      </c>
      <c r="F65" s="116">
        <v>3.0</v>
      </c>
      <c r="G65" s="129"/>
      <c r="H65" s="129"/>
      <c r="I65" s="115">
        <v>160.0</v>
      </c>
      <c r="J65" s="115">
        <v>200.0</v>
      </c>
      <c r="K65" s="115">
        <v>440.0</v>
      </c>
      <c r="L65" s="115">
        <v>300.0</v>
      </c>
      <c r="M65" s="118">
        <f t="shared" si="1"/>
        <v>1100</v>
      </c>
      <c r="N65" s="117" t="s">
        <v>313</v>
      </c>
      <c r="O65" s="115" t="s">
        <v>314</v>
      </c>
      <c r="P65" s="119" t="s">
        <v>314</v>
      </c>
      <c r="Q65" s="75"/>
      <c r="R65" s="157"/>
      <c r="S65" s="2"/>
    </row>
    <row r="66">
      <c r="A66" s="104" t="s">
        <v>160</v>
      </c>
      <c r="B66" s="105" t="s">
        <v>435</v>
      </c>
      <c r="C66" s="106" t="s">
        <v>359</v>
      </c>
      <c r="D66" s="106" t="s">
        <v>322</v>
      </c>
      <c r="E66" s="107" t="s">
        <v>414</v>
      </c>
      <c r="F66" s="107">
        <v>3.0</v>
      </c>
      <c r="G66" s="106"/>
      <c r="H66" s="106"/>
      <c r="I66" s="106">
        <v>160.0</v>
      </c>
      <c r="J66" s="106">
        <v>200.0</v>
      </c>
      <c r="K66" s="106">
        <v>440.0</v>
      </c>
      <c r="L66" s="106">
        <v>300.0</v>
      </c>
      <c r="M66" s="109">
        <f t="shared" si="1"/>
        <v>1100</v>
      </c>
      <c r="N66" s="108" t="s">
        <v>393</v>
      </c>
      <c r="O66" s="106" t="s">
        <v>314</v>
      </c>
      <c r="P66" s="110" t="s">
        <v>314</v>
      </c>
      <c r="Q66" s="75"/>
      <c r="R66" s="157"/>
      <c r="S66" s="2"/>
    </row>
    <row r="67">
      <c r="A67" s="113" t="s">
        <v>161</v>
      </c>
      <c r="B67" s="114" t="s">
        <v>436</v>
      </c>
      <c r="C67" s="115" t="s">
        <v>359</v>
      </c>
      <c r="D67" s="115" t="s">
        <v>319</v>
      </c>
      <c r="E67" s="116" t="s">
        <v>414</v>
      </c>
      <c r="F67" s="116">
        <v>3.0</v>
      </c>
      <c r="G67" s="115"/>
      <c r="H67" s="115"/>
      <c r="I67" s="115">
        <v>160.0</v>
      </c>
      <c r="J67" s="115">
        <v>200.0</v>
      </c>
      <c r="K67" s="115">
        <v>440.0</v>
      </c>
      <c r="L67" s="115">
        <v>300.0</v>
      </c>
      <c r="M67" s="118">
        <f t="shared" si="1"/>
        <v>1100</v>
      </c>
      <c r="N67" s="117" t="s">
        <v>393</v>
      </c>
      <c r="O67" s="115" t="s">
        <v>362</v>
      </c>
      <c r="P67" s="119" t="s">
        <v>362</v>
      </c>
      <c r="Q67" s="75"/>
      <c r="R67" s="157"/>
      <c r="S67" s="2"/>
    </row>
    <row r="68">
      <c r="A68" s="104" t="s">
        <v>162</v>
      </c>
      <c r="B68" s="105" t="s">
        <v>437</v>
      </c>
      <c r="C68" s="106" t="s">
        <v>359</v>
      </c>
      <c r="D68" s="106" t="s">
        <v>339</v>
      </c>
      <c r="E68" s="107" t="s">
        <v>366</v>
      </c>
      <c r="F68" s="107">
        <v>3.0</v>
      </c>
      <c r="G68" s="106"/>
      <c r="H68" s="106"/>
      <c r="I68" s="106">
        <v>160.0</v>
      </c>
      <c r="J68" s="106">
        <v>200.0</v>
      </c>
      <c r="K68" s="106">
        <v>440.0</v>
      </c>
      <c r="L68" s="106">
        <v>300.0</v>
      </c>
      <c r="M68" s="109">
        <f t="shared" si="1"/>
        <v>1100</v>
      </c>
      <c r="N68" s="108" t="s">
        <v>367</v>
      </c>
      <c r="O68" s="106" t="s">
        <v>362</v>
      </c>
      <c r="P68" s="110" t="s">
        <v>362</v>
      </c>
      <c r="Q68" s="75"/>
      <c r="R68" s="157"/>
      <c r="S68" s="2"/>
    </row>
    <row r="69">
      <c r="A69" s="113" t="s">
        <v>163</v>
      </c>
      <c r="B69" s="114" t="s">
        <v>438</v>
      </c>
      <c r="C69" s="115" t="s">
        <v>359</v>
      </c>
      <c r="D69" s="115" t="s">
        <v>339</v>
      </c>
      <c r="E69" s="116" t="s">
        <v>312</v>
      </c>
      <c r="F69" s="116">
        <v>3.0</v>
      </c>
      <c r="G69" s="115"/>
      <c r="H69" s="115"/>
      <c r="I69" s="115">
        <v>160.0</v>
      </c>
      <c r="J69" s="115">
        <v>200.0</v>
      </c>
      <c r="K69" s="115">
        <v>440.0</v>
      </c>
      <c r="L69" s="115">
        <v>300.0</v>
      </c>
      <c r="M69" s="118">
        <f t="shared" si="1"/>
        <v>1100</v>
      </c>
      <c r="N69" s="117" t="s">
        <v>367</v>
      </c>
      <c r="O69" s="115" t="s">
        <v>314</v>
      </c>
      <c r="P69" s="119" t="s">
        <v>314</v>
      </c>
      <c r="Q69" s="75"/>
      <c r="R69" s="157"/>
      <c r="S69" s="2"/>
    </row>
    <row r="70">
      <c r="A70" s="130" t="s">
        <v>164</v>
      </c>
      <c r="B70" s="131" t="s">
        <v>439</v>
      </c>
      <c r="C70" s="132" t="s">
        <v>359</v>
      </c>
      <c r="D70" s="132" t="s">
        <v>311</v>
      </c>
      <c r="E70" s="107" t="s">
        <v>377</v>
      </c>
      <c r="F70" s="133">
        <v>3.0</v>
      </c>
      <c r="G70" s="134"/>
      <c r="H70" s="134"/>
      <c r="I70" s="106">
        <v>160.0</v>
      </c>
      <c r="J70" s="106">
        <v>200.0</v>
      </c>
      <c r="K70" s="106">
        <v>440.0</v>
      </c>
      <c r="L70" s="106">
        <v>300.0</v>
      </c>
      <c r="M70" s="109">
        <f t="shared" si="1"/>
        <v>1100</v>
      </c>
      <c r="N70" s="108" t="s">
        <v>393</v>
      </c>
      <c r="O70" s="106" t="s">
        <v>362</v>
      </c>
      <c r="P70" s="110" t="s">
        <v>362</v>
      </c>
      <c r="Q70" s="75"/>
      <c r="R70" s="157"/>
      <c r="S70" s="2"/>
    </row>
    <row r="71">
      <c r="A71" s="113" t="s">
        <v>166</v>
      </c>
      <c r="B71" s="114" t="s">
        <v>440</v>
      </c>
      <c r="C71" s="115" t="s">
        <v>359</v>
      </c>
      <c r="D71" s="115" t="s">
        <v>319</v>
      </c>
      <c r="E71" s="116" t="s">
        <v>377</v>
      </c>
      <c r="F71" s="116">
        <v>3.0</v>
      </c>
      <c r="G71" s="115"/>
      <c r="H71" s="115"/>
      <c r="I71" s="115">
        <v>160.0</v>
      </c>
      <c r="J71" s="115">
        <v>200.0</v>
      </c>
      <c r="K71" s="115">
        <v>440.0</v>
      </c>
      <c r="L71" s="115">
        <v>300.0</v>
      </c>
      <c r="M71" s="118">
        <f t="shared" si="1"/>
        <v>1100</v>
      </c>
      <c r="N71" s="117" t="s">
        <v>393</v>
      </c>
      <c r="O71" s="115" t="s">
        <v>362</v>
      </c>
      <c r="P71" s="119" t="s">
        <v>362</v>
      </c>
      <c r="Q71" s="75"/>
      <c r="R71" s="157"/>
      <c r="S71" s="2"/>
    </row>
    <row r="72">
      <c r="A72" s="130" t="s">
        <v>173</v>
      </c>
      <c r="B72" s="131" t="s">
        <v>441</v>
      </c>
      <c r="C72" s="132" t="s">
        <v>359</v>
      </c>
      <c r="D72" s="132" t="s">
        <v>322</v>
      </c>
      <c r="E72" s="107" t="s">
        <v>414</v>
      </c>
      <c r="F72" s="133">
        <v>3.0</v>
      </c>
      <c r="G72" s="134"/>
      <c r="H72" s="134"/>
      <c r="I72" s="106">
        <v>160.0</v>
      </c>
      <c r="J72" s="106">
        <v>200.0</v>
      </c>
      <c r="K72" s="106">
        <v>440.0</v>
      </c>
      <c r="L72" s="106">
        <v>300.0</v>
      </c>
      <c r="M72" s="109">
        <f t="shared" si="1"/>
        <v>1100</v>
      </c>
      <c r="N72" s="108" t="s">
        <v>367</v>
      </c>
      <c r="O72" s="106" t="s">
        <v>314</v>
      </c>
      <c r="P72" s="110" t="s">
        <v>314</v>
      </c>
      <c r="Q72" s="75"/>
      <c r="R72" s="157"/>
      <c r="S72" s="2"/>
    </row>
    <row r="73">
      <c r="A73" s="125" t="s">
        <v>175</v>
      </c>
      <c r="B73" s="126" t="s">
        <v>442</v>
      </c>
      <c r="C73" s="127" t="s">
        <v>359</v>
      </c>
      <c r="D73" s="127" t="s">
        <v>322</v>
      </c>
      <c r="E73" s="116" t="s">
        <v>351</v>
      </c>
      <c r="F73" s="128">
        <v>3.0</v>
      </c>
      <c r="G73" s="129"/>
      <c r="H73" s="129"/>
      <c r="I73" s="115">
        <v>160.0</v>
      </c>
      <c r="J73" s="115">
        <v>200.0</v>
      </c>
      <c r="K73" s="115">
        <v>440.0</v>
      </c>
      <c r="L73" s="115">
        <v>300.0</v>
      </c>
      <c r="M73" s="118">
        <f t="shared" si="1"/>
        <v>1100</v>
      </c>
      <c r="N73" s="117" t="s">
        <v>367</v>
      </c>
      <c r="O73" s="115" t="s">
        <v>314</v>
      </c>
      <c r="P73" s="119" t="s">
        <v>314</v>
      </c>
      <c r="Q73" s="75"/>
      <c r="R73" s="157"/>
      <c r="S73" s="2"/>
    </row>
    <row r="74">
      <c r="A74" s="130" t="s">
        <v>179</v>
      </c>
      <c r="B74" s="131" t="s">
        <v>443</v>
      </c>
      <c r="C74" s="132" t="s">
        <v>359</v>
      </c>
      <c r="D74" s="132" t="s">
        <v>339</v>
      </c>
      <c r="E74" s="133" t="s">
        <v>370</v>
      </c>
      <c r="F74" s="133">
        <v>3.0</v>
      </c>
      <c r="G74" s="134"/>
      <c r="H74" s="134"/>
      <c r="I74" s="106">
        <v>160.0</v>
      </c>
      <c r="J74" s="106">
        <v>200.0</v>
      </c>
      <c r="K74" s="106">
        <v>440.0</v>
      </c>
      <c r="L74" s="106">
        <v>300.0</v>
      </c>
      <c r="M74" s="109">
        <f t="shared" si="1"/>
        <v>1100</v>
      </c>
      <c r="N74" s="108" t="s">
        <v>313</v>
      </c>
      <c r="O74" s="106" t="s">
        <v>314</v>
      </c>
      <c r="P74" s="110" t="s">
        <v>314</v>
      </c>
      <c r="Q74" s="75"/>
      <c r="R74" s="157"/>
      <c r="S74" s="2"/>
    </row>
    <row r="75">
      <c r="A75" s="125" t="s">
        <v>181</v>
      </c>
      <c r="B75" s="126" t="s">
        <v>37</v>
      </c>
      <c r="C75" s="127" t="s">
        <v>359</v>
      </c>
      <c r="D75" s="127" t="s">
        <v>329</v>
      </c>
      <c r="E75" s="116" t="s">
        <v>409</v>
      </c>
      <c r="F75" s="128">
        <v>3.0</v>
      </c>
      <c r="G75" s="129"/>
      <c r="H75" s="129"/>
      <c r="I75" s="115">
        <v>160.0</v>
      </c>
      <c r="J75" s="115">
        <v>200.0</v>
      </c>
      <c r="K75" s="115">
        <v>440.0</v>
      </c>
      <c r="L75" s="115">
        <v>300.0</v>
      </c>
      <c r="M75" s="118">
        <f t="shared" si="1"/>
        <v>1100</v>
      </c>
      <c r="N75" s="117" t="s">
        <v>367</v>
      </c>
      <c r="O75" s="115" t="s">
        <v>362</v>
      </c>
      <c r="P75" s="119" t="s">
        <v>362</v>
      </c>
      <c r="Q75" s="75"/>
      <c r="R75" s="157"/>
      <c r="S75" s="2"/>
    </row>
    <row r="76">
      <c r="A76" s="130" t="s">
        <v>186</v>
      </c>
      <c r="B76" s="131" t="s">
        <v>444</v>
      </c>
      <c r="C76" s="132" t="s">
        <v>359</v>
      </c>
      <c r="D76" s="132" t="s">
        <v>322</v>
      </c>
      <c r="E76" s="107" t="s">
        <v>366</v>
      </c>
      <c r="F76" s="133">
        <v>3.0</v>
      </c>
      <c r="G76" s="134"/>
      <c r="H76" s="134"/>
      <c r="I76" s="106">
        <v>160.0</v>
      </c>
      <c r="J76" s="106">
        <v>200.0</v>
      </c>
      <c r="K76" s="106">
        <v>440.0</v>
      </c>
      <c r="L76" s="106">
        <v>300.0</v>
      </c>
      <c r="M76" s="109">
        <f t="shared" si="1"/>
        <v>1100</v>
      </c>
      <c r="N76" s="108" t="s">
        <v>367</v>
      </c>
      <c r="O76" s="106" t="s">
        <v>314</v>
      </c>
      <c r="P76" s="110" t="s">
        <v>314</v>
      </c>
      <c r="Q76" s="75"/>
      <c r="R76" s="157"/>
      <c r="S76" s="2"/>
    </row>
    <row r="77">
      <c r="A77" s="125" t="s">
        <v>189</v>
      </c>
      <c r="B77" s="126" t="s">
        <v>445</v>
      </c>
      <c r="C77" s="127" t="s">
        <v>359</v>
      </c>
      <c r="D77" s="127" t="s">
        <v>329</v>
      </c>
      <c r="E77" s="116" t="s">
        <v>446</v>
      </c>
      <c r="F77" s="128">
        <v>3.0</v>
      </c>
      <c r="G77" s="129"/>
      <c r="H77" s="129"/>
      <c r="I77" s="115">
        <v>160.0</v>
      </c>
      <c r="J77" s="115">
        <v>200.0</v>
      </c>
      <c r="K77" s="115">
        <v>440.0</v>
      </c>
      <c r="L77" s="115">
        <v>300.0</v>
      </c>
      <c r="M77" s="118">
        <f t="shared" si="1"/>
        <v>1100</v>
      </c>
      <c r="N77" s="117" t="s">
        <v>367</v>
      </c>
      <c r="O77" s="115" t="s">
        <v>314</v>
      </c>
      <c r="P77" s="119" t="s">
        <v>314</v>
      </c>
      <c r="Q77" s="75"/>
      <c r="R77" s="157"/>
      <c r="S77" s="2"/>
    </row>
    <row r="78">
      <c r="A78" s="130" t="s">
        <v>191</v>
      </c>
      <c r="B78" s="131" t="s">
        <v>447</v>
      </c>
      <c r="C78" s="132" t="s">
        <v>359</v>
      </c>
      <c r="D78" s="132" t="s">
        <v>311</v>
      </c>
      <c r="E78" s="107" t="s">
        <v>448</v>
      </c>
      <c r="F78" s="133">
        <v>3.0</v>
      </c>
      <c r="G78" s="134"/>
      <c r="H78" s="134"/>
      <c r="I78" s="106">
        <v>160.0</v>
      </c>
      <c r="J78" s="106">
        <v>200.0</v>
      </c>
      <c r="K78" s="106">
        <v>440.0</v>
      </c>
      <c r="L78" s="106">
        <v>300.0</v>
      </c>
      <c r="M78" s="109">
        <f t="shared" si="1"/>
        <v>1100</v>
      </c>
      <c r="N78" s="108" t="s">
        <v>367</v>
      </c>
      <c r="O78" s="106" t="s">
        <v>314</v>
      </c>
      <c r="P78" s="110" t="s">
        <v>314</v>
      </c>
      <c r="Q78" s="75"/>
      <c r="R78" s="157"/>
      <c r="S78" s="2"/>
    </row>
    <row r="79">
      <c r="A79" s="113" t="s">
        <v>193</v>
      </c>
      <c r="B79" s="114" t="s">
        <v>449</v>
      </c>
      <c r="C79" s="115" t="s">
        <v>359</v>
      </c>
      <c r="D79" s="115" t="s">
        <v>311</v>
      </c>
      <c r="E79" s="116" t="s">
        <v>404</v>
      </c>
      <c r="F79" s="116">
        <v>3.0</v>
      </c>
      <c r="G79" s="115"/>
      <c r="H79" s="115"/>
      <c r="I79" s="115">
        <v>160.0</v>
      </c>
      <c r="J79" s="115">
        <v>200.0</v>
      </c>
      <c r="K79" s="115">
        <v>440.0</v>
      </c>
      <c r="L79" s="115">
        <v>300.0</v>
      </c>
      <c r="M79" s="118">
        <f t="shared" si="1"/>
        <v>1100</v>
      </c>
      <c r="N79" s="117" t="s">
        <v>393</v>
      </c>
      <c r="O79" s="115" t="s">
        <v>362</v>
      </c>
      <c r="P79" s="119" t="s">
        <v>362</v>
      </c>
      <c r="Q79" s="75"/>
      <c r="R79" s="157"/>
      <c r="S79" s="2"/>
    </row>
    <row r="80">
      <c r="A80" s="104" t="s">
        <v>195</v>
      </c>
      <c r="B80" s="105" t="s">
        <v>450</v>
      </c>
      <c r="C80" s="106" t="s">
        <v>359</v>
      </c>
      <c r="D80" s="106" t="s">
        <v>311</v>
      </c>
      <c r="E80" s="107" t="s">
        <v>389</v>
      </c>
      <c r="F80" s="107">
        <v>3.0</v>
      </c>
      <c r="G80" s="106"/>
      <c r="H80" s="106"/>
      <c r="I80" s="106">
        <v>160.0</v>
      </c>
      <c r="J80" s="106">
        <v>200.0</v>
      </c>
      <c r="K80" s="106">
        <v>440.0</v>
      </c>
      <c r="L80" s="106">
        <v>300.0</v>
      </c>
      <c r="M80" s="109">
        <f t="shared" si="1"/>
        <v>1100</v>
      </c>
      <c r="N80" s="108" t="s">
        <v>367</v>
      </c>
      <c r="O80" s="106" t="s">
        <v>314</v>
      </c>
      <c r="P80" s="110" t="s">
        <v>314</v>
      </c>
      <c r="Q80" s="75"/>
      <c r="R80" s="157"/>
      <c r="S80" s="2"/>
    </row>
    <row r="81">
      <c r="A81" s="125" t="s">
        <v>207</v>
      </c>
      <c r="B81" s="126" t="s">
        <v>451</v>
      </c>
      <c r="C81" s="127" t="s">
        <v>359</v>
      </c>
      <c r="D81" s="127" t="s">
        <v>339</v>
      </c>
      <c r="E81" s="116" t="s">
        <v>349</v>
      </c>
      <c r="F81" s="128">
        <v>3.0</v>
      </c>
      <c r="G81" s="129"/>
      <c r="H81" s="129"/>
      <c r="I81" s="115">
        <v>160.0</v>
      </c>
      <c r="J81" s="115">
        <v>200.0</v>
      </c>
      <c r="K81" s="115">
        <v>440.0</v>
      </c>
      <c r="L81" s="115">
        <v>300.0</v>
      </c>
      <c r="M81" s="118">
        <f t="shared" si="1"/>
        <v>1100</v>
      </c>
      <c r="N81" s="117" t="s">
        <v>313</v>
      </c>
      <c r="O81" s="115" t="s">
        <v>314</v>
      </c>
      <c r="P81" s="119" t="s">
        <v>314</v>
      </c>
      <c r="Q81" s="75"/>
      <c r="R81" s="157"/>
      <c r="S81" s="2"/>
    </row>
    <row r="82">
      <c r="A82" s="130" t="s">
        <v>211</v>
      </c>
      <c r="B82" s="131" t="s">
        <v>452</v>
      </c>
      <c r="C82" s="132" t="s">
        <v>359</v>
      </c>
      <c r="D82" s="132" t="s">
        <v>339</v>
      </c>
      <c r="E82" s="107" t="s">
        <v>404</v>
      </c>
      <c r="F82" s="133">
        <v>3.0</v>
      </c>
      <c r="G82" s="134"/>
      <c r="H82" s="134"/>
      <c r="I82" s="106">
        <v>160.0</v>
      </c>
      <c r="J82" s="106">
        <v>200.0</v>
      </c>
      <c r="K82" s="106">
        <v>440.0</v>
      </c>
      <c r="L82" s="106">
        <v>300.0</v>
      </c>
      <c r="M82" s="109">
        <f t="shared" si="1"/>
        <v>1100</v>
      </c>
      <c r="N82" s="108" t="s">
        <v>393</v>
      </c>
      <c r="O82" s="106" t="s">
        <v>362</v>
      </c>
      <c r="P82" s="110" t="s">
        <v>362</v>
      </c>
      <c r="Q82" s="75"/>
      <c r="R82" s="157"/>
      <c r="S82" s="2"/>
    </row>
    <row r="83">
      <c r="A83" s="125" t="s">
        <v>213</v>
      </c>
      <c r="B83" s="114" t="s">
        <v>453</v>
      </c>
      <c r="C83" s="115" t="s">
        <v>359</v>
      </c>
      <c r="D83" s="115" t="s">
        <v>339</v>
      </c>
      <c r="E83" s="116" t="s">
        <v>370</v>
      </c>
      <c r="F83" s="116">
        <v>3.0</v>
      </c>
      <c r="G83" s="129"/>
      <c r="H83" s="129"/>
      <c r="I83" s="115">
        <v>160.0</v>
      </c>
      <c r="J83" s="115">
        <v>200.0</v>
      </c>
      <c r="K83" s="115">
        <v>440.0</v>
      </c>
      <c r="L83" s="115">
        <v>300.0</v>
      </c>
      <c r="M83" s="118">
        <f t="shared" si="1"/>
        <v>1100</v>
      </c>
      <c r="N83" s="117" t="s">
        <v>393</v>
      </c>
      <c r="O83" s="115" t="s">
        <v>362</v>
      </c>
      <c r="P83" s="119" t="s">
        <v>362</v>
      </c>
      <c r="Q83" s="75"/>
      <c r="R83" s="157"/>
      <c r="S83" s="2"/>
    </row>
    <row r="84">
      <c r="A84" s="130" t="s">
        <v>215</v>
      </c>
      <c r="B84" s="105" t="s">
        <v>454</v>
      </c>
      <c r="C84" s="106" t="s">
        <v>359</v>
      </c>
      <c r="D84" s="106" t="s">
        <v>339</v>
      </c>
      <c r="E84" s="107" t="s">
        <v>389</v>
      </c>
      <c r="F84" s="107">
        <v>3.0</v>
      </c>
      <c r="G84" s="134"/>
      <c r="H84" s="134"/>
      <c r="I84" s="106">
        <v>160.0</v>
      </c>
      <c r="J84" s="106">
        <v>200.0</v>
      </c>
      <c r="K84" s="106">
        <v>440.0</v>
      </c>
      <c r="L84" s="106">
        <v>300.0</v>
      </c>
      <c r="M84" s="109">
        <f t="shared" si="1"/>
        <v>1100</v>
      </c>
      <c r="N84" s="108" t="s">
        <v>367</v>
      </c>
      <c r="O84" s="106" t="s">
        <v>314</v>
      </c>
      <c r="P84" s="110" t="s">
        <v>314</v>
      </c>
      <c r="Q84" s="75"/>
      <c r="R84" s="157"/>
      <c r="S84" s="2"/>
    </row>
    <row r="85">
      <c r="A85" s="125" t="s">
        <v>225</v>
      </c>
      <c r="B85" s="114" t="s">
        <v>455</v>
      </c>
      <c r="C85" s="115" t="s">
        <v>359</v>
      </c>
      <c r="D85" s="115" t="s">
        <v>322</v>
      </c>
      <c r="E85" s="116" t="s">
        <v>389</v>
      </c>
      <c r="F85" s="116">
        <v>3.0</v>
      </c>
      <c r="G85" s="129"/>
      <c r="H85" s="129"/>
      <c r="I85" s="115">
        <v>160.0</v>
      </c>
      <c r="J85" s="115">
        <v>200.0</v>
      </c>
      <c r="K85" s="115">
        <v>440.0</v>
      </c>
      <c r="L85" s="115">
        <v>300.0</v>
      </c>
      <c r="M85" s="118">
        <f t="shared" si="1"/>
        <v>1100</v>
      </c>
      <c r="N85" s="117" t="s">
        <v>313</v>
      </c>
      <c r="O85" s="115" t="s">
        <v>362</v>
      </c>
      <c r="P85" s="119" t="s">
        <v>362</v>
      </c>
      <c r="Q85" s="75"/>
      <c r="R85" s="157"/>
      <c r="S85" s="2"/>
    </row>
    <row r="86">
      <c r="A86" s="130" t="s">
        <v>226</v>
      </c>
      <c r="B86" s="131" t="s">
        <v>456</v>
      </c>
      <c r="C86" s="132" t="s">
        <v>359</v>
      </c>
      <c r="D86" s="132" t="s">
        <v>339</v>
      </c>
      <c r="E86" s="107" t="s">
        <v>377</v>
      </c>
      <c r="F86" s="133">
        <v>3.0</v>
      </c>
      <c r="G86" s="134"/>
      <c r="H86" s="134"/>
      <c r="I86" s="106">
        <v>160.0</v>
      </c>
      <c r="J86" s="106">
        <v>200.0</v>
      </c>
      <c r="K86" s="106">
        <v>440.0</v>
      </c>
      <c r="L86" s="106">
        <v>300.0</v>
      </c>
      <c r="M86" s="109">
        <f t="shared" si="1"/>
        <v>1100</v>
      </c>
      <c r="N86" s="108" t="s">
        <v>393</v>
      </c>
      <c r="O86" s="106" t="s">
        <v>362</v>
      </c>
      <c r="P86" s="110" t="s">
        <v>362</v>
      </c>
      <c r="Q86" s="75"/>
      <c r="R86" s="157"/>
      <c r="S86" s="2"/>
    </row>
    <row r="87">
      <c r="A87" s="125" t="s">
        <v>235</v>
      </c>
      <c r="B87" s="126" t="s">
        <v>457</v>
      </c>
      <c r="C87" s="127" t="s">
        <v>359</v>
      </c>
      <c r="D87" s="127" t="s">
        <v>322</v>
      </c>
      <c r="E87" s="116" t="s">
        <v>404</v>
      </c>
      <c r="F87" s="128">
        <v>3.0</v>
      </c>
      <c r="G87" s="129"/>
      <c r="H87" s="129"/>
      <c r="I87" s="115">
        <v>160.0</v>
      </c>
      <c r="J87" s="115">
        <v>200.0</v>
      </c>
      <c r="K87" s="115">
        <v>440.0</v>
      </c>
      <c r="L87" s="115">
        <v>300.0</v>
      </c>
      <c r="M87" s="118">
        <f t="shared" si="1"/>
        <v>1100</v>
      </c>
      <c r="N87" s="117" t="s">
        <v>393</v>
      </c>
      <c r="O87" s="115" t="s">
        <v>362</v>
      </c>
      <c r="P87" s="119" t="s">
        <v>362</v>
      </c>
      <c r="Q87" s="75"/>
      <c r="R87" s="157"/>
      <c r="S87" s="2"/>
    </row>
    <row r="88">
      <c r="A88" s="104" t="s">
        <v>238</v>
      </c>
      <c r="B88" s="105" t="s">
        <v>458</v>
      </c>
      <c r="C88" s="106" t="s">
        <v>359</v>
      </c>
      <c r="D88" s="106" t="s">
        <v>311</v>
      </c>
      <c r="E88" s="107" t="s">
        <v>409</v>
      </c>
      <c r="F88" s="107">
        <v>3.0</v>
      </c>
      <c r="G88" s="106"/>
      <c r="H88" s="106"/>
      <c r="I88" s="106">
        <v>160.0</v>
      </c>
      <c r="J88" s="106">
        <v>200.0</v>
      </c>
      <c r="K88" s="106">
        <v>440.0</v>
      </c>
      <c r="L88" s="106">
        <v>300.0</v>
      </c>
      <c r="M88" s="109">
        <f t="shared" si="1"/>
        <v>1100</v>
      </c>
      <c r="N88" s="108" t="s">
        <v>393</v>
      </c>
      <c r="O88" s="106" t="s">
        <v>362</v>
      </c>
      <c r="P88" s="110" t="s">
        <v>362</v>
      </c>
      <c r="Q88" s="75"/>
      <c r="R88" s="157"/>
      <c r="S88" s="2"/>
    </row>
    <row r="89">
      <c r="A89" s="125" t="s">
        <v>247</v>
      </c>
      <c r="B89" s="126" t="s">
        <v>459</v>
      </c>
      <c r="C89" s="127" t="s">
        <v>359</v>
      </c>
      <c r="D89" s="127" t="s">
        <v>311</v>
      </c>
      <c r="E89" s="128" t="s">
        <v>389</v>
      </c>
      <c r="F89" s="128">
        <v>3.0</v>
      </c>
      <c r="G89" s="129"/>
      <c r="H89" s="129"/>
      <c r="I89" s="115">
        <v>160.0</v>
      </c>
      <c r="J89" s="115">
        <v>200.0</v>
      </c>
      <c r="K89" s="115">
        <v>440.0</v>
      </c>
      <c r="L89" s="115">
        <v>300.0</v>
      </c>
      <c r="M89" s="118">
        <f t="shared" si="1"/>
        <v>1100</v>
      </c>
      <c r="N89" s="117" t="s">
        <v>367</v>
      </c>
      <c r="O89" s="115" t="s">
        <v>314</v>
      </c>
      <c r="P89" s="119" t="s">
        <v>314</v>
      </c>
      <c r="Q89" s="75"/>
      <c r="R89" s="157"/>
      <c r="S89" s="2"/>
    </row>
    <row r="90">
      <c r="A90" s="130" t="s">
        <v>73</v>
      </c>
      <c r="B90" s="131" t="s">
        <v>460</v>
      </c>
      <c r="C90" s="132" t="s">
        <v>396</v>
      </c>
      <c r="D90" s="132" t="s">
        <v>322</v>
      </c>
      <c r="E90" s="107" t="s">
        <v>312</v>
      </c>
      <c r="F90" s="133">
        <v>4.0</v>
      </c>
      <c r="G90" s="134"/>
      <c r="H90" s="134"/>
      <c r="I90" s="134"/>
      <c r="J90" s="106">
        <v>450.0</v>
      </c>
      <c r="K90" s="106">
        <v>450.0</v>
      </c>
      <c r="L90" s="106">
        <v>450.0</v>
      </c>
      <c r="M90" s="109">
        <f t="shared" si="1"/>
        <v>1350</v>
      </c>
      <c r="N90" s="108" t="s">
        <v>393</v>
      </c>
      <c r="O90" s="106" t="s">
        <v>314</v>
      </c>
      <c r="P90" s="110" t="s">
        <v>314</v>
      </c>
      <c r="Q90" s="75"/>
      <c r="R90" s="157"/>
      <c r="S90" s="2"/>
    </row>
    <row r="91">
      <c r="A91" s="125" t="s">
        <v>117</v>
      </c>
      <c r="B91" s="126" t="s">
        <v>461</v>
      </c>
      <c r="C91" s="127" t="s">
        <v>396</v>
      </c>
      <c r="D91" s="127" t="s">
        <v>319</v>
      </c>
      <c r="E91" s="116" t="s">
        <v>462</v>
      </c>
      <c r="F91" s="128">
        <v>4.0</v>
      </c>
      <c r="G91" s="129"/>
      <c r="H91" s="129"/>
      <c r="I91" s="129"/>
      <c r="J91" s="115">
        <v>450.0</v>
      </c>
      <c r="K91" s="115">
        <v>450.0</v>
      </c>
      <c r="L91" s="115">
        <v>450.0</v>
      </c>
      <c r="M91" s="118">
        <f t="shared" si="1"/>
        <v>1350</v>
      </c>
      <c r="N91" s="117" t="s">
        <v>393</v>
      </c>
      <c r="O91" s="115" t="s">
        <v>362</v>
      </c>
      <c r="P91" s="119" t="s">
        <v>362</v>
      </c>
      <c r="Q91" s="75"/>
      <c r="R91" s="157"/>
      <c r="S91" s="2"/>
    </row>
    <row r="92">
      <c r="A92" s="158" t="s">
        <v>137</v>
      </c>
      <c r="B92" s="159" t="s">
        <v>463</v>
      </c>
      <c r="C92" s="160" t="s">
        <v>396</v>
      </c>
      <c r="D92" s="160" t="s">
        <v>329</v>
      </c>
      <c r="E92" s="161" t="s">
        <v>464</v>
      </c>
      <c r="F92" s="162">
        <v>4.0</v>
      </c>
      <c r="G92" s="163"/>
      <c r="H92" s="163"/>
      <c r="I92" s="163"/>
      <c r="J92" s="106">
        <v>450.0</v>
      </c>
      <c r="K92" s="106">
        <v>450.0</v>
      </c>
      <c r="L92" s="106">
        <v>450.0</v>
      </c>
      <c r="M92" s="109">
        <f t="shared" si="1"/>
        <v>1350</v>
      </c>
      <c r="N92" s="108" t="s">
        <v>393</v>
      </c>
      <c r="O92" s="106" t="s">
        <v>362</v>
      </c>
      <c r="P92" s="110" t="s">
        <v>362</v>
      </c>
      <c r="Q92" s="75"/>
      <c r="R92" s="157"/>
      <c r="S92" s="2"/>
    </row>
    <row r="93">
      <c r="A93" s="164" t="s">
        <v>145</v>
      </c>
      <c r="B93" s="165" t="s">
        <v>465</v>
      </c>
      <c r="C93" s="166" t="s">
        <v>396</v>
      </c>
      <c r="D93" s="166" t="s">
        <v>311</v>
      </c>
      <c r="E93" s="167" t="s">
        <v>462</v>
      </c>
      <c r="F93" s="167">
        <v>4.0</v>
      </c>
      <c r="G93" s="168"/>
      <c r="H93" s="168"/>
      <c r="I93" s="169"/>
      <c r="J93" s="115">
        <v>450.0</v>
      </c>
      <c r="K93" s="115">
        <v>450.0</v>
      </c>
      <c r="L93" s="115">
        <v>450.0</v>
      </c>
      <c r="M93" s="118">
        <f t="shared" si="1"/>
        <v>1350</v>
      </c>
      <c r="N93" s="117" t="s">
        <v>393</v>
      </c>
      <c r="O93" s="115" t="s">
        <v>362</v>
      </c>
      <c r="P93" s="119" t="s">
        <v>362</v>
      </c>
      <c r="Q93" s="75"/>
      <c r="R93" s="157"/>
      <c r="S93" s="2"/>
    </row>
    <row r="94">
      <c r="A94" s="170" t="s">
        <v>466</v>
      </c>
      <c r="B94" s="171" t="s">
        <v>467</v>
      </c>
      <c r="C94" s="172" t="s">
        <v>359</v>
      </c>
      <c r="D94" s="172" t="s">
        <v>311</v>
      </c>
      <c r="E94" s="173" t="s">
        <v>468</v>
      </c>
      <c r="F94" s="174">
        <v>4.0</v>
      </c>
      <c r="G94" s="175"/>
      <c r="H94" s="175"/>
      <c r="I94" s="175"/>
      <c r="J94" s="176">
        <v>360.0</v>
      </c>
      <c r="K94" s="176">
        <v>440.0</v>
      </c>
      <c r="L94" s="176">
        <v>300.0</v>
      </c>
      <c r="M94" s="177">
        <f t="shared" si="1"/>
        <v>1100</v>
      </c>
      <c r="N94" s="178" t="s">
        <v>367</v>
      </c>
      <c r="O94" s="176" t="s">
        <v>362</v>
      </c>
      <c r="P94" s="179" t="s">
        <v>362</v>
      </c>
      <c r="Q94" s="75"/>
      <c r="R94" s="157"/>
      <c r="S94" s="2"/>
    </row>
  </sheetData>
  <autoFilter ref="$A$2:$P$94">
    <sortState ref="A2:P94">
      <sortCondition ref="F2:F94"/>
      <sortCondition descending="1" ref="C2:C94"/>
      <sortCondition ref="A2:A94"/>
      <sortCondition descending="1" ref="N2:N94"/>
    </sortState>
  </autoFilter>
  <mergeCells count="8">
    <mergeCell ref="B1:P1"/>
    <mergeCell ref="Q3:R3"/>
    <mergeCell ref="Q10:R10"/>
    <mergeCell ref="Q16:R16"/>
    <mergeCell ref="Q22:R22"/>
    <mergeCell ref="Q27:R27"/>
    <mergeCell ref="Q31:R31"/>
    <mergeCell ref="Q35:R35"/>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14"/>
    <col customWidth="1" min="3" max="3" width="14.43"/>
    <col customWidth="1" min="5" max="5" width="50.14"/>
    <col customWidth="1" min="7" max="7" width="14.43"/>
    <col customWidth="1" min="9" max="9" width="14.43"/>
    <col customWidth="1" min="11" max="11" width="14.43"/>
  </cols>
  <sheetData>
    <row r="1">
      <c r="A1" s="180" t="s">
        <v>469</v>
      </c>
      <c r="B1" s="181" t="s">
        <v>470</v>
      </c>
      <c r="C1" s="182"/>
      <c r="D1" s="182"/>
      <c r="E1" s="182"/>
      <c r="F1" s="183"/>
      <c r="G1" s="184"/>
      <c r="I1" s="185"/>
      <c r="J1" s="185"/>
      <c r="K1" s="184"/>
      <c r="L1" s="184"/>
      <c r="M1" s="86"/>
      <c r="N1" s="86"/>
    </row>
    <row r="2">
      <c r="A2" s="86"/>
      <c r="B2" s="186" t="s">
        <v>225</v>
      </c>
      <c r="C2" s="103"/>
      <c r="D2" s="103"/>
      <c r="E2" s="103"/>
      <c r="F2" s="187"/>
      <c r="I2" s="185"/>
      <c r="J2" s="185"/>
      <c r="K2" s="184"/>
      <c r="L2" s="184"/>
      <c r="M2" s="86"/>
      <c r="N2" s="86"/>
    </row>
    <row r="3">
      <c r="B3" s="188" t="s">
        <v>471</v>
      </c>
      <c r="C3" s="189">
        <v>40.0</v>
      </c>
      <c r="D3" s="190" t="s">
        <v>24</v>
      </c>
      <c r="E3" s="191" t="s">
        <v>472</v>
      </c>
      <c r="F3" s="192" t="s">
        <v>473</v>
      </c>
      <c r="I3" s="193" t="s">
        <v>474</v>
      </c>
      <c r="J3" s="182"/>
      <c r="K3" s="182"/>
      <c r="L3" s="182"/>
      <c r="M3" s="183"/>
    </row>
    <row r="4">
      <c r="B4" s="194" t="str">
        <f>VLOOKUP(B2,Range!AW2:BH93,8)</f>
        <v>Defense %</v>
      </c>
      <c r="C4" s="195"/>
      <c r="D4" s="196">
        <f>VLOOKUP(B4,Range!BC112:BD115,2,FALSE)</f>
        <v>15</v>
      </c>
      <c r="E4" s="197" t="str">
        <f>VLOOKUP($B$2,Range!$AW$2:$BC$93,2)</f>
        <v>Critical Attack Damage</v>
      </c>
      <c r="F4" s="198">
        <f>VLOOKUP($B$2,Range!$AW$2:$BC$93,3)</f>
        <v>20</v>
      </c>
      <c r="I4" s="199"/>
      <c r="M4" s="200"/>
    </row>
    <row r="5">
      <c r="B5" s="201" t="s">
        <v>83</v>
      </c>
      <c r="C5" s="202"/>
      <c r="D5" s="203">
        <f>IF(C$3&lt;5,0,VLOOKUP(B5,'Gear Leveling &amp; Effects'!$S$11:$U$29,2,FALSE)+VLOOKUP(B5,'Gear Leveling &amp; Effects'!$S$11:$U$29,3,FALSE)*(C$3-5))</f>
        <v>11</v>
      </c>
      <c r="E5" s="204" t="str">
        <f>VLOOKUP($B$2,Range!$AW$2:$BC$93,4)</f>
        <v>Attack</v>
      </c>
      <c r="F5" s="205">
        <f>VLOOKUP($B$2,Range!$AW$2:$BC$93,5)</f>
        <v>5</v>
      </c>
      <c r="I5" s="199"/>
      <c r="M5" s="200"/>
    </row>
    <row r="6">
      <c r="B6" s="201" t="s">
        <v>48</v>
      </c>
      <c r="C6" s="206"/>
      <c r="D6" s="207">
        <f>IF(C$3&lt;20,0,VLOOKUP(B6,'Gear Leveling &amp; Effects'!$S$11:$U$29,2,FALSE)+VLOOKUP(B6,'Gear Leveling &amp; Effects'!$S$11:$U$29,3,FALSE)*(C$3-5))</f>
        <v>170</v>
      </c>
      <c r="E6" s="208" t="str">
        <f>VLOOKUP($B$2,Range!$AW$2:$BC$93,6)</f>
        <v>Attack</v>
      </c>
      <c r="F6" s="209">
        <f>VLOOKUP($B$2,Range!$AW$2:$BC$93,7)</f>
        <v>10</v>
      </c>
      <c r="I6" s="199"/>
      <c r="M6" s="200"/>
    </row>
    <row r="7">
      <c r="B7" s="201" t="s">
        <v>61</v>
      </c>
      <c r="C7" s="202"/>
      <c r="D7" s="210">
        <f>IF(C$3&lt;40,0,VLOOKUP(B7,'Gear Leveling &amp; Effects'!$S$11:$U$29,2,FALSE)+VLOOKUP(B7,'Gear Leveling &amp; Effects'!$S$11:$U$29,3,FALSE)*(C$3-5))</f>
        <v>25</v>
      </c>
      <c r="E7" s="211" t="s">
        <v>475</v>
      </c>
      <c r="F7" s="212" t="s">
        <v>473</v>
      </c>
      <c r="I7" s="199"/>
      <c r="M7" s="200"/>
    </row>
    <row r="8">
      <c r="B8" s="213" t="s">
        <v>476</v>
      </c>
      <c r="C8" s="189">
        <v>40.0</v>
      </c>
      <c r="D8" s="188" t="s">
        <v>24</v>
      </c>
      <c r="E8" s="214" t="s">
        <v>78</v>
      </c>
      <c r="F8" s="215">
        <f>vlookup(E8,Range!$AS$2:$AT$32,2,false)</f>
        <v>6</v>
      </c>
      <c r="I8" s="199"/>
      <c r="M8" s="200"/>
    </row>
    <row r="9">
      <c r="B9" s="194" t="str">
        <f>VLOOKUP(B2,Range!AW2:BH93,9)</f>
        <v>Health</v>
      </c>
      <c r="C9" s="195"/>
      <c r="D9" s="216">
        <f>VLOOKUP(B9,Range!BC123:BD126,2,FALSE)</f>
        <v>2150</v>
      </c>
      <c r="E9" s="214" t="s">
        <v>74</v>
      </c>
      <c r="F9" s="217">
        <f>vlookup(E9,Range!$AS$2:$AT$32,2,false)</f>
        <v>4</v>
      </c>
      <c r="I9" s="218"/>
      <c r="J9" s="219"/>
      <c r="K9" s="219"/>
      <c r="L9" s="219"/>
      <c r="M9" s="220"/>
    </row>
    <row r="10">
      <c r="B10" s="201" t="s">
        <v>48</v>
      </c>
      <c r="C10" s="202"/>
      <c r="D10" s="221">
        <f>IF(C$8&lt;5,0,VLOOKUP(B10,'Gear Leveling &amp; Effects'!$S$11:$U$29,2,FALSE)+VLOOKUP(B10,'Gear Leveling &amp; Effects'!$S$11:$U$29,3,FALSE)*(C$8-5))</f>
        <v>170</v>
      </c>
      <c r="E10" s="214" t="s">
        <v>104</v>
      </c>
      <c r="F10" s="217">
        <f>vlookup(E10,Range!$AS$2:$AT$32,2,false)</f>
        <v>20</v>
      </c>
      <c r="I10" s="222" t="s">
        <v>477</v>
      </c>
      <c r="J10" s="103"/>
      <c r="K10" s="103"/>
      <c r="L10" s="103"/>
      <c r="M10" s="187"/>
    </row>
    <row r="11">
      <c r="A11" s="86"/>
      <c r="B11" s="201" t="s">
        <v>61</v>
      </c>
      <c r="C11" s="206"/>
      <c r="D11" s="223">
        <f>IF(C$8&lt;20,0,VLOOKUP(B11,'Gear Leveling &amp; Effects'!$S$11:$U$29,2,FALSE)+VLOOKUP(B11,'Gear Leveling &amp; Effects'!$S$11:$U$29,3,FALSE)*(C$8-5))</f>
        <v>25</v>
      </c>
      <c r="E11" s="214" t="s">
        <v>104</v>
      </c>
      <c r="F11" s="224">
        <f>vlookup(E11,Range!$AS$2:$AT$32,2,false)</f>
        <v>20</v>
      </c>
      <c r="M11" s="86"/>
      <c r="N11" s="86"/>
    </row>
    <row r="12">
      <c r="A12" s="86"/>
      <c r="B12" s="225" t="s">
        <v>97</v>
      </c>
      <c r="C12" s="202"/>
      <c r="D12" s="226">
        <f>IF(C$8&lt;40,0,VLOOKUP(B12,'Gear Leveling &amp; Effects'!$S$11:$U$29,2,FALSE)+VLOOKUP(B12,'Gear Leveling &amp; Effects'!$S$11:$U$29,3,FALSE)*(C$8-5))</f>
        <v>11</v>
      </c>
      <c r="E12" s="214" t="s">
        <v>134</v>
      </c>
      <c r="F12" s="227">
        <f>vlookup(E12,Range!$AS$2:$AT$32,2,false)</f>
        <v>12</v>
      </c>
      <c r="M12" s="86"/>
      <c r="N12" s="86"/>
    </row>
    <row r="13">
      <c r="A13" s="86"/>
      <c r="B13" s="213" t="s">
        <v>478</v>
      </c>
      <c r="C13" s="189">
        <v>40.0</v>
      </c>
      <c r="D13" s="188" t="s">
        <v>24</v>
      </c>
      <c r="E13" s="214" t="s">
        <v>82</v>
      </c>
      <c r="F13" s="228">
        <f>vlookup(E13,Range!$AS$2:$AT$32,2,false)</f>
        <v>12</v>
      </c>
      <c r="G13" s="229"/>
      <c r="I13" s="193" t="s">
        <v>479</v>
      </c>
      <c r="J13" s="182"/>
      <c r="K13" s="182"/>
      <c r="L13" s="182"/>
      <c r="M13" s="183"/>
      <c r="N13" s="86"/>
    </row>
    <row r="14">
      <c r="A14" s="86"/>
      <c r="B14" s="194" t="str">
        <f>VLOOKUP(B2,Range!AW2:BH93,10)</f>
        <v>Attack</v>
      </c>
      <c r="C14" s="195"/>
      <c r="D14" s="230">
        <f>VLOOKUP(B14,Range!BC134:BD137,2,FALSE)</f>
        <v>205</v>
      </c>
      <c r="E14" s="211" t="s">
        <v>480</v>
      </c>
      <c r="F14" s="231" t="s">
        <v>24</v>
      </c>
      <c r="G14" s="211" t="s">
        <v>481</v>
      </c>
      <c r="I14" s="199"/>
      <c r="M14" s="200"/>
      <c r="N14" s="86"/>
    </row>
    <row r="15">
      <c r="A15" s="86"/>
      <c r="B15" s="201" t="s">
        <v>54</v>
      </c>
      <c r="C15" s="202"/>
      <c r="D15" s="203">
        <f>IF(C$13&lt;5,0,VLOOKUP(B15,'Gear Leveling &amp; Effects'!$S$11:$U$29,2,FALSE)+VLOOKUP(B15,'Gear Leveling &amp; Effects'!$S$11:$U$29,3,FALSE)*(C$13-5))</f>
        <v>11</v>
      </c>
      <c r="E15" s="204" t="s">
        <v>482</v>
      </c>
      <c r="F15" s="232">
        <f>C38+Range!BE97</f>
        <v>0</v>
      </c>
      <c r="G15" s="233" t="s">
        <v>483</v>
      </c>
      <c r="I15" s="199"/>
      <c r="M15" s="200"/>
      <c r="N15" s="86"/>
    </row>
    <row r="16">
      <c r="B16" s="225" t="s">
        <v>83</v>
      </c>
      <c r="C16" s="206"/>
      <c r="D16" s="223">
        <f>IF(C$13&lt;20,0,VLOOKUP(B16,'Gear Leveling &amp; Effects'!$S$11:$U$29,2,FALSE)+VLOOKUP(B16,'Gear Leveling &amp; Effects'!$S$11:$U$29,3,FALSE)*(C$13-5))</f>
        <v>11</v>
      </c>
      <c r="E16" s="234" t="s">
        <v>484</v>
      </c>
      <c r="F16" s="235">
        <f>SUM(Range!BB112,Range!BB123,Range!BB134,Range!BB145,Range!BB156,Range!BD114,Range!BD125,Range!BD136,Range!BD147,Range!BD158)</f>
        <v>1135</v>
      </c>
      <c r="G16" s="236" t="s">
        <v>483</v>
      </c>
      <c r="I16" s="199"/>
      <c r="M16" s="200"/>
    </row>
    <row r="17">
      <c r="B17" s="225" t="s">
        <v>48</v>
      </c>
      <c r="C17" s="202"/>
      <c r="D17" s="237">
        <f>IF(C$13&lt;40,0,VLOOKUP(B17,'Gear Leveling &amp; Effects'!$S$11:$U$29,2,FALSE)+VLOOKUP(B17,'Gear Leveling &amp; Effects'!$S$11:$U$29,3,FALSE)*(C$13-5))</f>
        <v>170</v>
      </c>
      <c r="E17" s="234" t="s">
        <v>485</v>
      </c>
      <c r="F17" s="238">
        <f>Range!BE98</f>
        <v>0</v>
      </c>
      <c r="G17" s="236" t="s">
        <v>483</v>
      </c>
      <c r="I17" s="199"/>
      <c r="M17" s="200"/>
    </row>
    <row r="18">
      <c r="B18" s="239" t="s">
        <v>486</v>
      </c>
      <c r="C18" s="189">
        <v>50.0</v>
      </c>
      <c r="D18" s="240" t="s">
        <v>24</v>
      </c>
      <c r="E18" s="234" t="s">
        <v>487</v>
      </c>
      <c r="F18" s="238">
        <f>Range!AV106</f>
        <v>15</v>
      </c>
      <c r="G18" s="236" t="s">
        <v>483</v>
      </c>
      <c r="I18" s="199"/>
      <c r="M18" s="200"/>
    </row>
    <row r="19">
      <c r="B19" s="194" t="str">
        <f>VLOOKUP(B2,Range!AW2:BH93,11)</f>
        <v>Health</v>
      </c>
      <c r="C19" s="195"/>
      <c r="D19" s="216">
        <f>VLOOKUP(B19,Range!BC145:BD148,2,FALSE)</f>
        <v>2650</v>
      </c>
      <c r="E19" s="234" t="s">
        <v>488</v>
      </c>
      <c r="F19" s="235">
        <f>C34+Range!BE99</f>
        <v>25</v>
      </c>
      <c r="G19" s="236" t="s">
        <v>483</v>
      </c>
      <c r="H19" s="86"/>
      <c r="I19" s="218"/>
      <c r="J19" s="219"/>
      <c r="K19" s="219"/>
      <c r="L19" s="219"/>
      <c r="M19" s="220"/>
    </row>
    <row r="20">
      <c r="B20" s="201" t="s">
        <v>83</v>
      </c>
      <c r="C20" s="202"/>
      <c r="D20" s="203">
        <f>IF(C$18&lt;5,0,VLOOKUP(B20,'Gear Leveling &amp; Effects'!$S$11:$U$29,2,FALSE)+VLOOKUP(B20,'Gear Leveling &amp; Effects'!$S$11:$U$29,3,FALSE)*(C$18-5))</f>
        <v>13</v>
      </c>
      <c r="E20" s="241" t="s">
        <v>43</v>
      </c>
      <c r="F20" s="242">
        <f>SUM(C30,Range!AV99,Range!BE100,Range!BB113,Range!BB124,Range!BB135,Range!BB146,Range!BB157,Range!BD115,Range!BD126,Range!BD137,Range!BD148,Range!BD159)</f>
        <v>61</v>
      </c>
      <c r="G20" s="236" t="s">
        <v>483</v>
      </c>
      <c r="H20" s="86"/>
      <c r="I20" s="222" t="s">
        <v>489</v>
      </c>
      <c r="J20" s="103"/>
      <c r="K20" s="103"/>
      <c r="L20" s="103"/>
      <c r="M20" s="187"/>
    </row>
    <row r="21">
      <c r="B21" s="201" t="s">
        <v>97</v>
      </c>
      <c r="C21" s="206"/>
      <c r="D21" s="223">
        <f>IF(C$18&lt;20,0,VLOOKUP(B21,'Gear Leveling &amp; Effects'!$S$11:$U$29,2,FALSE)+VLOOKUP(B21,'Gear Leveling &amp; Effects'!$S$11:$U$29,3,FALSE)*(C$18-5))</f>
        <v>13</v>
      </c>
      <c r="E21" s="241" t="s">
        <v>490</v>
      </c>
      <c r="F21" s="243">
        <f>C31+SUM(Range!AV103,Range!BE101,Range!BB114,Range!BB125,Range!BB136,Range!BB147,Range!BB158)</f>
        <v>250</v>
      </c>
      <c r="G21" s="236" t="s">
        <v>483</v>
      </c>
      <c r="H21" s="86"/>
      <c r="I21" s="86"/>
      <c r="J21" s="86"/>
      <c r="K21" s="86"/>
      <c r="L21" s="86"/>
      <c r="M21" s="86"/>
    </row>
    <row r="22">
      <c r="A22" s="86"/>
      <c r="B22" s="201" t="s">
        <v>48</v>
      </c>
      <c r="C22" s="202"/>
      <c r="D22" s="244">
        <f>IF(C$18&lt;40,0,VLOOKUP(B22,'Gear Leveling &amp; Effects'!$S$11:$U$29,2,FALSE)+VLOOKUP(B22,'Gear Leveling &amp; Effects'!$S$11:$U$29,3,FALSE)*(C$18-5))</f>
        <v>210</v>
      </c>
      <c r="E22" s="241" t="s">
        <v>491</v>
      </c>
      <c r="F22" s="242">
        <f>SUM(Range!AV100,Range!BB115,Range!BB126,Range!BB137,Range!BB148,Range!BB159)</f>
        <v>0</v>
      </c>
      <c r="G22" s="236" t="s">
        <v>483</v>
      </c>
      <c r="H22" s="86"/>
      <c r="I22" s="245"/>
      <c r="J22" s="245"/>
      <c r="K22" s="245"/>
      <c r="L22" s="245"/>
      <c r="M22" s="245"/>
      <c r="N22" s="86"/>
    </row>
    <row r="23">
      <c r="A23" s="86"/>
      <c r="B23" s="188" t="s">
        <v>492</v>
      </c>
      <c r="C23" s="246">
        <v>50.0</v>
      </c>
      <c r="D23" s="247" t="s">
        <v>24</v>
      </c>
      <c r="E23" s="241" t="s">
        <v>493</v>
      </c>
      <c r="F23" s="248">
        <f>Range!BE102</f>
        <v>40</v>
      </c>
      <c r="G23" s="236" t="s">
        <v>483</v>
      </c>
      <c r="H23" s="86"/>
      <c r="I23" s="245"/>
      <c r="J23" s="245"/>
      <c r="K23" s="245"/>
      <c r="L23" s="245"/>
      <c r="M23" s="245"/>
      <c r="N23" s="86"/>
    </row>
    <row r="24">
      <c r="A24" s="86"/>
      <c r="B24" s="194" t="str">
        <f>VLOOKUP(B2,Range!AW2:BH93,12)</f>
        <v>Critical Attack Chance %</v>
      </c>
      <c r="C24" s="195"/>
      <c r="D24" s="223">
        <f>VLOOKUP(B24,Range!BC156:BD159,2,FALSE)</f>
        <v>18</v>
      </c>
      <c r="E24" s="241" t="s">
        <v>494</v>
      </c>
      <c r="F24" s="238">
        <f>C36+Range!BE103</f>
        <v>40</v>
      </c>
      <c r="G24" s="236" t="s">
        <v>495</v>
      </c>
      <c r="H24" s="86"/>
      <c r="I24" s="245"/>
      <c r="J24" s="245"/>
      <c r="K24" s="245"/>
      <c r="L24" s="245"/>
      <c r="M24" s="245"/>
      <c r="N24" s="86"/>
    </row>
    <row r="25">
      <c r="A25" s="86"/>
      <c r="B25" s="201" t="s">
        <v>48</v>
      </c>
      <c r="C25" s="202"/>
      <c r="D25" s="221">
        <f>IF(C$23&lt;5,0,VLOOKUP(B25,'Gear Leveling &amp; Effects'!$S$11:$U$29,2,FALSE)+VLOOKUP(B25,'Gear Leveling &amp; Effects'!$S$11:$U$29,3,FALSE)*(C$23-5))</f>
        <v>210</v>
      </c>
      <c r="E25" s="234" t="s">
        <v>42</v>
      </c>
      <c r="F25" s="242">
        <f>SUM(C29,Range!AV97,Range!BE104,Range!BB116,Range!BB127,Range!BB138,Range!BB149,Range!BB160,Range!BD112,Range!BD123,Range!BD134,Range!BD145,Range!BD156)</f>
        <v>15</v>
      </c>
      <c r="G25" s="236" t="s">
        <v>483</v>
      </c>
      <c r="H25" s="86"/>
      <c r="I25" s="245"/>
      <c r="J25" s="245"/>
      <c r="K25" s="245"/>
      <c r="L25" s="245"/>
      <c r="M25" s="245"/>
      <c r="N25" s="86"/>
    </row>
    <row r="26">
      <c r="A26" s="86"/>
      <c r="B26" s="201" t="s">
        <v>61</v>
      </c>
      <c r="C26" s="206"/>
      <c r="D26" s="223">
        <f>IF(C$23&lt;20,0,VLOOKUP(B26,'Gear Leveling &amp; Effects'!$S$11:$U$29,2,FALSE)+VLOOKUP(B26,'Gear Leveling &amp; Effects'!$S$11:$U$29,3,FALSE)*(C$23-5))</f>
        <v>30</v>
      </c>
      <c r="E26" s="234" t="s">
        <v>496</v>
      </c>
      <c r="F26" s="243">
        <f>SUM(C32,Range!AV101,Range!BB117,Range!BB128,Range!BB139,Range!BB150,Range!BB161)</f>
        <v>36</v>
      </c>
      <c r="G26" s="236" t="s">
        <v>483</v>
      </c>
      <c r="H26" s="86"/>
      <c r="I26" s="245"/>
      <c r="J26" s="245"/>
      <c r="K26" s="245"/>
      <c r="L26" s="245"/>
      <c r="M26" s="245"/>
      <c r="N26" s="86"/>
    </row>
    <row r="27">
      <c r="A27" s="86"/>
      <c r="B27" s="249" t="s">
        <v>97</v>
      </c>
      <c r="C27" s="250"/>
      <c r="D27" s="226">
        <f>IF(C$23&lt;40,0,VLOOKUP(B27,'Gear Leveling &amp; Effects'!$S$11:$U$29,2,FALSE)+VLOOKUP(B27,'Gear Leveling &amp; Effects'!$S$11:$U$29,3,FALSE)*(C$23-5))</f>
        <v>13</v>
      </c>
      <c r="E27" s="234" t="s">
        <v>497</v>
      </c>
      <c r="F27" s="235">
        <f>SUM(Range!BB118,Range!BB129,Range!BB140,Range!BB151,Range!BB162,Range!BD113,Range!BD124,Range!BD135,Range!BD146,Range!BD157)</f>
        <v>4800</v>
      </c>
      <c r="G27" s="236" t="s">
        <v>483</v>
      </c>
      <c r="H27" s="86"/>
      <c r="I27" s="86"/>
      <c r="J27" s="86"/>
      <c r="K27" s="86"/>
      <c r="L27" s="86"/>
      <c r="M27" s="86"/>
      <c r="N27" s="86"/>
    </row>
    <row r="28">
      <c r="A28" s="251"/>
      <c r="B28" s="252" t="s">
        <v>498</v>
      </c>
      <c r="C28" s="253" t="s">
        <v>24</v>
      </c>
      <c r="D28" s="254"/>
      <c r="E28" s="234" t="s">
        <v>499</v>
      </c>
      <c r="F28" s="238">
        <f>Range!BE105</f>
        <v>0</v>
      </c>
      <c r="G28" s="236" t="s">
        <v>483</v>
      </c>
      <c r="H28" s="86"/>
      <c r="I28" s="86"/>
      <c r="J28" s="86"/>
      <c r="M28" s="86"/>
      <c r="N28" s="251"/>
    </row>
    <row r="29">
      <c r="A29" s="86"/>
      <c r="B29" s="255" t="s">
        <v>42</v>
      </c>
      <c r="C29" s="256">
        <f>VLOOKUP(B2,'Card Data'!$A$3:$K$94,2,FALSE)</f>
        <v>0</v>
      </c>
      <c r="D29" s="257"/>
      <c r="E29" s="234" t="s">
        <v>500</v>
      </c>
      <c r="F29" s="238">
        <f>Range!AV105</f>
        <v>0</v>
      </c>
      <c r="G29" s="236" t="s">
        <v>483</v>
      </c>
      <c r="H29" s="86"/>
      <c r="I29" s="258"/>
      <c r="J29" s="86"/>
      <c r="M29" s="86"/>
      <c r="N29" s="86"/>
    </row>
    <row r="30">
      <c r="A30" s="86"/>
      <c r="B30" s="259" t="s">
        <v>43</v>
      </c>
      <c r="C30" s="260">
        <f>VLOOKUP(B2,'Card Data'!$A$3:$K$94,7,FALSE)</f>
        <v>10</v>
      </c>
      <c r="D30" s="261"/>
      <c r="E30" s="234" t="s">
        <v>501</v>
      </c>
      <c r="F30" s="235">
        <f>Range!BE106</f>
        <v>0</v>
      </c>
      <c r="G30" s="236" t="s">
        <v>495</v>
      </c>
      <c r="H30" s="86"/>
      <c r="I30" s="86"/>
      <c r="J30" s="86"/>
      <c r="M30" s="86"/>
      <c r="N30" s="86"/>
    </row>
    <row r="31">
      <c r="A31" s="86"/>
      <c r="B31" s="255" t="s">
        <v>490</v>
      </c>
      <c r="C31" s="262">
        <f>VLOOKUP(B2,'Card Data'!$A$3:$K$94,8,FALSE)</f>
        <v>150</v>
      </c>
      <c r="D31" s="257"/>
      <c r="E31" s="234" t="s">
        <v>502</v>
      </c>
      <c r="F31" s="243">
        <f>SUM(C33,Range!BE108,Range!AV104,Range!BB119,Range!BB130,Range!BB141,Range!BB152,Range!BB163)</f>
        <v>50</v>
      </c>
      <c r="G31" s="236" t="s">
        <v>483</v>
      </c>
      <c r="H31" s="86"/>
      <c r="I31" s="86"/>
      <c r="J31" s="86"/>
      <c r="M31" s="86"/>
      <c r="N31" s="86"/>
    </row>
    <row r="32">
      <c r="A32" s="86"/>
      <c r="B32" s="263" t="s">
        <v>496</v>
      </c>
      <c r="C32" s="260">
        <f>VLOOKUP(B2,'Card Data'!$A$3:$K$94,9,FALSE)</f>
        <v>1</v>
      </c>
      <c r="D32" s="261"/>
      <c r="E32" s="234" t="s">
        <v>503</v>
      </c>
      <c r="F32" s="235">
        <f>Range!AV102</f>
        <v>0</v>
      </c>
      <c r="G32" s="236" t="s">
        <v>495</v>
      </c>
      <c r="H32" s="86"/>
      <c r="I32" s="86"/>
      <c r="J32" s="86"/>
      <c r="M32" s="86"/>
      <c r="N32" s="86"/>
    </row>
    <row r="33">
      <c r="A33" s="86"/>
      <c r="B33" s="255" t="s">
        <v>502</v>
      </c>
      <c r="C33" s="264">
        <f>VLOOKUP(B2,'Card Data'!$A$3:$K$94,10,FALSE)</f>
        <v>1</v>
      </c>
      <c r="D33" s="257"/>
      <c r="E33" s="265" t="s">
        <v>504</v>
      </c>
      <c r="F33" s="266">
        <f>SUM(Range!AV98,Range!BB120,Range!BB131,Range!BB142,Range!BB153,Range!BB164)</f>
        <v>0</v>
      </c>
      <c r="G33" s="267" t="s">
        <v>483</v>
      </c>
      <c r="H33" s="86"/>
      <c r="I33" s="86"/>
      <c r="J33" s="86"/>
      <c r="M33" s="86"/>
      <c r="N33" s="86"/>
    </row>
    <row r="34">
      <c r="A34" s="86"/>
      <c r="B34" s="263" t="s">
        <v>505</v>
      </c>
      <c r="C34" s="268">
        <f>VLOOKUP(B2,'Card Data'!$A$3:$K$94,3,FALSE)</f>
        <v>25</v>
      </c>
      <c r="D34" s="269"/>
      <c r="E34" s="270" t="s">
        <v>506</v>
      </c>
      <c r="F34" s="271">
        <f>Range!BE107</f>
        <v>40</v>
      </c>
      <c r="G34" s="272" t="s">
        <v>483</v>
      </c>
      <c r="H34" s="86"/>
      <c r="I34" s="86"/>
      <c r="J34" s="86"/>
      <c r="M34" s="86"/>
      <c r="N34" s="86"/>
    </row>
    <row r="35">
      <c r="A35" s="86"/>
      <c r="B35" s="273" t="s">
        <v>507</v>
      </c>
      <c r="C35" s="274">
        <f>VLOOKUP(B2,'Card Data'!$A$3:$K$94,4,FALSE)</f>
        <v>0</v>
      </c>
      <c r="D35" s="275"/>
      <c r="E35" s="276" t="s">
        <v>508</v>
      </c>
      <c r="F35" s="182"/>
      <c r="G35" s="183"/>
      <c r="H35" s="86"/>
      <c r="I35" s="86"/>
      <c r="J35" s="86"/>
      <c r="M35" s="86"/>
      <c r="N35" s="86"/>
    </row>
    <row r="36">
      <c r="A36" s="86"/>
      <c r="B36" s="263" t="s">
        <v>494</v>
      </c>
      <c r="C36" s="268">
        <f>VLOOKUP(B2,'Card Data'!$A$3:$K$94,5,FALSE)</f>
        <v>0</v>
      </c>
      <c r="D36" s="269"/>
      <c r="E36" s="199"/>
      <c r="G36" s="200"/>
      <c r="H36" s="86"/>
    </row>
    <row r="37">
      <c r="A37" s="86"/>
      <c r="B37" s="255" t="s">
        <v>509</v>
      </c>
      <c r="C37" s="264">
        <f>VLOOKUP(B2,'Card Data'!$A$3:$K$94,6,FALSE)</f>
        <v>15</v>
      </c>
      <c r="D37" s="257"/>
      <c r="E37" s="199"/>
      <c r="G37" s="200"/>
      <c r="H37" s="86"/>
    </row>
    <row r="38">
      <c r="A38" s="86"/>
      <c r="B38" s="277" t="s">
        <v>510</v>
      </c>
      <c r="C38" s="278">
        <f>VLOOKUP(B2,'Card Data'!$A$3:$K$94,11,FALSE)</f>
        <v>0</v>
      </c>
      <c r="D38" s="279"/>
      <c r="E38" s="199"/>
      <c r="G38" s="200"/>
      <c r="H38" s="86"/>
    </row>
    <row r="39">
      <c r="A39" s="86"/>
      <c r="E39" s="199"/>
      <c r="G39" s="200"/>
      <c r="H39" s="86"/>
      <c r="I39" s="86"/>
      <c r="J39" s="86"/>
      <c r="M39" s="86"/>
      <c r="N39" s="86"/>
    </row>
    <row r="40">
      <c r="A40" s="86"/>
      <c r="E40" s="218"/>
      <c r="F40" s="219"/>
      <c r="G40" s="220"/>
      <c r="H40" s="86"/>
      <c r="I40" s="86"/>
      <c r="J40" s="86"/>
      <c r="M40" s="86"/>
      <c r="N40" s="86"/>
    </row>
    <row r="41">
      <c r="A41" s="86"/>
      <c r="E41" s="280"/>
      <c r="F41" s="280"/>
      <c r="G41" s="280"/>
      <c r="H41" s="86"/>
      <c r="I41" s="86"/>
      <c r="J41" s="86"/>
      <c r="M41" s="86"/>
      <c r="N41" s="86"/>
    </row>
    <row r="42" ht="37.5" customHeight="1">
      <c r="A42" s="86"/>
      <c r="B42" s="280" t="s">
        <v>511</v>
      </c>
      <c r="N42" s="86"/>
    </row>
    <row r="43" ht="37.5" customHeight="1">
      <c r="A43" s="86"/>
      <c r="N43" s="86"/>
    </row>
    <row r="44" ht="37.5" customHeight="1">
      <c r="A44" s="86"/>
      <c r="H44" s="86"/>
      <c r="I44" s="86"/>
      <c r="J44" s="86"/>
      <c r="M44" s="86"/>
      <c r="N44" s="86"/>
    </row>
    <row r="45">
      <c r="A45" s="86"/>
      <c r="B45" s="86"/>
      <c r="C45" s="86"/>
      <c r="D45" s="86"/>
      <c r="H45" s="86"/>
      <c r="I45" s="86"/>
      <c r="J45" s="86"/>
      <c r="M45" s="86"/>
      <c r="N45" s="86"/>
    </row>
  </sheetData>
  <mergeCells count="39">
    <mergeCell ref="I10:M10"/>
    <mergeCell ref="I13:M19"/>
    <mergeCell ref="I20:M20"/>
    <mergeCell ref="B1:F1"/>
    <mergeCell ref="B2:F2"/>
    <mergeCell ref="I3:M9"/>
    <mergeCell ref="B4:C4"/>
    <mergeCell ref="B5:C5"/>
    <mergeCell ref="B6:C6"/>
    <mergeCell ref="B7:C7"/>
    <mergeCell ref="B9:C9"/>
    <mergeCell ref="B10:C10"/>
    <mergeCell ref="B11:C11"/>
    <mergeCell ref="B12:C12"/>
    <mergeCell ref="B14:C14"/>
    <mergeCell ref="B15:C15"/>
    <mergeCell ref="B16:C16"/>
    <mergeCell ref="B17:C17"/>
    <mergeCell ref="B19:C19"/>
    <mergeCell ref="B20:C20"/>
    <mergeCell ref="B21:C21"/>
    <mergeCell ref="B22:C22"/>
    <mergeCell ref="B24:C24"/>
    <mergeCell ref="B25:C25"/>
    <mergeCell ref="C33:D33"/>
    <mergeCell ref="C34:D34"/>
    <mergeCell ref="C35:D35"/>
    <mergeCell ref="E35:G40"/>
    <mergeCell ref="C36:D36"/>
    <mergeCell ref="C37:D37"/>
    <mergeCell ref="C38:D38"/>
    <mergeCell ref="B42:G44"/>
    <mergeCell ref="B26:C26"/>
    <mergeCell ref="B27:C27"/>
    <mergeCell ref="C28:D28"/>
    <mergeCell ref="C29:D29"/>
    <mergeCell ref="C30:D30"/>
    <mergeCell ref="C31:D31"/>
    <mergeCell ref="C32:D32"/>
  </mergeCells>
  <conditionalFormatting sqref="F21">
    <cfRule type="cellIs" dxfId="3" priority="1" operator="greaterThan">
      <formula>310</formula>
    </cfRule>
  </conditionalFormatting>
  <conditionalFormatting sqref="F25">
    <cfRule type="cellIs" dxfId="3" priority="2" operator="greaterThan">
      <formula>80</formula>
    </cfRule>
  </conditionalFormatting>
  <conditionalFormatting sqref="F22:F24 F34">
    <cfRule type="cellIs" dxfId="3" priority="3" operator="greaterThan">
      <formula>90</formula>
    </cfRule>
  </conditionalFormatting>
  <conditionalFormatting sqref="F26">
    <cfRule type="cellIs" dxfId="3" priority="4" operator="greaterThanOrEqual">
      <formula>80</formula>
    </cfRule>
  </conditionalFormatting>
  <conditionalFormatting sqref="F31">
    <cfRule type="cellIs" dxfId="3" priority="5" operator="greaterThan">
      <formula>65</formula>
    </cfRule>
  </conditionalFormatting>
  <conditionalFormatting sqref="F20">
    <cfRule type="cellIs" dxfId="3" priority="6" operator="greaterThanOrEqual">
      <formula>80</formula>
    </cfRule>
  </conditionalFormatting>
  <conditionalFormatting sqref="F15">
    <cfRule type="cellIs" dxfId="3" priority="7" operator="greaterThan">
      <formula>104</formula>
    </cfRule>
  </conditionalFormatting>
  <conditionalFormatting sqref="F19">
    <cfRule type="cellIs" dxfId="3" priority="8" operator="greaterThan">
      <formula>80</formula>
    </cfRule>
  </conditionalFormatting>
  <dataValidations>
    <dataValidation type="list" allowBlank="1" showErrorMessage="1" sqref="B5:B7 B10:B12 B15:B17 B20:B22 B25:B27">
      <formula1>Range!$AU$2:$AU$20</formula1>
    </dataValidation>
    <dataValidation type="list" allowBlank="1" showErrorMessage="1" sqref="B2">
      <formula1>Range!$AW$2:$AW$93</formula1>
    </dataValidation>
    <dataValidation type="list" allowBlank="1" showErrorMessage="1" sqref="E8:E13">
      <formula1>Range!$AS$2:$AS$32</formula1>
    </dataValidation>
    <dataValidation type="list" allowBlank="1" sqref="C3 C8 C13 C18 C23">
      <formula1>Range!$AL$2:$AL$71</formula1>
    </dataValidation>
  </dataValidations>
  <hyperlinks>
    <hyperlink r:id="rId2" ref="I10"/>
    <hyperlink r:id="rId3" ref="I20"/>
  </hyperlinks>
  <drawing r:id="rId4"/>
  <legacyDrawing r:id="rId5"/>
  <tableParts count="4">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10.86"/>
    <col customWidth="1" min="4" max="4" width="11.14"/>
    <col customWidth="1" min="5" max="5" width="13.57"/>
    <col customWidth="1" min="6" max="6" width="10.86"/>
    <col customWidth="1" min="7" max="7" width="12.29"/>
    <col customWidth="1" min="8" max="10" width="10.86"/>
    <col customWidth="1" min="11" max="11" width="14.29"/>
    <col customWidth="1" min="12" max="12" width="10.86"/>
    <col customWidth="1" min="13" max="13" width="12.29"/>
    <col customWidth="1" min="14" max="18" width="10.86"/>
    <col customWidth="1" min="19" max="19" width="28.86"/>
    <col customWidth="1" min="20" max="22" width="21.57"/>
    <col customWidth="1" min="23" max="23" width="23.14"/>
  </cols>
  <sheetData>
    <row r="1">
      <c r="A1" s="10" t="s">
        <v>512</v>
      </c>
      <c r="B1" s="281" t="s">
        <v>513</v>
      </c>
      <c r="C1" s="282" t="s">
        <v>514</v>
      </c>
      <c r="D1" s="282" t="s">
        <v>515</v>
      </c>
      <c r="E1" s="282" t="s">
        <v>516</v>
      </c>
      <c r="F1" s="282" t="s">
        <v>517</v>
      </c>
      <c r="G1" s="282" t="s">
        <v>518</v>
      </c>
      <c r="H1" s="282" t="s">
        <v>513</v>
      </c>
      <c r="I1" s="282" t="s">
        <v>514</v>
      </c>
      <c r="J1" s="282" t="s">
        <v>515</v>
      </c>
      <c r="K1" s="282" t="s">
        <v>516</v>
      </c>
      <c r="L1" s="282" t="s">
        <v>517</v>
      </c>
      <c r="M1" s="283" t="s">
        <v>518</v>
      </c>
      <c r="N1" s="284"/>
      <c r="O1" s="285" t="s">
        <v>519</v>
      </c>
      <c r="P1" s="286" t="s">
        <v>520</v>
      </c>
      <c r="Q1" s="287" t="s">
        <v>521</v>
      </c>
      <c r="S1" s="124" t="s">
        <v>522</v>
      </c>
      <c r="T1" s="103"/>
      <c r="U1" s="103"/>
      <c r="V1" s="103"/>
      <c r="W1" s="187"/>
    </row>
    <row r="2">
      <c r="A2" s="288"/>
      <c r="B2" s="289">
        <v>1.0</v>
      </c>
      <c r="C2" s="290">
        <f t="shared" ref="C2:C36" si="1">20*B2</f>
        <v>20</v>
      </c>
      <c r="D2" s="290">
        <v>20.0</v>
      </c>
      <c r="E2" s="290">
        <v>0.0</v>
      </c>
      <c r="F2" s="291">
        <f t="shared" ref="F2:F36" si="2">E2/K$36</f>
        <v>0</v>
      </c>
      <c r="G2" s="292" t="s">
        <v>37</v>
      </c>
      <c r="H2" s="293">
        <v>36.0</v>
      </c>
      <c r="I2" s="290">
        <f t="shared" ref="I2:I36" si="3">20*H2</f>
        <v>720</v>
      </c>
      <c r="J2" s="290">
        <v>3020.0</v>
      </c>
      <c r="K2" s="290">
        <f>E36+D36</f>
        <v>37040</v>
      </c>
      <c r="L2" s="291">
        <f t="shared" ref="L2:L36" si="4">K2/K$36</f>
        <v>0.1398263496</v>
      </c>
      <c r="M2" s="294">
        <f t="shared" ref="M2:M36" si="5">I2/K2</f>
        <v>0.01943844492</v>
      </c>
      <c r="N2" s="284"/>
      <c r="O2" s="295">
        <v>20.0</v>
      </c>
      <c r="P2" s="296">
        <f>sum(D2:D20)</f>
        <v>6820</v>
      </c>
      <c r="Q2" s="297">
        <f t="shared" ref="Q2:Q8" si="6">P2*5</f>
        <v>34100</v>
      </c>
      <c r="S2" s="298" t="s">
        <v>523</v>
      </c>
      <c r="T2" s="299" t="s">
        <v>42</v>
      </c>
      <c r="U2" s="299" t="s">
        <v>41</v>
      </c>
      <c r="V2" s="299" t="s">
        <v>40</v>
      </c>
      <c r="W2" s="300" t="s">
        <v>43</v>
      </c>
    </row>
    <row r="3">
      <c r="A3" s="288"/>
      <c r="B3" s="301">
        <v>2.0</v>
      </c>
      <c r="C3" s="5">
        <f t="shared" si="1"/>
        <v>40</v>
      </c>
      <c r="D3" s="5">
        <v>40.0</v>
      </c>
      <c r="E3" s="5">
        <f t="shared" ref="E3:E36" si="7">E2+D2</f>
        <v>20</v>
      </c>
      <c r="F3" s="4">
        <f t="shared" si="2"/>
        <v>0.00007550018875</v>
      </c>
      <c r="G3" s="4">
        <f t="shared" ref="G3:G36" si="8">C3/E3</f>
        <v>2</v>
      </c>
      <c r="H3" s="302">
        <v>37.0</v>
      </c>
      <c r="I3" s="5">
        <f t="shared" si="3"/>
        <v>740</v>
      </c>
      <c r="J3" s="5">
        <v>3180.0</v>
      </c>
      <c r="K3" s="5">
        <f t="shared" ref="K3:K36" si="9">K2+J2</f>
        <v>40060</v>
      </c>
      <c r="L3" s="4">
        <f t="shared" si="4"/>
        <v>0.1512268781</v>
      </c>
      <c r="M3" s="303">
        <f t="shared" si="5"/>
        <v>0.01847229156</v>
      </c>
      <c r="N3" s="284"/>
      <c r="O3" s="295">
        <v>30.0</v>
      </c>
      <c r="P3" s="296">
        <f>SUM(D2:D30)</f>
        <v>21960</v>
      </c>
      <c r="Q3" s="297">
        <f t="shared" si="6"/>
        <v>109800</v>
      </c>
      <c r="S3" s="304"/>
      <c r="T3" s="305"/>
      <c r="U3" s="305"/>
      <c r="V3" s="305"/>
      <c r="W3" s="306"/>
    </row>
    <row r="4">
      <c r="A4" s="288"/>
      <c r="B4" s="301">
        <v>3.0</v>
      </c>
      <c r="C4" s="5">
        <f t="shared" si="1"/>
        <v>60</v>
      </c>
      <c r="D4" s="5">
        <v>60.0</v>
      </c>
      <c r="E4" s="5">
        <f t="shared" si="7"/>
        <v>60</v>
      </c>
      <c r="F4" s="4">
        <f t="shared" si="2"/>
        <v>0.0002265005663</v>
      </c>
      <c r="G4" s="4">
        <f t="shared" si="8"/>
        <v>1</v>
      </c>
      <c r="H4" s="302">
        <v>38.0</v>
      </c>
      <c r="I4" s="5">
        <f t="shared" si="3"/>
        <v>760</v>
      </c>
      <c r="J4" s="5">
        <v>3340.0</v>
      </c>
      <c r="K4" s="5">
        <f t="shared" si="9"/>
        <v>43240</v>
      </c>
      <c r="L4" s="4">
        <f t="shared" si="4"/>
        <v>0.1632314081</v>
      </c>
      <c r="M4" s="303">
        <f t="shared" si="5"/>
        <v>0.01757631822</v>
      </c>
      <c r="N4" s="284"/>
      <c r="O4" s="295">
        <v>40.0</v>
      </c>
      <c r="P4" s="296">
        <f>sum(D2:D36,J2:J5)</f>
        <v>50100</v>
      </c>
      <c r="Q4" s="297">
        <f t="shared" si="6"/>
        <v>250500</v>
      </c>
      <c r="S4" s="113" t="s">
        <v>524</v>
      </c>
      <c r="T4" s="307">
        <v>3.3</v>
      </c>
      <c r="U4" s="308" t="s">
        <v>525</v>
      </c>
      <c r="V4" s="308" t="s">
        <v>526</v>
      </c>
      <c r="W4" s="309">
        <v>3.3</v>
      </c>
    </row>
    <row r="5">
      <c r="A5" s="288"/>
      <c r="B5" s="301">
        <v>4.0</v>
      </c>
      <c r="C5" s="5">
        <f t="shared" si="1"/>
        <v>80</v>
      </c>
      <c r="D5" s="5">
        <v>80.0</v>
      </c>
      <c r="E5" s="5">
        <f t="shared" si="7"/>
        <v>120</v>
      </c>
      <c r="F5" s="4">
        <f t="shared" si="2"/>
        <v>0.0004530011325</v>
      </c>
      <c r="G5" s="4">
        <f t="shared" si="8"/>
        <v>0.6666666667</v>
      </c>
      <c r="H5" s="302">
        <v>39.0</v>
      </c>
      <c r="I5" s="5">
        <f t="shared" si="3"/>
        <v>780</v>
      </c>
      <c r="J5" s="5">
        <v>3520.0</v>
      </c>
      <c r="K5" s="5">
        <f t="shared" si="9"/>
        <v>46580</v>
      </c>
      <c r="L5" s="4">
        <f t="shared" si="4"/>
        <v>0.1758399396</v>
      </c>
      <c r="M5" s="303">
        <f t="shared" si="5"/>
        <v>0.01674538429</v>
      </c>
      <c r="N5" s="284"/>
      <c r="O5" s="295">
        <v>50.0</v>
      </c>
      <c r="P5" s="310">
        <f>sum(D2:D36,J2:J15)</f>
        <v>98760</v>
      </c>
      <c r="Q5" s="297">
        <f t="shared" si="6"/>
        <v>493800</v>
      </c>
      <c r="S5" s="104" t="s">
        <v>527</v>
      </c>
      <c r="T5" s="311">
        <v>0.3</v>
      </c>
      <c r="U5" s="312" t="s">
        <v>528</v>
      </c>
      <c r="V5" s="312" t="s">
        <v>529</v>
      </c>
      <c r="W5" s="313">
        <v>0.3</v>
      </c>
    </row>
    <row r="6">
      <c r="A6" s="288"/>
      <c r="B6" s="301">
        <v>5.0</v>
      </c>
      <c r="C6" s="5">
        <f t="shared" si="1"/>
        <v>100</v>
      </c>
      <c r="D6" s="5">
        <v>100.0</v>
      </c>
      <c r="E6" s="5">
        <f t="shared" si="7"/>
        <v>200</v>
      </c>
      <c r="F6" s="4">
        <f t="shared" si="2"/>
        <v>0.0007550018875</v>
      </c>
      <c r="G6" s="4">
        <f t="shared" si="8"/>
        <v>0.5</v>
      </c>
      <c r="H6" s="302">
        <v>40.0</v>
      </c>
      <c r="I6" s="5">
        <f t="shared" si="3"/>
        <v>800</v>
      </c>
      <c r="J6" s="5">
        <v>4000.0</v>
      </c>
      <c r="K6" s="302">
        <f t="shared" si="9"/>
        <v>50100</v>
      </c>
      <c r="L6" s="4">
        <f t="shared" si="4"/>
        <v>0.1891279728</v>
      </c>
      <c r="M6" s="303">
        <f t="shared" si="5"/>
        <v>0.01596806387</v>
      </c>
      <c r="N6" s="284"/>
      <c r="O6" s="295">
        <v>55.0</v>
      </c>
      <c r="P6" s="310">
        <f>sum(D2:D36,J2:J20)</f>
        <v>131020</v>
      </c>
      <c r="Q6" s="297">
        <f t="shared" si="6"/>
        <v>655100</v>
      </c>
      <c r="S6" s="314" t="s">
        <v>530</v>
      </c>
      <c r="T6" s="315">
        <f t="shared" ref="T6:W6" si="10">T4+T5*($T$9-1)</f>
        <v>18</v>
      </c>
      <c r="U6" s="316">
        <f t="shared" si="10"/>
        <v>2650</v>
      </c>
      <c r="V6" s="316">
        <f t="shared" si="10"/>
        <v>255</v>
      </c>
      <c r="W6" s="317">
        <f t="shared" si="10"/>
        <v>18</v>
      </c>
    </row>
    <row r="7">
      <c r="A7" s="288"/>
      <c r="B7" s="301">
        <v>6.0</v>
      </c>
      <c r="C7" s="5">
        <f t="shared" si="1"/>
        <v>120</v>
      </c>
      <c r="D7" s="5">
        <v>120.0</v>
      </c>
      <c r="E7" s="5">
        <f t="shared" si="7"/>
        <v>300</v>
      </c>
      <c r="F7" s="4">
        <f t="shared" si="2"/>
        <v>0.001132502831</v>
      </c>
      <c r="G7" s="4">
        <f t="shared" si="8"/>
        <v>0.4</v>
      </c>
      <c r="H7" s="302">
        <v>41.0</v>
      </c>
      <c r="I7" s="5">
        <f t="shared" si="3"/>
        <v>820</v>
      </c>
      <c r="J7" s="5">
        <v>4180.0</v>
      </c>
      <c r="K7" s="5">
        <f t="shared" si="9"/>
        <v>54100</v>
      </c>
      <c r="L7" s="4">
        <f t="shared" si="4"/>
        <v>0.2042280106</v>
      </c>
      <c r="M7" s="303">
        <f t="shared" si="5"/>
        <v>0.01515711645</v>
      </c>
      <c r="N7" s="284"/>
      <c r="O7" s="295">
        <v>60.0</v>
      </c>
      <c r="P7" s="296">
        <f>sum(D2:D36,J2:J25)</f>
        <v>169220</v>
      </c>
      <c r="Q7" s="297">
        <f t="shared" si="6"/>
        <v>846100</v>
      </c>
      <c r="R7" s="180"/>
      <c r="S7" s="318" t="s">
        <v>531</v>
      </c>
      <c r="T7" s="103"/>
      <c r="U7" s="103"/>
      <c r="V7" s="187"/>
      <c r="W7" s="180"/>
    </row>
    <row r="8">
      <c r="A8" s="288"/>
      <c r="B8" s="301">
        <v>7.0</v>
      </c>
      <c r="C8" s="5">
        <f t="shared" si="1"/>
        <v>140</v>
      </c>
      <c r="D8" s="5">
        <v>140.0</v>
      </c>
      <c r="E8" s="5">
        <f t="shared" si="7"/>
        <v>420</v>
      </c>
      <c r="F8" s="4">
        <f t="shared" si="2"/>
        <v>0.001585503964</v>
      </c>
      <c r="G8" s="4">
        <f t="shared" si="8"/>
        <v>0.3333333333</v>
      </c>
      <c r="H8" s="302">
        <v>42.0</v>
      </c>
      <c r="I8" s="5">
        <f t="shared" si="3"/>
        <v>840</v>
      </c>
      <c r="J8" s="5">
        <v>4360.0</v>
      </c>
      <c r="K8" s="5">
        <f t="shared" si="9"/>
        <v>58280</v>
      </c>
      <c r="L8" s="4">
        <f t="shared" si="4"/>
        <v>0.22000755</v>
      </c>
      <c r="M8" s="303">
        <f t="shared" si="5"/>
        <v>0.01441317776</v>
      </c>
      <c r="N8" s="284"/>
      <c r="O8" s="319">
        <v>70.0</v>
      </c>
      <c r="P8" s="320">
        <f>sum(D2:D36,J2:J35)</f>
        <v>264900</v>
      </c>
      <c r="Q8" s="321">
        <f t="shared" si="6"/>
        <v>1324500</v>
      </c>
      <c r="R8" s="180"/>
      <c r="S8" s="322" t="s">
        <v>532</v>
      </c>
      <c r="T8" s="323" t="s">
        <v>533</v>
      </c>
      <c r="U8" s="324"/>
      <c r="V8" s="325"/>
    </row>
    <row r="9">
      <c r="A9" s="288"/>
      <c r="B9" s="301">
        <v>8.0</v>
      </c>
      <c r="C9" s="5">
        <f t="shared" si="1"/>
        <v>160</v>
      </c>
      <c r="D9" s="5">
        <v>180.0</v>
      </c>
      <c r="E9" s="5">
        <f t="shared" si="7"/>
        <v>560</v>
      </c>
      <c r="F9" s="4">
        <f t="shared" si="2"/>
        <v>0.002114005285</v>
      </c>
      <c r="G9" s="4">
        <f t="shared" si="8"/>
        <v>0.2857142857</v>
      </c>
      <c r="H9" s="302">
        <v>43.0</v>
      </c>
      <c r="I9" s="5">
        <f t="shared" si="3"/>
        <v>860</v>
      </c>
      <c r="J9" s="5">
        <v>4560.0</v>
      </c>
      <c r="K9" s="5">
        <f t="shared" si="9"/>
        <v>62640</v>
      </c>
      <c r="L9" s="4">
        <f t="shared" si="4"/>
        <v>0.2364665912</v>
      </c>
      <c r="M9" s="303">
        <f t="shared" si="5"/>
        <v>0.01372924649</v>
      </c>
      <c r="N9" s="284"/>
      <c r="R9" s="180"/>
      <c r="S9" s="326" t="s">
        <v>513</v>
      </c>
      <c r="T9" s="327">
        <v>50.0</v>
      </c>
      <c r="U9" s="8"/>
      <c r="V9" s="328"/>
    </row>
    <row r="10">
      <c r="A10" s="288"/>
      <c r="B10" s="301">
        <v>9.0</v>
      </c>
      <c r="C10" s="5">
        <f t="shared" si="1"/>
        <v>180</v>
      </c>
      <c r="D10" s="5">
        <v>220.0</v>
      </c>
      <c r="E10" s="5">
        <f t="shared" si="7"/>
        <v>740</v>
      </c>
      <c r="F10" s="4">
        <f t="shared" si="2"/>
        <v>0.002793506984</v>
      </c>
      <c r="G10" s="4">
        <f t="shared" si="8"/>
        <v>0.2432432432</v>
      </c>
      <c r="H10" s="302">
        <v>44.0</v>
      </c>
      <c r="I10" s="5">
        <f t="shared" si="3"/>
        <v>880</v>
      </c>
      <c r="J10" s="5">
        <v>4760.0</v>
      </c>
      <c r="K10" s="5">
        <f t="shared" si="9"/>
        <v>67200</v>
      </c>
      <c r="L10" s="4">
        <f t="shared" si="4"/>
        <v>0.2536806342</v>
      </c>
      <c r="M10" s="303">
        <f t="shared" si="5"/>
        <v>0.0130952381</v>
      </c>
      <c r="N10" s="284"/>
      <c r="R10" s="180"/>
      <c r="S10" s="234" t="s">
        <v>534</v>
      </c>
      <c r="T10" s="329" t="s">
        <v>535</v>
      </c>
      <c r="U10" s="330" t="s">
        <v>536</v>
      </c>
      <c r="V10" s="331" t="s">
        <v>24</v>
      </c>
      <c r="W10" s="332" t="s">
        <v>537</v>
      </c>
      <c r="X10" s="183"/>
    </row>
    <row r="11">
      <c r="A11" s="288"/>
      <c r="B11" s="301">
        <v>10.0</v>
      </c>
      <c r="C11" s="5">
        <f t="shared" si="1"/>
        <v>200</v>
      </c>
      <c r="D11" s="5">
        <v>280.0</v>
      </c>
      <c r="E11" s="5">
        <f t="shared" si="7"/>
        <v>960</v>
      </c>
      <c r="F11" s="4">
        <f t="shared" si="2"/>
        <v>0.00362400906</v>
      </c>
      <c r="G11" s="4">
        <f t="shared" si="8"/>
        <v>0.2083333333</v>
      </c>
      <c r="H11" s="302">
        <v>45.0</v>
      </c>
      <c r="I11" s="5">
        <f t="shared" si="3"/>
        <v>900</v>
      </c>
      <c r="J11" s="5">
        <v>4940.0</v>
      </c>
      <c r="K11" s="5">
        <f t="shared" si="9"/>
        <v>71960</v>
      </c>
      <c r="L11" s="4">
        <f t="shared" si="4"/>
        <v>0.2716496791</v>
      </c>
      <c r="M11" s="303">
        <f t="shared" si="5"/>
        <v>0.0125069483</v>
      </c>
      <c r="N11" s="284"/>
      <c r="R11" s="180"/>
      <c r="S11" s="333" t="s">
        <v>45</v>
      </c>
      <c r="T11" s="330" t="s">
        <v>538</v>
      </c>
      <c r="U11" s="334" t="s">
        <v>539</v>
      </c>
      <c r="V11" s="335">
        <f t="shared" ref="V11:V28" si="11">IF($T$9&lt;5,0,T11+(U11*($T$9-5)))</f>
        <v>155</v>
      </c>
      <c r="W11" s="199"/>
      <c r="X11" s="200"/>
    </row>
    <row r="12">
      <c r="A12" s="288"/>
      <c r="B12" s="301">
        <v>11.0</v>
      </c>
      <c r="C12" s="5">
        <f t="shared" si="1"/>
        <v>220</v>
      </c>
      <c r="D12" s="5">
        <v>320.0</v>
      </c>
      <c r="E12" s="5">
        <f t="shared" si="7"/>
        <v>1240</v>
      </c>
      <c r="F12" s="4">
        <f t="shared" si="2"/>
        <v>0.004681011703</v>
      </c>
      <c r="G12" s="4">
        <f t="shared" si="8"/>
        <v>0.1774193548</v>
      </c>
      <c r="H12" s="302">
        <v>46.0</v>
      </c>
      <c r="I12" s="5">
        <f t="shared" si="3"/>
        <v>920</v>
      </c>
      <c r="J12" s="5">
        <v>5160.0</v>
      </c>
      <c r="K12" s="5">
        <f t="shared" si="9"/>
        <v>76900</v>
      </c>
      <c r="L12" s="4">
        <f t="shared" si="4"/>
        <v>0.2902982257</v>
      </c>
      <c r="M12" s="303">
        <f t="shared" si="5"/>
        <v>0.01196358908</v>
      </c>
      <c r="N12" s="284"/>
      <c r="R12" s="180"/>
      <c r="S12" s="333" t="s">
        <v>48</v>
      </c>
      <c r="T12" s="330" t="s">
        <v>540</v>
      </c>
      <c r="U12" s="334" t="s">
        <v>541</v>
      </c>
      <c r="V12" s="336">
        <f t="shared" si="11"/>
        <v>210</v>
      </c>
      <c r="W12" s="218"/>
      <c r="X12" s="220"/>
    </row>
    <row r="13">
      <c r="A13" s="288"/>
      <c r="B13" s="301">
        <v>12.0</v>
      </c>
      <c r="C13" s="5">
        <f t="shared" si="1"/>
        <v>240</v>
      </c>
      <c r="D13" s="5">
        <v>380.0</v>
      </c>
      <c r="E13" s="5">
        <f t="shared" si="7"/>
        <v>1560</v>
      </c>
      <c r="F13" s="4">
        <f t="shared" si="2"/>
        <v>0.005889014723</v>
      </c>
      <c r="G13" s="4">
        <f t="shared" si="8"/>
        <v>0.1538461538</v>
      </c>
      <c r="H13" s="302">
        <v>47.0</v>
      </c>
      <c r="I13" s="5">
        <f t="shared" si="3"/>
        <v>940</v>
      </c>
      <c r="J13" s="5">
        <v>5360.0</v>
      </c>
      <c r="K13" s="5">
        <f t="shared" si="9"/>
        <v>82060</v>
      </c>
      <c r="L13" s="4">
        <f t="shared" si="4"/>
        <v>0.3097772744</v>
      </c>
      <c r="M13" s="303">
        <f t="shared" si="5"/>
        <v>0.0114550329</v>
      </c>
      <c r="N13" s="284"/>
      <c r="O13" s="337" t="s">
        <v>542</v>
      </c>
      <c r="P13" s="338"/>
      <c r="Q13" s="339"/>
      <c r="R13" s="180"/>
      <c r="S13" s="333" t="s">
        <v>51</v>
      </c>
      <c r="T13" s="340">
        <v>2.5</v>
      </c>
      <c r="U13" s="341">
        <v>0.1</v>
      </c>
      <c r="V13" s="342">
        <f t="shared" si="11"/>
        <v>7</v>
      </c>
      <c r="W13" s="343"/>
    </row>
    <row r="14">
      <c r="A14" s="288"/>
      <c r="B14" s="301">
        <v>13.0</v>
      </c>
      <c r="C14" s="5">
        <f t="shared" si="1"/>
        <v>260</v>
      </c>
      <c r="D14" s="5">
        <v>440.0</v>
      </c>
      <c r="E14" s="5">
        <f t="shared" si="7"/>
        <v>1940</v>
      </c>
      <c r="F14" s="4">
        <f t="shared" si="2"/>
        <v>0.007323518309</v>
      </c>
      <c r="G14" s="4">
        <f t="shared" si="8"/>
        <v>0.1340206186</v>
      </c>
      <c r="H14" s="302">
        <v>48.0</v>
      </c>
      <c r="I14" s="5">
        <f t="shared" si="3"/>
        <v>960</v>
      </c>
      <c r="J14" s="5">
        <v>5560.0</v>
      </c>
      <c r="K14" s="5">
        <f t="shared" si="9"/>
        <v>87420</v>
      </c>
      <c r="L14" s="4">
        <f t="shared" si="4"/>
        <v>0.330011325</v>
      </c>
      <c r="M14" s="303">
        <f t="shared" si="5"/>
        <v>0.01098146877</v>
      </c>
      <c r="N14" s="284"/>
      <c r="O14" s="344" t="s">
        <v>543</v>
      </c>
      <c r="P14" s="345"/>
      <c r="Q14" s="346">
        <v>1.0</v>
      </c>
      <c r="R14" s="180"/>
      <c r="S14" s="333" t="s">
        <v>54</v>
      </c>
      <c r="T14" s="340">
        <v>4.0</v>
      </c>
      <c r="U14" s="341">
        <v>0.2</v>
      </c>
      <c r="V14" s="347">
        <f t="shared" si="11"/>
        <v>13</v>
      </c>
      <c r="W14" s="348"/>
      <c r="X14" s="348"/>
    </row>
    <row r="15">
      <c r="A15" s="288"/>
      <c r="B15" s="301">
        <v>14.0</v>
      </c>
      <c r="C15" s="5">
        <f t="shared" si="1"/>
        <v>280</v>
      </c>
      <c r="D15" s="5">
        <v>500.0</v>
      </c>
      <c r="E15" s="5">
        <f t="shared" si="7"/>
        <v>2380</v>
      </c>
      <c r="F15" s="4">
        <f t="shared" si="2"/>
        <v>0.008984522461</v>
      </c>
      <c r="G15" s="4">
        <f t="shared" si="8"/>
        <v>0.1176470588</v>
      </c>
      <c r="H15" s="302">
        <v>49.0</v>
      </c>
      <c r="I15" s="5">
        <f t="shared" si="3"/>
        <v>980</v>
      </c>
      <c r="J15" s="5">
        <v>5780.0</v>
      </c>
      <c r="K15" s="5">
        <f t="shared" si="9"/>
        <v>92980</v>
      </c>
      <c r="L15" s="4">
        <f t="shared" si="4"/>
        <v>0.3510003775</v>
      </c>
      <c r="M15" s="303">
        <f t="shared" si="5"/>
        <v>0.01053990105</v>
      </c>
      <c r="N15" s="284"/>
      <c r="O15" s="349" t="s">
        <v>544</v>
      </c>
      <c r="P15" s="350"/>
      <c r="Q15" s="346">
        <v>9.0</v>
      </c>
      <c r="R15" s="180"/>
      <c r="S15" s="333" t="s">
        <v>58</v>
      </c>
      <c r="T15" s="340">
        <v>4.5</v>
      </c>
      <c r="U15" s="341">
        <v>0.3</v>
      </c>
      <c r="V15" s="342">
        <f t="shared" si="11"/>
        <v>18</v>
      </c>
      <c r="W15" s="348"/>
      <c r="X15" s="348"/>
    </row>
    <row r="16">
      <c r="A16" s="288"/>
      <c r="B16" s="301">
        <v>15.0</v>
      </c>
      <c r="C16" s="5">
        <f t="shared" si="1"/>
        <v>300</v>
      </c>
      <c r="D16" s="5">
        <v>640.0</v>
      </c>
      <c r="E16" s="5">
        <f t="shared" si="7"/>
        <v>2880</v>
      </c>
      <c r="F16" s="4">
        <f t="shared" si="2"/>
        <v>0.01087202718</v>
      </c>
      <c r="G16" s="4">
        <f t="shared" si="8"/>
        <v>0.1041666667</v>
      </c>
      <c r="H16" s="302">
        <v>50.0</v>
      </c>
      <c r="I16" s="5">
        <f t="shared" si="3"/>
        <v>1000</v>
      </c>
      <c r="J16" s="5">
        <v>6000.0</v>
      </c>
      <c r="K16" s="302">
        <f t="shared" si="9"/>
        <v>98760</v>
      </c>
      <c r="L16" s="4">
        <f t="shared" si="4"/>
        <v>0.372819932</v>
      </c>
      <c r="M16" s="303">
        <f t="shared" si="5"/>
        <v>0.01012555691</v>
      </c>
      <c r="O16" s="344" t="s">
        <v>545</v>
      </c>
      <c r="P16" s="345"/>
      <c r="Q16" s="351">
        <f>IF($Q$15&lt;$Q$14,0,Minus(Range!AN72,Range!AM72))</f>
        <v>740</v>
      </c>
      <c r="R16" s="180"/>
      <c r="S16" s="333" t="s">
        <v>61</v>
      </c>
      <c r="T16" s="340">
        <v>7.5</v>
      </c>
      <c r="U16" s="341">
        <v>0.5</v>
      </c>
      <c r="V16" s="347">
        <f t="shared" si="11"/>
        <v>30</v>
      </c>
      <c r="W16" s="348"/>
      <c r="X16" s="348"/>
    </row>
    <row r="17">
      <c r="A17" s="288"/>
      <c r="B17" s="301">
        <v>16.0</v>
      </c>
      <c r="C17" s="5">
        <f t="shared" si="1"/>
        <v>320</v>
      </c>
      <c r="D17" s="5">
        <v>700.0</v>
      </c>
      <c r="E17" s="5">
        <f t="shared" si="7"/>
        <v>3520</v>
      </c>
      <c r="F17" s="4">
        <f t="shared" si="2"/>
        <v>0.01328803322</v>
      </c>
      <c r="G17" s="4">
        <f t="shared" si="8"/>
        <v>0.09090909091</v>
      </c>
      <c r="H17" s="302">
        <v>51.0</v>
      </c>
      <c r="I17" s="5">
        <f t="shared" si="3"/>
        <v>1020</v>
      </c>
      <c r="J17" s="5">
        <v>6220.0</v>
      </c>
      <c r="K17" s="5">
        <f t="shared" si="9"/>
        <v>104760</v>
      </c>
      <c r="L17" s="4">
        <f t="shared" si="4"/>
        <v>0.3954699887</v>
      </c>
      <c r="M17" s="303">
        <f t="shared" si="5"/>
        <v>0.009736540664</v>
      </c>
      <c r="N17" s="284"/>
      <c r="O17" s="349" t="s">
        <v>546</v>
      </c>
      <c r="P17" s="350"/>
      <c r="Q17" s="352">
        <f>Q16*5</f>
        <v>3700</v>
      </c>
      <c r="R17" s="180"/>
      <c r="S17" s="333" t="s">
        <v>65</v>
      </c>
      <c r="T17" s="340">
        <v>2.5</v>
      </c>
      <c r="U17" s="341">
        <v>0.1</v>
      </c>
      <c r="V17" s="342">
        <f t="shared" si="11"/>
        <v>7</v>
      </c>
      <c r="W17" s="343"/>
    </row>
    <row r="18">
      <c r="A18" s="288"/>
      <c r="B18" s="301">
        <v>17.0</v>
      </c>
      <c r="C18" s="5">
        <f t="shared" si="1"/>
        <v>340</v>
      </c>
      <c r="D18" s="5">
        <v>780.0</v>
      </c>
      <c r="E18" s="5">
        <f t="shared" si="7"/>
        <v>4220</v>
      </c>
      <c r="F18" s="4">
        <f t="shared" si="2"/>
        <v>0.01593053983</v>
      </c>
      <c r="G18" s="4">
        <f t="shared" si="8"/>
        <v>0.08056872038</v>
      </c>
      <c r="H18" s="302">
        <v>52.0</v>
      </c>
      <c r="I18" s="5">
        <f t="shared" si="3"/>
        <v>1040</v>
      </c>
      <c r="J18" s="5">
        <v>6440.0</v>
      </c>
      <c r="K18" s="5">
        <f t="shared" si="9"/>
        <v>110980</v>
      </c>
      <c r="L18" s="4">
        <f t="shared" si="4"/>
        <v>0.4189505474</v>
      </c>
      <c r="M18" s="303">
        <f t="shared" si="5"/>
        <v>0.009371057848</v>
      </c>
      <c r="N18" s="284"/>
      <c r="O18" s="344" t="s">
        <v>547</v>
      </c>
      <c r="P18" s="353"/>
      <c r="Q18" s="257"/>
      <c r="R18" s="180"/>
      <c r="S18" s="333" t="s">
        <v>68</v>
      </c>
      <c r="T18" s="340">
        <v>4.0</v>
      </c>
      <c r="U18" s="341">
        <v>0.2</v>
      </c>
      <c r="V18" s="347">
        <f t="shared" si="11"/>
        <v>13</v>
      </c>
      <c r="W18" s="343"/>
    </row>
    <row r="19">
      <c r="A19" s="288"/>
      <c r="B19" s="301">
        <v>18.0</v>
      </c>
      <c r="C19" s="5">
        <f t="shared" si="1"/>
        <v>360</v>
      </c>
      <c r="D19" s="5">
        <v>860.0</v>
      </c>
      <c r="E19" s="5">
        <f t="shared" si="7"/>
        <v>5000</v>
      </c>
      <c r="F19" s="4">
        <f t="shared" si="2"/>
        <v>0.01887504719</v>
      </c>
      <c r="G19" s="4">
        <f t="shared" si="8"/>
        <v>0.072</v>
      </c>
      <c r="H19" s="302">
        <v>53.0</v>
      </c>
      <c r="I19" s="5">
        <f t="shared" si="3"/>
        <v>1060</v>
      </c>
      <c r="J19" s="5">
        <v>6680.0</v>
      </c>
      <c r="K19" s="5">
        <f t="shared" si="9"/>
        <v>117420</v>
      </c>
      <c r="L19" s="4">
        <f t="shared" si="4"/>
        <v>0.4432616082</v>
      </c>
      <c r="M19" s="303">
        <f t="shared" si="5"/>
        <v>0.009027422926</v>
      </c>
      <c r="N19" s="284"/>
      <c r="O19" s="349" t="s">
        <v>545</v>
      </c>
      <c r="P19" s="350"/>
      <c r="Q19" s="354">
        <f>VLOOKUP($Q$14,Range!AL2:AP71,4)</f>
        <v>264900</v>
      </c>
      <c r="R19" s="180"/>
      <c r="S19" s="333" t="s">
        <v>72</v>
      </c>
      <c r="T19" s="340">
        <v>2.5</v>
      </c>
      <c r="U19" s="341">
        <v>0.1</v>
      </c>
      <c r="V19" s="342">
        <f t="shared" si="11"/>
        <v>7</v>
      </c>
      <c r="W19" s="343"/>
    </row>
    <row r="20">
      <c r="A20" s="288"/>
      <c r="B20" s="301">
        <v>19.0</v>
      </c>
      <c r="C20" s="5">
        <f t="shared" si="1"/>
        <v>380</v>
      </c>
      <c r="D20" s="5">
        <v>960.0</v>
      </c>
      <c r="E20" s="5">
        <f t="shared" si="7"/>
        <v>5860</v>
      </c>
      <c r="F20" s="4">
        <f t="shared" si="2"/>
        <v>0.0221215553</v>
      </c>
      <c r="G20" s="4">
        <f t="shared" si="8"/>
        <v>0.06484641638</v>
      </c>
      <c r="H20" s="302">
        <v>54.0</v>
      </c>
      <c r="I20" s="5">
        <f t="shared" si="3"/>
        <v>1080</v>
      </c>
      <c r="J20" s="5">
        <v>6920.0</v>
      </c>
      <c r="K20" s="5">
        <f t="shared" si="9"/>
        <v>124100</v>
      </c>
      <c r="L20" s="4">
        <f t="shared" si="4"/>
        <v>0.4684786712</v>
      </c>
      <c r="M20" s="303">
        <f t="shared" si="5"/>
        <v>0.008702659146</v>
      </c>
      <c r="N20" s="284"/>
      <c r="O20" s="355" t="s">
        <v>546</v>
      </c>
      <c r="P20" s="356"/>
      <c r="Q20" s="357">
        <f>Q19*5</f>
        <v>1324500</v>
      </c>
      <c r="R20" s="180"/>
      <c r="S20" s="333" t="s">
        <v>75</v>
      </c>
      <c r="T20" s="340">
        <v>4.0</v>
      </c>
      <c r="U20" s="341">
        <v>0.2</v>
      </c>
      <c r="V20" s="347">
        <f t="shared" si="11"/>
        <v>13</v>
      </c>
      <c r="W20" s="343"/>
    </row>
    <row r="21">
      <c r="A21" s="288"/>
      <c r="B21" s="301">
        <v>20.0</v>
      </c>
      <c r="C21" s="5">
        <f t="shared" si="1"/>
        <v>400</v>
      </c>
      <c r="D21" s="5">
        <v>1040.0</v>
      </c>
      <c r="E21" s="302">
        <f t="shared" si="7"/>
        <v>6820</v>
      </c>
      <c r="F21" s="4">
        <f t="shared" si="2"/>
        <v>0.02574556436</v>
      </c>
      <c r="G21" s="4">
        <f t="shared" si="8"/>
        <v>0.05865102639</v>
      </c>
      <c r="H21" s="302">
        <v>55.0</v>
      </c>
      <c r="I21" s="5">
        <f t="shared" si="3"/>
        <v>1100</v>
      </c>
      <c r="J21" s="5">
        <v>7140.0</v>
      </c>
      <c r="K21" s="5">
        <f t="shared" si="9"/>
        <v>131020</v>
      </c>
      <c r="L21" s="4">
        <f t="shared" si="4"/>
        <v>0.4946017365</v>
      </c>
      <c r="M21" s="303">
        <f t="shared" si="5"/>
        <v>0.008395664784</v>
      </c>
      <c r="N21" s="284"/>
      <c r="O21" s="180"/>
      <c r="P21" s="180"/>
      <c r="Q21" s="180"/>
      <c r="R21" s="180"/>
      <c r="S21" s="333" t="s">
        <v>79</v>
      </c>
      <c r="T21" s="340">
        <v>2.5</v>
      </c>
      <c r="U21" s="341">
        <v>0.1</v>
      </c>
      <c r="V21" s="358">
        <f t="shared" si="11"/>
        <v>7</v>
      </c>
      <c r="W21" s="343"/>
    </row>
    <row r="22">
      <c r="A22" s="288"/>
      <c r="B22" s="301">
        <v>21.0</v>
      </c>
      <c r="C22" s="5">
        <f t="shared" si="1"/>
        <v>420</v>
      </c>
      <c r="D22" s="5">
        <v>1140.0</v>
      </c>
      <c r="E22" s="5">
        <f t="shared" si="7"/>
        <v>7860</v>
      </c>
      <c r="F22" s="4">
        <f t="shared" si="2"/>
        <v>0.02967157418</v>
      </c>
      <c r="G22" s="4">
        <f t="shared" si="8"/>
        <v>0.0534351145</v>
      </c>
      <c r="H22" s="302">
        <v>56.0</v>
      </c>
      <c r="I22" s="5">
        <f t="shared" si="3"/>
        <v>1120</v>
      </c>
      <c r="J22" s="5">
        <v>7400.0</v>
      </c>
      <c r="K22" s="5">
        <f t="shared" si="9"/>
        <v>138160</v>
      </c>
      <c r="L22" s="4">
        <f t="shared" si="4"/>
        <v>0.5215553039</v>
      </c>
      <c r="M22" s="303">
        <f t="shared" si="5"/>
        <v>0.008106543138</v>
      </c>
      <c r="N22" s="284"/>
      <c r="O22" s="280" t="s">
        <v>548</v>
      </c>
      <c r="R22" s="180"/>
      <c r="S22" s="333" t="s">
        <v>83</v>
      </c>
      <c r="T22" s="340">
        <v>4.0</v>
      </c>
      <c r="U22" s="341">
        <v>0.2</v>
      </c>
      <c r="V22" s="347">
        <f t="shared" si="11"/>
        <v>13</v>
      </c>
      <c r="W22" s="343"/>
    </row>
    <row r="23">
      <c r="A23" s="288"/>
      <c r="B23" s="301">
        <v>22.0</v>
      </c>
      <c r="C23" s="5">
        <f t="shared" si="1"/>
        <v>440</v>
      </c>
      <c r="D23" s="5">
        <v>1240.0</v>
      </c>
      <c r="E23" s="5">
        <f t="shared" si="7"/>
        <v>9000</v>
      </c>
      <c r="F23" s="4">
        <f t="shared" si="2"/>
        <v>0.03397508494</v>
      </c>
      <c r="G23" s="4">
        <f t="shared" si="8"/>
        <v>0.04888888889</v>
      </c>
      <c r="H23" s="302">
        <v>57.0</v>
      </c>
      <c r="I23" s="5">
        <f t="shared" si="3"/>
        <v>1140</v>
      </c>
      <c r="J23" s="5">
        <v>7640.0</v>
      </c>
      <c r="K23" s="5">
        <f t="shared" si="9"/>
        <v>145560</v>
      </c>
      <c r="L23" s="4">
        <f t="shared" si="4"/>
        <v>0.5494903737</v>
      </c>
      <c r="M23" s="303">
        <f t="shared" si="5"/>
        <v>0.007831821929</v>
      </c>
      <c r="N23" s="284"/>
      <c r="R23" s="180"/>
      <c r="S23" s="333" t="s">
        <v>87</v>
      </c>
      <c r="T23" s="330" t="s">
        <v>549</v>
      </c>
      <c r="U23" s="334" t="s">
        <v>540</v>
      </c>
      <c r="V23" s="359">
        <f t="shared" si="11"/>
        <v>1600</v>
      </c>
      <c r="W23" s="343"/>
    </row>
    <row r="24">
      <c r="A24" s="288"/>
      <c r="B24" s="301">
        <v>23.0</v>
      </c>
      <c r="C24" s="5">
        <f t="shared" si="1"/>
        <v>460</v>
      </c>
      <c r="D24" s="5">
        <v>1340.0</v>
      </c>
      <c r="E24" s="5">
        <f t="shared" si="7"/>
        <v>10240</v>
      </c>
      <c r="F24" s="4">
        <f t="shared" si="2"/>
        <v>0.03865609664</v>
      </c>
      <c r="G24" s="4">
        <f t="shared" si="8"/>
        <v>0.044921875</v>
      </c>
      <c r="H24" s="302">
        <v>58.0</v>
      </c>
      <c r="I24" s="5">
        <f t="shared" si="3"/>
        <v>1160</v>
      </c>
      <c r="J24" s="5">
        <v>7880.0</v>
      </c>
      <c r="K24" s="5">
        <f t="shared" si="9"/>
        <v>153200</v>
      </c>
      <c r="L24" s="4">
        <f t="shared" si="4"/>
        <v>0.5783314458</v>
      </c>
      <c r="M24" s="303">
        <f t="shared" si="5"/>
        <v>0.007571801567</v>
      </c>
      <c r="N24" s="284"/>
      <c r="R24" s="180"/>
      <c r="S24" s="333" t="s">
        <v>91</v>
      </c>
      <c r="T24" s="330" t="s">
        <v>550</v>
      </c>
      <c r="U24" s="334" t="s">
        <v>551</v>
      </c>
      <c r="V24" s="336">
        <f t="shared" si="11"/>
        <v>2100</v>
      </c>
      <c r="W24" s="343"/>
    </row>
    <row r="25">
      <c r="A25" s="288"/>
      <c r="B25" s="301">
        <v>24.0</v>
      </c>
      <c r="C25" s="5">
        <f t="shared" si="1"/>
        <v>480</v>
      </c>
      <c r="D25" s="5">
        <v>1440.0</v>
      </c>
      <c r="E25" s="5">
        <f t="shared" si="7"/>
        <v>11580</v>
      </c>
      <c r="F25" s="4">
        <f t="shared" si="2"/>
        <v>0.04371460929</v>
      </c>
      <c r="G25" s="4">
        <f t="shared" si="8"/>
        <v>0.0414507772</v>
      </c>
      <c r="H25" s="302">
        <v>59.0</v>
      </c>
      <c r="I25" s="5">
        <f t="shared" si="3"/>
        <v>1180</v>
      </c>
      <c r="J25" s="5">
        <v>8140.0</v>
      </c>
      <c r="K25" s="5">
        <f t="shared" si="9"/>
        <v>161080</v>
      </c>
      <c r="L25" s="4">
        <f t="shared" si="4"/>
        <v>0.6080785202</v>
      </c>
      <c r="M25" s="303">
        <f t="shared" si="5"/>
        <v>0.00732555252</v>
      </c>
      <c r="N25" s="284"/>
      <c r="R25" s="180"/>
      <c r="S25" s="333" t="s">
        <v>94</v>
      </c>
      <c r="T25" s="340">
        <v>2.5</v>
      </c>
      <c r="U25" s="341">
        <v>0.1</v>
      </c>
      <c r="V25" s="358">
        <f t="shared" si="11"/>
        <v>7</v>
      </c>
      <c r="W25" s="343"/>
    </row>
    <row r="26">
      <c r="A26" s="288"/>
      <c r="B26" s="301">
        <v>25.0</v>
      </c>
      <c r="C26" s="5">
        <f t="shared" si="1"/>
        <v>500</v>
      </c>
      <c r="D26" s="5">
        <v>1560.0</v>
      </c>
      <c r="E26" s="5">
        <f t="shared" si="7"/>
        <v>13020</v>
      </c>
      <c r="F26" s="4">
        <f t="shared" si="2"/>
        <v>0.04915062288</v>
      </c>
      <c r="G26" s="4">
        <f t="shared" si="8"/>
        <v>0.03840245776</v>
      </c>
      <c r="H26" s="302">
        <v>60.0</v>
      </c>
      <c r="I26" s="5">
        <f t="shared" si="3"/>
        <v>1200</v>
      </c>
      <c r="J26" s="5">
        <v>8400.0</v>
      </c>
      <c r="K26" s="302">
        <f t="shared" si="9"/>
        <v>169220</v>
      </c>
      <c r="L26" s="4">
        <f t="shared" si="4"/>
        <v>0.638807097</v>
      </c>
      <c r="M26" s="303">
        <f t="shared" si="5"/>
        <v>0.007091360359</v>
      </c>
      <c r="N26" s="284"/>
      <c r="R26" s="180"/>
      <c r="S26" s="360" t="s">
        <v>97</v>
      </c>
      <c r="T26" s="340">
        <v>4.0</v>
      </c>
      <c r="U26" s="341">
        <v>0.2</v>
      </c>
      <c r="V26" s="347">
        <f t="shared" si="11"/>
        <v>13</v>
      </c>
      <c r="W26" s="343"/>
    </row>
    <row r="27">
      <c r="A27" s="288"/>
      <c r="B27" s="301">
        <v>26.0</v>
      </c>
      <c r="C27" s="5">
        <f t="shared" si="1"/>
        <v>520</v>
      </c>
      <c r="D27" s="5">
        <v>1660.0</v>
      </c>
      <c r="E27" s="5">
        <f t="shared" si="7"/>
        <v>14580</v>
      </c>
      <c r="F27" s="4">
        <f t="shared" si="2"/>
        <v>0.0550396376</v>
      </c>
      <c r="G27" s="4">
        <f t="shared" si="8"/>
        <v>0.03566529492</v>
      </c>
      <c r="H27" s="302">
        <v>61.0</v>
      </c>
      <c r="I27" s="5">
        <f t="shared" si="3"/>
        <v>1220</v>
      </c>
      <c r="J27" s="5">
        <v>8660.0</v>
      </c>
      <c r="K27" s="5">
        <f t="shared" si="9"/>
        <v>177620</v>
      </c>
      <c r="L27" s="4">
        <f t="shared" si="4"/>
        <v>0.6705171763</v>
      </c>
      <c r="M27" s="303">
        <f t="shared" si="5"/>
        <v>0.006868595879</v>
      </c>
      <c r="N27" s="284"/>
      <c r="R27" s="180"/>
      <c r="S27" s="360" t="s">
        <v>101</v>
      </c>
      <c r="T27" s="340">
        <v>2.5</v>
      </c>
      <c r="U27" s="341">
        <v>0.1</v>
      </c>
      <c r="V27" s="358">
        <f t="shared" si="11"/>
        <v>7</v>
      </c>
      <c r="W27" s="343"/>
    </row>
    <row r="28">
      <c r="A28" s="288"/>
      <c r="B28" s="301">
        <v>27.0</v>
      </c>
      <c r="C28" s="5">
        <f t="shared" si="1"/>
        <v>540</v>
      </c>
      <c r="D28" s="5">
        <v>1780.0</v>
      </c>
      <c r="E28" s="5">
        <f t="shared" si="7"/>
        <v>16240</v>
      </c>
      <c r="F28" s="4">
        <f t="shared" si="2"/>
        <v>0.06130615327</v>
      </c>
      <c r="G28" s="4">
        <f t="shared" si="8"/>
        <v>0.03325123153</v>
      </c>
      <c r="H28" s="302">
        <v>62.0</v>
      </c>
      <c r="I28" s="5">
        <f t="shared" si="3"/>
        <v>1240</v>
      </c>
      <c r="J28" s="5">
        <v>8920.0</v>
      </c>
      <c r="K28" s="5">
        <f t="shared" si="9"/>
        <v>186280</v>
      </c>
      <c r="L28" s="4">
        <f t="shared" si="4"/>
        <v>0.703208758</v>
      </c>
      <c r="M28" s="303">
        <f t="shared" si="5"/>
        <v>0.006656645909</v>
      </c>
      <c r="N28" s="284"/>
      <c r="R28" s="180"/>
      <c r="S28" s="361" t="s">
        <v>105</v>
      </c>
      <c r="T28" s="362">
        <v>4.0</v>
      </c>
      <c r="U28" s="363">
        <v>0.2</v>
      </c>
      <c r="V28" s="364">
        <f t="shared" si="11"/>
        <v>13</v>
      </c>
      <c r="W28" s="343"/>
    </row>
    <row r="29">
      <c r="A29" s="288"/>
      <c r="B29" s="301">
        <v>28.0</v>
      </c>
      <c r="C29" s="5">
        <f t="shared" si="1"/>
        <v>560</v>
      </c>
      <c r="D29" s="5">
        <v>1900.0</v>
      </c>
      <c r="E29" s="5">
        <f t="shared" si="7"/>
        <v>18020</v>
      </c>
      <c r="F29" s="4">
        <f t="shared" si="2"/>
        <v>0.06802567006</v>
      </c>
      <c r="G29" s="4">
        <f t="shared" si="8"/>
        <v>0.03107658158</v>
      </c>
      <c r="H29" s="302">
        <v>63.0</v>
      </c>
      <c r="I29" s="5">
        <f t="shared" si="3"/>
        <v>1260</v>
      </c>
      <c r="J29" s="5">
        <v>9180.0</v>
      </c>
      <c r="K29" s="5">
        <f t="shared" si="9"/>
        <v>195200</v>
      </c>
      <c r="L29" s="4">
        <f t="shared" si="4"/>
        <v>0.7368818422</v>
      </c>
      <c r="M29" s="303">
        <f t="shared" si="5"/>
        <v>0.006454918033</v>
      </c>
      <c r="N29" s="284"/>
      <c r="R29" s="180"/>
      <c r="S29" s="180"/>
      <c r="T29" s="343"/>
      <c r="U29" s="343"/>
      <c r="V29" s="343"/>
      <c r="W29" s="343"/>
    </row>
    <row r="30">
      <c r="A30" s="288"/>
      <c r="B30" s="301">
        <v>29.0</v>
      </c>
      <c r="C30" s="5">
        <f t="shared" si="1"/>
        <v>580</v>
      </c>
      <c r="D30" s="5">
        <v>2040.0</v>
      </c>
      <c r="E30" s="5">
        <f t="shared" si="7"/>
        <v>19920</v>
      </c>
      <c r="F30" s="4">
        <f t="shared" si="2"/>
        <v>0.075198188</v>
      </c>
      <c r="G30" s="4">
        <f t="shared" si="8"/>
        <v>0.02911646586</v>
      </c>
      <c r="H30" s="302">
        <v>64.0</v>
      </c>
      <c r="I30" s="5">
        <f t="shared" si="3"/>
        <v>1280</v>
      </c>
      <c r="J30" s="5">
        <v>9440.0</v>
      </c>
      <c r="K30" s="5">
        <f t="shared" si="9"/>
        <v>204380</v>
      </c>
      <c r="L30" s="4">
        <f t="shared" si="4"/>
        <v>0.7715364288</v>
      </c>
      <c r="M30" s="303">
        <f t="shared" si="5"/>
        <v>0.006262843722</v>
      </c>
      <c r="N30" s="284"/>
      <c r="R30" s="180"/>
      <c r="S30" s="180"/>
      <c r="T30" s="343"/>
      <c r="U30" s="343"/>
      <c r="V30" s="343"/>
      <c r="W30" s="343"/>
    </row>
    <row r="31">
      <c r="A31" s="288"/>
      <c r="B31" s="301">
        <v>30.0</v>
      </c>
      <c r="C31" s="5">
        <f t="shared" si="1"/>
        <v>600</v>
      </c>
      <c r="D31" s="5">
        <v>2160.0</v>
      </c>
      <c r="E31" s="302">
        <f t="shared" si="7"/>
        <v>21960</v>
      </c>
      <c r="F31" s="4">
        <f t="shared" si="2"/>
        <v>0.08289920725</v>
      </c>
      <c r="G31" s="4">
        <f t="shared" si="8"/>
        <v>0.02732240437</v>
      </c>
      <c r="H31" s="302">
        <v>65.0</v>
      </c>
      <c r="I31" s="5">
        <f t="shared" si="3"/>
        <v>1300</v>
      </c>
      <c r="J31" s="5">
        <v>9700.0</v>
      </c>
      <c r="K31" s="5">
        <f t="shared" si="9"/>
        <v>213820</v>
      </c>
      <c r="L31" s="4">
        <f t="shared" si="4"/>
        <v>0.8071725179</v>
      </c>
      <c r="M31" s="303">
        <f t="shared" si="5"/>
        <v>0.006079880273</v>
      </c>
      <c r="N31" s="284"/>
      <c r="R31" s="180"/>
      <c r="S31" s="86"/>
      <c r="T31" s="365" t="s">
        <v>552</v>
      </c>
      <c r="U31" s="325"/>
      <c r="V31" s="76"/>
      <c r="W31" s="343"/>
    </row>
    <row r="32">
      <c r="A32" s="288"/>
      <c r="B32" s="301">
        <v>31.0</v>
      </c>
      <c r="C32" s="5">
        <f t="shared" si="1"/>
        <v>620</v>
      </c>
      <c r="D32" s="5">
        <v>2300.0</v>
      </c>
      <c r="E32" s="5">
        <f t="shared" si="7"/>
        <v>24120</v>
      </c>
      <c r="F32" s="4">
        <f t="shared" si="2"/>
        <v>0.09105322763</v>
      </c>
      <c r="G32" s="4">
        <f t="shared" si="8"/>
        <v>0.02570480929</v>
      </c>
      <c r="H32" s="302">
        <v>66.0</v>
      </c>
      <c r="I32" s="5">
        <f t="shared" si="3"/>
        <v>1320</v>
      </c>
      <c r="J32" s="5">
        <v>9960.0</v>
      </c>
      <c r="K32" s="5">
        <f t="shared" si="9"/>
        <v>223520</v>
      </c>
      <c r="L32" s="4">
        <f t="shared" si="4"/>
        <v>0.8437901095</v>
      </c>
      <c r="M32" s="303">
        <f t="shared" si="5"/>
        <v>0.005905511811</v>
      </c>
      <c r="N32" s="284"/>
      <c r="O32" s="86"/>
      <c r="P32" s="86"/>
      <c r="Q32" s="86"/>
      <c r="S32" s="86"/>
      <c r="T32" s="366" t="s">
        <v>553</v>
      </c>
      <c r="U32" s="367">
        <v>1324500.0</v>
      </c>
      <c r="V32" s="76"/>
    </row>
    <row r="33">
      <c r="A33" s="288"/>
      <c r="B33" s="301">
        <v>32.0</v>
      </c>
      <c r="C33" s="5">
        <f t="shared" si="1"/>
        <v>640</v>
      </c>
      <c r="D33" s="5">
        <v>2440.0</v>
      </c>
      <c r="E33" s="5">
        <f t="shared" si="7"/>
        <v>26420</v>
      </c>
      <c r="F33" s="4">
        <f t="shared" si="2"/>
        <v>0.09973574934</v>
      </c>
      <c r="G33" s="4">
        <f t="shared" si="8"/>
        <v>0.02422407267</v>
      </c>
      <c r="H33" s="302">
        <v>67.0</v>
      </c>
      <c r="I33" s="5">
        <f t="shared" si="3"/>
        <v>1340</v>
      </c>
      <c r="J33" s="5">
        <v>10220.0</v>
      </c>
      <c r="K33" s="5">
        <f t="shared" si="9"/>
        <v>233480</v>
      </c>
      <c r="L33" s="4">
        <f t="shared" si="4"/>
        <v>0.8813892035</v>
      </c>
      <c r="M33" s="303">
        <f t="shared" si="5"/>
        <v>0.005739249615</v>
      </c>
      <c r="N33" s="284"/>
      <c r="O33" s="86"/>
      <c r="P33" s="86"/>
      <c r="Q33" s="86"/>
      <c r="S33" s="86"/>
      <c r="T33" s="368" t="s">
        <v>554</v>
      </c>
      <c r="U33" s="369">
        <v>92.0</v>
      </c>
      <c r="V33" s="76"/>
    </row>
    <row r="34">
      <c r="A34" s="288"/>
      <c r="B34" s="301">
        <v>33.0</v>
      </c>
      <c r="C34" s="5">
        <f t="shared" si="1"/>
        <v>660</v>
      </c>
      <c r="D34" s="5">
        <v>2580.0</v>
      </c>
      <c r="E34" s="5">
        <f t="shared" si="7"/>
        <v>28860</v>
      </c>
      <c r="F34" s="4">
        <f t="shared" si="2"/>
        <v>0.1089467724</v>
      </c>
      <c r="G34" s="4">
        <f t="shared" si="8"/>
        <v>0.02286902287</v>
      </c>
      <c r="H34" s="302">
        <v>68.0</v>
      </c>
      <c r="I34" s="5">
        <f t="shared" si="3"/>
        <v>1360</v>
      </c>
      <c r="J34" s="5">
        <v>10470.0</v>
      </c>
      <c r="K34" s="5">
        <f t="shared" si="9"/>
        <v>243700</v>
      </c>
      <c r="L34" s="4">
        <f t="shared" si="4"/>
        <v>0.9199697999</v>
      </c>
      <c r="M34" s="303">
        <f t="shared" si="5"/>
        <v>0.005580631924</v>
      </c>
      <c r="S34" s="86"/>
      <c r="T34" s="370" t="s">
        <v>555</v>
      </c>
      <c r="U34" s="325"/>
      <c r="V34" s="76"/>
    </row>
    <row r="35">
      <c r="A35" s="288"/>
      <c r="B35" s="301">
        <v>34.0</v>
      </c>
      <c r="C35" s="5">
        <f t="shared" si="1"/>
        <v>680</v>
      </c>
      <c r="D35" s="5">
        <v>2720.0</v>
      </c>
      <c r="E35" s="5">
        <f t="shared" si="7"/>
        <v>31440</v>
      </c>
      <c r="F35" s="4">
        <f t="shared" si="2"/>
        <v>0.1186862967</v>
      </c>
      <c r="G35" s="4">
        <f t="shared" si="8"/>
        <v>0.02162849873</v>
      </c>
      <c r="H35" s="302">
        <v>69.0</v>
      </c>
      <c r="I35" s="5">
        <f t="shared" si="3"/>
        <v>1380</v>
      </c>
      <c r="J35" s="5">
        <v>10730.0</v>
      </c>
      <c r="K35" s="5">
        <f t="shared" si="9"/>
        <v>254170</v>
      </c>
      <c r="L35" s="4">
        <f t="shared" si="4"/>
        <v>0.9594941487</v>
      </c>
      <c r="M35" s="303">
        <f t="shared" si="5"/>
        <v>0.005429436991</v>
      </c>
      <c r="S35" s="86"/>
      <c r="T35" s="366" t="s">
        <v>553</v>
      </c>
      <c r="U35" s="371">
        <f>U32*U33</f>
        <v>121854000</v>
      </c>
      <c r="V35" s="76"/>
    </row>
    <row r="36">
      <c r="A36" s="288"/>
      <c r="B36" s="372">
        <v>35.0</v>
      </c>
      <c r="C36" s="44">
        <f t="shared" si="1"/>
        <v>700</v>
      </c>
      <c r="D36" s="44">
        <v>2880.0</v>
      </c>
      <c r="E36" s="44">
        <f t="shared" si="7"/>
        <v>34160</v>
      </c>
      <c r="F36" s="373">
        <f t="shared" si="2"/>
        <v>0.1289543224</v>
      </c>
      <c r="G36" s="373">
        <f t="shared" si="8"/>
        <v>0.02049180328</v>
      </c>
      <c r="H36" s="374">
        <v>70.0</v>
      </c>
      <c r="I36" s="44">
        <f t="shared" si="3"/>
        <v>1400</v>
      </c>
      <c r="J36" s="363">
        <v>0.0</v>
      </c>
      <c r="K36" s="374">
        <f t="shared" si="9"/>
        <v>264900</v>
      </c>
      <c r="L36" s="373">
        <f t="shared" si="4"/>
        <v>1</v>
      </c>
      <c r="M36" s="375">
        <f t="shared" si="5"/>
        <v>0.005285013213</v>
      </c>
      <c r="S36" s="86"/>
      <c r="T36" s="76"/>
      <c r="U36" s="76"/>
      <c r="V36" s="76"/>
    </row>
    <row r="37">
      <c r="B37" s="376"/>
      <c r="C37" s="185"/>
      <c r="D37" s="185"/>
      <c r="E37" s="185"/>
      <c r="F37" s="185"/>
      <c r="G37" s="185"/>
      <c r="H37" s="185"/>
      <c r="I37" s="185"/>
      <c r="J37" s="376"/>
      <c r="K37" s="376"/>
      <c r="L37" s="376"/>
      <c r="M37" s="376"/>
      <c r="S37" s="86"/>
      <c r="T37" s="76"/>
      <c r="U37" s="76"/>
      <c r="V37" s="76"/>
    </row>
  </sheetData>
  <mergeCells count="21">
    <mergeCell ref="S1:W1"/>
    <mergeCell ref="S2:S3"/>
    <mergeCell ref="T2:T3"/>
    <mergeCell ref="U2:U3"/>
    <mergeCell ref="V2:V3"/>
    <mergeCell ref="W2:W3"/>
    <mergeCell ref="S7:V7"/>
    <mergeCell ref="O17:P17"/>
    <mergeCell ref="O18:Q18"/>
    <mergeCell ref="O19:P19"/>
    <mergeCell ref="O20:P20"/>
    <mergeCell ref="O22:Q31"/>
    <mergeCell ref="T31:U31"/>
    <mergeCell ref="T34:U34"/>
    <mergeCell ref="T8:V8"/>
    <mergeCell ref="U9:V9"/>
    <mergeCell ref="W10:X12"/>
    <mergeCell ref="O13:Q13"/>
    <mergeCell ref="O14:P14"/>
    <mergeCell ref="O15:P15"/>
    <mergeCell ref="O16:P16"/>
  </mergeCells>
  <dataValidations>
    <dataValidation type="list" allowBlank="1" sqref="Q15">
      <formula1>Range!$AQ$2:$AQ$70</formula1>
    </dataValidation>
    <dataValidation type="list" allowBlank="1" sqref="Q14">
      <formula1>Range!$AL$2:$AL$70</formula1>
    </dataValidation>
    <dataValidation type="list" allowBlank="1" showErrorMessage="1" sqref="T9">
      <formula1>Range!$AL$2:$AL$71</formula1>
    </dataValidation>
  </dataValidations>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2.86"/>
  </cols>
  <sheetData>
    <row r="1">
      <c r="A1" s="10" t="s">
        <v>469</v>
      </c>
    </row>
    <row r="2">
      <c r="B2" s="377" t="s">
        <v>556</v>
      </c>
      <c r="C2" s="103"/>
      <c r="D2" s="103"/>
      <c r="E2" s="103"/>
      <c r="F2" s="187"/>
      <c r="H2" s="378" t="s">
        <v>557</v>
      </c>
      <c r="I2" s="103"/>
      <c r="J2" s="103"/>
      <c r="K2" s="103"/>
      <c r="L2" s="187"/>
      <c r="N2" s="379" t="s">
        <v>558</v>
      </c>
      <c r="O2" s="103"/>
      <c r="P2" s="103"/>
      <c r="Q2" s="103"/>
      <c r="R2" s="187"/>
    </row>
    <row r="3" ht="29.25" customHeight="1">
      <c r="B3" s="377" t="s">
        <v>559</v>
      </c>
      <c r="C3" s="103"/>
      <c r="D3" s="103"/>
      <c r="E3" s="103"/>
      <c r="F3" s="187"/>
      <c r="H3" s="378" t="s">
        <v>560</v>
      </c>
      <c r="I3" s="103"/>
      <c r="J3" s="103"/>
      <c r="K3" s="103"/>
      <c r="L3" s="187"/>
      <c r="N3" s="379" t="s">
        <v>561</v>
      </c>
      <c r="O3" s="103"/>
      <c r="P3" s="103"/>
      <c r="Q3" s="103"/>
      <c r="R3" s="187"/>
    </row>
    <row r="4">
      <c r="B4" s="281" t="s">
        <v>562</v>
      </c>
      <c r="C4" s="282" t="s">
        <v>563</v>
      </c>
      <c r="D4" s="282" t="s">
        <v>515</v>
      </c>
      <c r="E4" s="282" t="s">
        <v>516</v>
      </c>
      <c r="F4" s="283" t="s">
        <v>518</v>
      </c>
      <c r="H4" s="281" t="s">
        <v>562</v>
      </c>
      <c r="I4" s="282" t="s">
        <v>563</v>
      </c>
      <c r="J4" s="282" t="s">
        <v>515</v>
      </c>
      <c r="K4" s="282" t="s">
        <v>516</v>
      </c>
      <c r="L4" s="283" t="s">
        <v>518</v>
      </c>
      <c r="N4" s="281" t="s">
        <v>562</v>
      </c>
      <c r="O4" s="282" t="s">
        <v>563</v>
      </c>
      <c r="P4" s="282" t="s">
        <v>515</v>
      </c>
      <c r="Q4" s="282" t="s">
        <v>516</v>
      </c>
      <c r="R4" s="283" t="s">
        <v>518</v>
      </c>
    </row>
    <row r="5">
      <c r="B5" s="380">
        <v>1.0</v>
      </c>
      <c r="C5" s="381">
        <v>3000.0</v>
      </c>
      <c r="D5" s="381">
        <v>5000.0</v>
      </c>
      <c r="E5" s="381">
        <v>0.0</v>
      </c>
      <c r="F5" s="382" t="s">
        <v>37</v>
      </c>
      <c r="H5" s="380">
        <v>1.0</v>
      </c>
      <c r="I5" s="381">
        <v>6000.0</v>
      </c>
      <c r="J5" s="381">
        <v>8000.0</v>
      </c>
      <c r="K5" s="381">
        <v>0.0</v>
      </c>
      <c r="L5" s="382" t="s">
        <v>37</v>
      </c>
      <c r="N5" s="380">
        <v>1.0</v>
      </c>
      <c r="O5" s="381">
        <v>9000.0</v>
      </c>
      <c r="P5" s="381">
        <v>12000.0</v>
      </c>
      <c r="Q5" s="381">
        <v>0.0</v>
      </c>
      <c r="R5" s="382" t="s">
        <v>37</v>
      </c>
    </row>
    <row r="6">
      <c r="B6" s="383">
        <v>2.0</v>
      </c>
      <c r="C6" s="384">
        <v>3750.0</v>
      </c>
      <c r="D6" s="384">
        <v>6500.0</v>
      </c>
      <c r="E6" s="384">
        <f t="shared" ref="E6:E14" si="1">E5+D5</f>
        <v>5000</v>
      </c>
      <c r="F6" s="385">
        <f t="shared" ref="F6:F14" si="2">C6/E6</f>
        <v>0.75</v>
      </c>
      <c r="H6" s="383">
        <v>2.0</v>
      </c>
      <c r="I6" s="384">
        <v>7200.0</v>
      </c>
      <c r="J6" s="384">
        <v>10000.0</v>
      </c>
      <c r="K6" s="384">
        <f t="shared" ref="K6:K14" si="3">K5+J5</f>
        <v>8000</v>
      </c>
      <c r="L6" s="385">
        <f t="shared" ref="L6:L14" si="4">I6/K6</f>
        <v>0.9</v>
      </c>
      <c r="N6" s="383">
        <v>2.0</v>
      </c>
      <c r="O6" s="384">
        <v>10800.0</v>
      </c>
      <c r="P6" s="384">
        <v>16000.0</v>
      </c>
      <c r="Q6" s="384">
        <f t="shared" ref="Q6:Q14" si="5">Q5+P5</f>
        <v>12000</v>
      </c>
      <c r="R6" s="385">
        <f t="shared" ref="R6:R14" si="6">O6/Q6</f>
        <v>0.9</v>
      </c>
    </row>
    <row r="7">
      <c r="B7" s="383">
        <v>3.0</v>
      </c>
      <c r="C7" s="384">
        <v>4725.0</v>
      </c>
      <c r="D7" s="384">
        <v>8500.0</v>
      </c>
      <c r="E7" s="384">
        <f t="shared" si="1"/>
        <v>11500</v>
      </c>
      <c r="F7" s="385">
        <f t="shared" si="2"/>
        <v>0.4108695652</v>
      </c>
      <c r="H7" s="383">
        <v>3.0</v>
      </c>
      <c r="I7" s="384">
        <v>8700.0</v>
      </c>
      <c r="J7" s="384">
        <v>14000.0</v>
      </c>
      <c r="K7" s="384">
        <f t="shared" si="3"/>
        <v>18000</v>
      </c>
      <c r="L7" s="385">
        <f t="shared" si="4"/>
        <v>0.4833333333</v>
      </c>
      <c r="N7" s="383">
        <v>3.0</v>
      </c>
      <c r="O7" s="384">
        <v>13200.0</v>
      </c>
      <c r="P7" s="384">
        <v>20000.0</v>
      </c>
      <c r="Q7" s="384">
        <f t="shared" si="5"/>
        <v>28000</v>
      </c>
      <c r="R7" s="385">
        <f t="shared" si="6"/>
        <v>0.4714285714</v>
      </c>
    </row>
    <row r="8">
      <c r="B8" s="383">
        <v>4.0</v>
      </c>
      <c r="C8" s="384">
        <v>6000.0</v>
      </c>
      <c r="D8" s="384">
        <v>11000.0</v>
      </c>
      <c r="E8" s="384">
        <f t="shared" si="1"/>
        <v>20000</v>
      </c>
      <c r="F8" s="385">
        <f t="shared" si="2"/>
        <v>0.3</v>
      </c>
      <c r="H8" s="383">
        <v>4.0</v>
      </c>
      <c r="I8" s="384">
        <v>10800.0</v>
      </c>
      <c r="J8" s="384">
        <v>18000.0</v>
      </c>
      <c r="K8" s="384">
        <f t="shared" si="3"/>
        <v>32000</v>
      </c>
      <c r="L8" s="385">
        <f t="shared" si="4"/>
        <v>0.3375</v>
      </c>
      <c r="N8" s="383">
        <v>4.0</v>
      </c>
      <c r="O8" s="384">
        <v>16200.0</v>
      </c>
      <c r="P8" s="384">
        <v>26000.0</v>
      </c>
      <c r="Q8" s="384">
        <f t="shared" si="5"/>
        <v>48000</v>
      </c>
      <c r="R8" s="385">
        <f t="shared" si="6"/>
        <v>0.3375</v>
      </c>
    </row>
    <row r="9">
      <c r="B9" s="383">
        <v>5.0</v>
      </c>
      <c r="C9" s="384">
        <v>7650.0</v>
      </c>
      <c r="D9" s="384">
        <v>14500.0</v>
      </c>
      <c r="E9" s="384">
        <f t="shared" si="1"/>
        <v>31000</v>
      </c>
      <c r="F9" s="385">
        <f t="shared" si="2"/>
        <v>0.2467741935</v>
      </c>
      <c r="H9" s="383">
        <v>5.0</v>
      </c>
      <c r="I9" s="384">
        <v>13500.0</v>
      </c>
      <c r="J9" s="384">
        <v>23000.0</v>
      </c>
      <c r="K9" s="384">
        <f t="shared" si="3"/>
        <v>50000</v>
      </c>
      <c r="L9" s="385">
        <f t="shared" si="4"/>
        <v>0.27</v>
      </c>
      <c r="N9" s="383">
        <v>5.0</v>
      </c>
      <c r="O9" s="384">
        <v>20100.0</v>
      </c>
      <c r="P9" s="384">
        <v>34000.0</v>
      </c>
      <c r="Q9" s="384">
        <f t="shared" si="5"/>
        <v>74000</v>
      </c>
      <c r="R9" s="385">
        <f t="shared" si="6"/>
        <v>0.2716216216</v>
      </c>
    </row>
    <row r="10">
      <c r="B10" s="383">
        <v>6.0</v>
      </c>
      <c r="C10" s="384">
        <v>9825.0</v>
      </c>
      <c r="D10" s="384">
        <v>18500.0</v>
      </c>
      <c r="E10" s="384">
        <f t="shared" si="1"/>
        <v>45500</v>
      </c>
      <c r="F10" s="385">
        <f t="shared" si="2"/>
        <v>0.2159340659</v>
      </c>
      <c r="H10" s="383">
        <v>6.0</v>
      </c>
      <c r="I10" s="384">
        <v>16950.0</v>
      </c>
      <c r="J10" s="384">
        <v>30000.0</v>
      </c>
      <c r="K10" s="384">
        <f t="shared" si="3"/>
        <v>73000</v>
      </c>
      <c r="L10" s="385">
        <f t="shared" si="4"/>
        <v>0.2321917808</v>
      </c>
      <c r="N10" s="383">
        <v>6.0</v>
      </c>
      <c r="O10" s="384">
        <v>25200.0</v>
      </c>
      <c r="P10" s="384">
        <v>45000.0</v>
      </c>
      <c r="Q10" s="384">
        <f t="shared" si="5"/>
        <v>108000</v>
      </c>
      <c r="R10" s="385">
        <f t="shared" si="6"/>
        <v>0.2333333333</v>
      </c>
    </row>
    <row r="11">
      <c r="B11" s="383">
        <v>7.0</v>
      </c>
      <c r="C11" s="384">
        <v>12600.0</v>
      </c>
      <c r="D11" s="384">
        <v>24000.0</v>
      </c>
      <c r="E11" s="384">
        <f t="shared" si="1"/>
        <v>64000</v>
      </c>
      <c r="F11" s="385">
        <f t="shared" si="2"/>
        <v>0.196875</v>
      </c>
      <c r="H11" s="383">
        <v>7.0</v>
      </c>
      <c r="I11" s="384">
        <v>21450.0</v>
      </c>
      <c r="J11" s="384">
        <v>39000.0</v>
      </c>
      <c r="K11" s="384">
        <f t="shared" si="3"/>
        <v>103000</v>
      </c>
      <c r="L11" s="385">
        <f t="shared" si="4"/>
        <v>0.2082524272</v>
      </c>
      <c r="N11" s="383">
        <v>7.0</v>
      </c>
      <c r="O11" s="384">
        <v>31950.0</v>
      </c>
      <c r="P11" s="384">
        <v>58000.0</v>
      </c>
      <c r="Q11" s="384">
        <f t="shared" si="5"/>
        <v>153000</v>
      </c>
      <c r="R11" s="385">
        <f t="shared" si="6"/>
        <v>0.2088235294</v>
      </c>
    </row>
    <row r="12">
      <c r="B12" s="383">
        <v>8.0</v>
      </c>
      <c r="C12" s="384">
        <v>16200.0</v>
      </c>
      <c r="D12" s="384">
        <v>31500.0</v>
      </c>
      <c r="E12" s="384">
        <f t="shared" si="1"/>
        <v>88000</v>
      </c>
      <c r="F12" s="385">
        <f t="shared" si="2"/>
        <v>0.1840909091</v>
      </c>
      <c r="H12" s="383">
        <v>8.0</v>
      </c>
      <c r="I12" s="384">
        <v>27300.0</v>
      </c>
      <c r="J12" s="384">
        <v>50000.0</v>
      </c>
      <c r="K12" s="384">
        <f t="shared" si="3"/>
        <v>142000</v>
      </c>
      <c r="L12" s="385">
        <f t="shared" si="4"/>
        <v>0.1922535211</v>
      </c>
      <c r="N12" s="383">
        <v>8.0</v>
      </c>
      <c r="O12" s="384">
        <v>40650.0</v>
      </c>
      <c r="P12" s="384">
        <v>75000.0</v>
      </c>
      <c r="Q12" s="384">
        <f t="shared" si="5"/>
        <v>211000</v>
      </c>
      <c r="R12" s="385">
        <f t="shared" si="6"/>
        <v>0.1926540284</v>
      </c>
    </row>
    <row r="13">
      <c r="B13" s="383">
        <v>9.0</v>
      </c>
      <c r="C13" s="384">
        <v>20920.0</v>
      </c>
      <c r="D13" s="384">
        <v>41000.0</v>
      </c>
      <c r="E13" s="384">
        <f t="shared" si="1"/>
        <v>119500</v>
      </c>
      <c r="F13" s="385">
        <f t="shared" si="2"/>
        <v>0.1750627615</v>
      </c>
      <c r="H13" s="383">
        <v>9.0</v>
      </c>
      <c r="I13" s="384">
        <v>34800.0</v>
      </c>
      <c r="J13" s="384">
        <v>65000.0</v>
      </c>
      <c r="K13" s="384">
        <f t="shared" si="3"/>
        <v>192000</v>
      </c>
      <c r="L13" s="385">
        <f t="shared" si="4"/>
        <v>0.18125</v>
      </c>
      <c r="N13" s="383">
        <v>9.0</v>
      </c>
      <c r="O13" s="384">
        <v>51900.0</v>
      </c>
      <c r="P13" s="384">
        <v>98000.0</v>
      </c>
      <c r="Q13" s="384">
        <f t="shared" si="5"/>
        <v>286000</v>
      </c>
      <c r="R13" s="385">
        <f t="shared" si="6"/>
        <v>0.1814685315</v>
      </c>
    </row>
    <row r="14">
      <c r="B14" s="386">
        <v>10.0</v>
      </c>
      <c r="C14" s="387">
        <v>27070.0</v>
      </c>
      <c r="D14" s="387">
        <v>0.0</v>
      </c>
      <c r="E14" s="388">
        <f t="shared" si="1"/>
        <v>160500</v>
      </c>
      <c r="F14" s="389">
        <f t="shared" si="2"/>
        <v>0.1686604361</v>
      </c>
      <c r="H14" s="386">
        <v>1.0</v>
      </c>
      <c r="I14" s="387">
        <v>44550.0</v>
      </c>
      <c r="J14" s="387">
        <v>0.0</v>
      </c>
      <c r="K14" s="388">
        <f t="shared" si="3"/>
        <v>257000</v>
      </c>
      <c r="L14" s="389">
        <f t="shared" si="4"/>
        <v>0.1733463035</v>
      </c>
      <c r="N14" s="386">
        <v>10.0</v>
      </c>
      <c r="O14" s="387">
        <v>66600.0</v>
      </c>
      <c r="P14" s="387">
        <v>0.0</v>
      </c>
      <c r="Q14" s="388">
        <f t="shared" si="5"/>
        <v>384000</v>
      </c>
      <c r="R14" s="389">
        <f t="shared" si="6"/>
        <v>0.1734375</v>
      </c>
    </row>
    <row r="15">
      <c r="M15" s="10" t="s">
        <v>469</v>
      </c>
    </row>
    <row r="18">
      <c r="B18" s="390" t="s">
        <v>564</v>
      </c>
      <c r="C18" s="391" t="s">
        <v>562</v>
      </c>
      <c r="D18" s="392" t="s">
        <v>565</v>
      </c>
      <c r="E18" s="324"/>
      <c r="F18" s="393"/>
      <c r="G18" s="392" t="s">
        <v>566</v>
      </c>
      <c r="H18" s="324"/>
      <c r="I18" s="324"/>
      <c r="J18" s="324"/>
      <c r="K18" s="324"/>
      <c r="L18" s="325"/>
      <c r="O18" s="337" t="s">
        <v>567</v>
      </c>
      <c r="P18" s="338"/>
      <c r="Q18" s="339"/>
    </row>
    <row r="19">
      <c r="B19" s="394" t="s">
        <v>310</v>
      </c>
      <c r="C19" s="395">
        <v>10.0</v>
      </c>
      <c r="D19" s="396" t="s">
        <v>568</v>
      </c>
      <c r="E19" s="397"/>
      <c r="F19" s="398"/>
      <c r="G19" s="399" t="str">
        <f>CONCATENATE("Gain ",10+5*(C19-1),"% health")</f>
        <v>Gain 55% health</v>
      </c>
      <c r="H19" s="400"/>
      <c r="I19" s="400"/>
      <c r="J19" s="400"/>
      <c r="K19" s="400"/>
      <c r="L19" s="275"/>
      <c r="O19" s="344" t="s">
        <v>564</v>
      </c>
      <c r="P19" s="345"/>
      <c r="Q19" s="401" t="s">
        <v>396</v>
      </c>
    </row>
    <row r="20">
      <c r="B20" s="402"/>
      <c r="C20" s="403"/>
      <c r="D20" s="404"/>
      <c r="E20" s="405"/>
      <c r="F20" s="406"/>
      <c r="G20" s="407" t="str">
        <f>CONCATENATE("[Tech] Gain ",20+4*(C19-1),"% Attack against Might heroes")</f>
        <v>[Tech] Gain 56% Attack against Might heroes</v>
      </c>
      <c r="H20" s="408"/>
      <c r="I20" s="408"/>
      <c r="J20" s="408"/>
      <c r="K20" s="408"/>
      <c r="L20" s="409"/>
      <c r="O20" s="349" t="s">
        <v>543</v>
      </c>
      <c r="P20" s="350"/>
      <c r="Q20" s="410">
        <v>1.0</v>
      </c>
    </row>
    <row r="21">
      <c r="B21" s="402"/>
      <c r="C21" s="395">
        <v>10.0</v>
      </c>
      <c r="D21" s="396" t="s">
        <v>569</v>
      </c>
      <c r="E21" s="397"/>
      <c r="F21" s="398"/>
      <c r="G21" s="399" t="str">
        <f>CONCATENATE("Gain ",20+5*(C21-1),"% Damage for Basic, Tag and Swipe attacks")</f>
        <v>Gain 65% Damage for Basic, Tag and Swipe attacks</v>
      </c>
      <c r="H21" s="400"/>
      <c r="I21" s="400"/>
      <c r="J21" s="400"/>
      <c r="K21" s="400"/>
      <c r="L21" s="275"/>
      <c r="O21" s="344" t="s">
        <v>544</v>
      </c>
      <c r="P21" s="345"/>
      <c r="Q21" s="410">
        <v>4.0</v>
      </c>
    </row>
    <row r="22">
      <c r="B22" s="402"/>
      <c r="C22" s="403"/>
      <c r="D22" s="404"/>
      <c r="E22" s="405"/>
      <c r="F22" s="406"/>
      <c r="G22" s="411" t="str">
        <f>CONCATENATE("[Might] Gain ",20+4*(C21-1),"% Attack against Agility heroes")</f>
        <v>[Might] Gain 56% Attack against Agility heroes</v>
      </c>
      <c r="L22" s="412"/>
      <c r="O22" s="413" t="s">
        <v>570</v>
      </c>
      <c r="P22" s="414"/>
      <c r="Q22" s="415">
        <f>IF($Q$19="Silver",Range!$BK$13,IF($Q$19="Gold",Range!$BK$14,Range!$BK$15))</f>
        <v>48000</v>
      </c>
    </row>
    <row r="23">
      <c r="B23" s="402"/>
      <c r="C23" s="395">
        <v>10.0</v>
      </c>
      <c r="D23" s="396" t="s">
        <v>571</v>
      </c>
      <c r="E23" s="397"/>
      <c r="F23" s="398"/>
      <c r="G23" s="399" t="str">
        <f>CONCATENATE("+",10*C23,"% DoT Damage")</f>
        <v>+100% DoT Damage</v>
      </c>
      <c r="H23" s="400"/>
      <c r="I23" s="400"/>
      <c r="J23" s="400"/>
      <c r="K23" s="400"/>
      <c r="L23" s="275"/>
    </row>
    <row r="24">
      <c r="B24" s="402"/>
      <c r="C24" s="403"/>
      <c r="D24" s="404"/>
      <c r="E24" s="405"/>
      <c r="F24" s="406"/>
      <c r="G24" s="411" t="str">
        <f>CONCATENATE("[Agility] Gain ",20+4*(C23-1),"% Attack against Metahuman heroes")</f>
        <v>[Agility] Gain 56% Attack against Metahuman heroes</v>
      </c>
      <c r="L24" s="412"/>
    </row>
    <row r="25">
      <c r="B25" s="402"/>
      <c r="C25" s="395">
        <v>10.0</v>
      </c>
      <c r="D25" s="396" t="s">
        <v>572</v>
      </c>
      <c r="E25" s="397"/>
      <c r="F25" s="398"/>
      <c r="G25" s="399" t="str">
        <f>CONCATENATE("Increase all healing effects on self by ",10*C25,"% and teammates by ",5*C25,"%")</f>
        <v>Increase all healing effects on self by 100% and teammates by 50%</v>
      </c>
      <c r="H25" s="400"/>
      <c r="I25" s="400"/>
      <c r="J25" s="400"/>
      <c r="K25" s="400"/>
      <c r="L25" s="275"/>
      <c r="O25" s="337" t="s">
        <v>573</v>
      </c>
      <c r="P25" s="338"/>
      <c r="Q25" s="339"/>
    </row>
    <row r="26">
      <c r="B26" s="402"/>
      <c r="C26" s="403"/>
      <c r="D26" s="404"/>
      <c r="E26" s="405"/>
      <c r="F26" s="406"/>
      <c r="G26" s="411" t="str">
        <f>CONCATENATE("[Metahuman] Gain ",20+4*(C25-1),"% Attack against Tech heroes")</f>
        <v>[Metahuman] Gain 56% Attack against Tech heroes</v>
      </c>
      <c r="L26" s="412"/>
      <c r="O26" s="344" t="s">
        <v>574</v>
      </c>
      <c r="P26" s="345"/>
      <c r="Q26" s="121">
        <f>160500*5+257000*3+384000*2</f>
        <v>2341500</v>
      </c>
    </row>
    <row r="27">
      <c r="B27" s="402"/>
      <c r="C27" s="395">
        <v>10.0</v>
      </c>
      <c r="D27" s="396" t="s">
        <v>575</v>
      </c>
      <c r="E27" s="397"/>
      <c r="F27" s="398"/>
      <c r="G27" s="399" t="str">
        <f>CONCATENATE("Gain ",10+5*(C27-1),"% Special attack Damage")</f>
        <v>Gain 55% Special attack Damage</v>
      </c>
      <c r="H27" s="400"/>
      <c r="I27" s="400"/>
      <c r="J27" s="400"/>
      <c r="K27" s="400"/>
      <c r="L27" s="275"/>
      <c r="O27" s="413" t="s">
        <v>576</v>
      </c>
      <c r="P27" s="414"/>
      <c r="Q27" s="151">
        <f>160500*1+257000*2+384000*3</f>
        <v>1826500</v>
      </c>
    </row>
    <row r="28">
      <c r="B28" s="402"/>
      <c r="C28" s="403"/>
      <c r="D28" s="404"/>
      <c r="E28" s="405"/>
      <c r="F28" s="406"/>
      <c r="G28" s="407" t="str">
        <f>CONCATENATE("[Arcane] Gain ",20+4*(C27-1),"% Attack against Arcane heroes")</f>
        <v>[Arcane] Gain 56% Attack against Arcane heroes</v>
      </c>
      <c r="H28" s="408"/>
      <c r="I28" s="408"/>
      <c r="J28" s="408"/>
      <c r="K28" s="408"/>
      <c r="L28" s="409"/>
    </row>
    <row r="29">
      <c r="B29" s="402"/>
      <c r="C29" s="395">
        <v>10.0</v>
      </c>
      <c r="D29" s="396" t="s">
        <v>577</v>
      </c>
      <c r="E29" s="397"/>
      <c r="F29" s="398"/>
      <c r="G29" s="399" t="str">
        <f>CONCATENATE("+",110+5*(C29-1),"% Special attack damage for 5 seconds after successfully blocking an opponent's Special Ability")</f>
        <v>+155% Special attack damage for 5 seconds after successfully blocking an opponent's Special Ability</v>
      </c>
      <c r="H29" s="400"/>
      <c r="I29" s="400"/>
      <c r="J29" s="400"/>
      <c r="K29" s="400"/>
      <c r="L29" s="275"/>
    </row>
    <row r="30">
      <c r="B30" s="402"/>
      <c r="C30" s="416"/>
      <c r="D30" s="417"/>
      <c r="F30" s="418"/>
      <c r="G30" s="411" t="str">
        <f>CONCATENATE(37+7*(C29-1),"% chance to ignore Power Steal or Power Drain. If Power Steal or Power Drain are ignored, transfer ",44+4*(C29-1),"% of that power to reserves for the team and drain opponent for same amount of Power")</f>
        <v>100% chance to ignore Power Steal or Power Drain. If Power Steal or Power Drain are ignored, transfer 80% of that power to reserves for the team and drain opponent for same amount of Power</v>
      </c>
      <c r="L30" s="412"/>
    </row>
    <row r="31">
      <c r="B31" s="402"/>
      <c r="C31" s="416"/>
      <c r="D31" s="417"/>
      <c r="F31" s="418"/>
      <c r="G31" s="419" t="str">
        <f>CONCATENATE("[DAWN OF APOKOLIPS Solo Raid Event only] +",VLOOKUP(C29,Range!$BL$2:$BR$11,2,FALSE)," Attack")</f>
        <v>[DAWN OF APOKOLIPS Solo Raid Event only] +12000 Attack</v>
      </c>
      <c r="L31" s="420"/>
    </row>
    <row r="32">
      <c r="B32" s="421"/>
      <c r="C32" s="403"/>
      <c r="D32" s="404"/>
      <c r="E32" s="405"/>
      <c r="F32" s="406"/>
      <c r="G32" s="407" t="str">
        <f>CONCATENATE("[DAWN OF APOKOLIPS Solo Raid Event only] +",VLOOKUP(C29,Range!$BL$2:$BR$11,3,FALSE)," Health")</f>
        <v>[DAWN OF APOKOLIPS Solo Raid Event only] +40000 Health</v>
      </c>
      <c r="H32" s="408"/>
      <c r="I32" s="408"/>
      <c r="J32" s="408"/>
      <c r="K32" s="408"/>
      <c r="L32" s="409"/>
    </row>
    <row r="33">
      <c r="B33" s="394" t="s">
        <v>359</v>
      </c>
      <c r="C33" s="395">
        <v>10.0</v>
      </c>
      <c r="D33" s="422" t="s">
        <v>578</v>
      </c>
      <c r="E33" s="397"/>
      <c r="F33" s="398"/>
      <c r="G33" s="399" t="str">
        <f>CONCATENATE("Gain ",30+5*(C33-1),"% Attack")</f>
        <v>Gain 75% Attack</v>
      </c>
      <c r="H33" s="400"/>
      <c r="I33" s="400"/>
      <c r="J33" s="400"/>
      <c r="K33" s="400"/>
      <c r="L33" s="275"/>
    </row>
    <row r="34">
      <c r="B34" s="402"/>
      <c r="C34" s="403"/>
      <c r="D34" s="404"/>
      <c r="E34" s="405"/>
      <c r="F34" s="406"/>
      <c r="G34" s="407" t="str">
        <f>CONCATENATE(12+2*(C33-1),"% chance to Stun on Swipe Attacks")</f>
        <v>30% chance to Stun on Swipe Attacks</v>
      </c>
      <c r="H34" s="408"/>
      <c r="I34" s="408"/>
      <c r="J34" s="408"/>
      <c r="K34" s="408"/>
      <c r="L34" s="409"/>
    </row>
    <row r="35">
      <c r="B35" s="402"/>
      <c r="C35" s="395">
        <v>10.0</v>
      </c>
      <c r="D35" s="422" t="s">
        <v>579</v>
      </c>
      <c r="E35" s="397"/>
      <c r="F35" s="398"/>
      <c r="G35" s="399" t="str">
        <f>CONCATENATE("Whenever losing greater than 10% of max Health from a single attack, gain a shield that blocks ",50+3*(C35-1),"% of all incoming attacks for ",5.5+0.5*(C35-1)," seconds")</f>
        <v>Whenever losing greater than 10% of max Health from a single attack, gain a shield that blocks 77% of all incoming attacks for 10 seconds</v>
      </c>
      <c r="H35" s="400"/>
      <c r="I35" s="400"/>
      <c r="J35" s="400"/>
      <c r="K35" s="400"/>
      <c r="L35" s="275"/>
    </row>
    <row r="36">
      <c r="B36" s="402"/>
      <c r="C36" s="403"/>
      <c r="D36" s="404"/>
      <c r="E36" s="405"/>
      <c r="F36" s="406"/>
      <c r="G36" s="411" t="str">
        <f>CONCATENATE("While shield is active, reflect ",30+3*(C35-1),"% damage of Special attacks")</f>
        <v>While shield is active, reflect 57% damage of Special attacks</v>
      </c>
      <c r="L36" s="412"/>
    </row>
    <row r="37">
      <c r="B37" s="402"/>
      <c r="C37" s="395">
        <v>10.0</v>
      </c>
      <c r="D37" s="422" t="s">
        <v>580</v>
      </c>
      <c r="E37" s="397"/>
      <c r="F37" s="398"/>
      <c r="G37" s="399" t="str">
        <f>CONCATENATE("Gain ",60+10*(C37-1),"% Attack on tag-in for ",12+2*(C37-1), " seconds and inflict DoT on self, dealing 20% of current health in damage")</f>
        <v>Gain 150% Attack on tag-in for 30 seconds and inflict DoT on self, dealing 20% of current health in damage</v>
      </c>
      <c r="H37" s="400"/>
      <c r="I37" s="400"/>
      <c r="J37" s="400"/>
      <c r="K37" s="400"/>
      <c r="L37" s="275"/>
    </row>
    <row r="38">
      <c r="B38" s="402"/>
      <c r="C38" s="403"/>
      <c r="D38" s="404"/>
      <c r="E38" s="405"/>
      <c r="F38" s="406"/>
      <c r="G38" s="407" t="str">
        <f>CONCATENATE("[Red Hood] Gain ",5*C37,"% Lethal Attack chance and reduces supermove cost by 5")</f>
        <v>[Red Hood] Gain 50% Lethal Attack chance and reduces supermove cost by 5</v>
      </c>
      <c r="H38" s="408"/>
      <c r="I38" s="408"/>
      <c r="J38" s="408"/>
      <c r="K38" s="408"/>
      <c r="L38" s="409"/>
    </row>
    <row r="39">
      <c r="B39" s="402"/>
      <c r="C39" s="395">
        <v>7.0</v>
      </c>
      <c r="D39" s="422" t="s">
        <v>581</v>
      </c>
      <c r="E39" s="397"/>
      <c r="F39" s="398"/>
      <c r="G39" s="399" t="str">
        <f>CONCATENATE(37+7*(C39-1),"% chance to steal opponent's Combo Meter on successful Swipe attacks")</f>
        <v>79% chance to steal opponent's Combo Meter on successful Swipe attacks</v>
      </c>
      <c r="H39" s="400"/>
      <c r="I39" s="400"/>
      <c r="J39" s="400"/>
      <c r="K39" s="400"/>
      <c r="L39" s="275"/>
    </row>
    <row r="40">
      <c r="B40" s="402"/>
      <c r="C40" s="416"/>
      <c r="D40" s="417"/>
      <c r="F40" s="418"/>
      <c r="G40" s="423" t="str">
        <f>CONCATENATE("+",70+20*(C39-1),"% damage against Minions and Summons")</f>
        <v>+190% damage against Minions and Summons</v>
      </c>
      <c r="L40" s="412"/>
    </row>
    <row r="41">
      <c r="B41" s="402"/>
      <c r="C41" s="416"/>
      <c r="D41" s="417"/>
      <c r="F41" s="418"/>
      <c r="G41" s="419" t="str">
        <f>CONCATENATE("+",1.8+0.3*(C39-1)," Power Bars gained from opponent KO. Doesn't stack with similar effects")</f>
        <v>+3.6 Power Bars gained from opponent KO. Doesn't stack with similar effects</v>
      </c>
      <c r="L41" s="420"/>
    </row>
    <row r="42">
      <c r="B42" s="402"/>
      <c r="C42" s="416"/>
      <c r="D42" s="417"/>
      <c r="F42" s="418"/>
      <c r="G42" s="423" t="str">
        <f>CONCATENATE("+",15+2*(C39-1),"% Health gained from opponent KO. Doesn't stack with similar effects")</f>
        <v>+27% Health gained from opponent KO. Doesn't stack with similar effects</v>
      </c>
      <c r="L42" s="412"/>
    </row>
    <row r="43">
      <c r="B43" s="402"/>
      <c r="C43" s="416"/>
      <c r="D43" s="417"/>
      <c r="F43" s="418"/>
      <c r="G43" s="419" t="str">
        <f>CONCATENATE("[DAWN OF APOKOLIPS Solo Raid Event only] +",VLOOKUP(C39,Range!$BL$2:$BR$11,4,FALSE)," Attack")</f>
        <v>[DAWN OF APOKOLIPS Solo Raid Event only] +11600 Attack</v>
      </c>
      <c r="L43" s="420"/>
    </row>
    <row r="44">
      <c r="B44" s="402"/>
      <c r="C44" s="403"/>
      <c r="D44" s="404"/>
      <c r="E44" s="405"/>
      <c r="F44" s="406"/>
      <c r="G44" s="407" t="str">
        <f>CONCATENATE("[DAWN OF APOKOLIPS Solo Raid Event only] +",VLOOKUP(C39,Range!$BL$2:$BR$11,5,FALSE)," Health")</f>
        <v>[DAWN OF APOKOLIPS Solo Raid Event only] +37000 Health</v>
      </c>
      <c r="H44" s="408"/>
      <c r="I44" s="408"/>
      <c r="J44" s="408"/>
      <c r="K44" s="408"/>
      <c r="L44" s="409"/>
    </row>
    <row r="45">
      <c r="B45" s="402"/>
      <c r="C45" s="395">
        <v>10.0</v>
      </c>
      <c r="D45" s="422" t="s">
        <v>582</v>
      </c>
      <c r="E45" s="397"/>
      <c r="F45" s="398"/>
      <c r="G45" s="399" t="str">
        <f>CONCATENATE("If an opponent is protected by a shield or barrier, your ranged attack has a ",37+7*(C45-1),"% chance to be unblockable and destroy it")</f>
        <v>If an opponent is protected by a shield or barrier, your ranged attack has a 100% chance to be unblockable and destroy it</v>
      </c>
      <c r="H45" s="400"/>
      <c r="I45" s="400"/>
      <c r="J45" s="400"/>
      <c r="K45" s="400"/>
      <c r="L45" s="275"/>
    </row>
    <row r="46">
      <c r="B46" s="402"/>
      <c r="C46" s="416"/>
      <c r="D46" s="417"/>
      <c r="F46" s="418"/>
      <c r="G46" s="423" t="str">
        <f>CONCATENATE("Your ranged attacks deal +",110+10*(C45-1),"% damage")</f>
        <v>Your ranged attacks deal +200% damage</v>
      </c>
      <c r="L46" s="412"/>
    </row>
    <row r="47">
      <c r="B47" s="402"/>
      <c r="C47" s="416"/>
      <c r="D47" s="417"/>
      <c r="F47" s="418"/>
      <c r="G47" s="419" t="str">
        <f>CONCATENATE("Successful Swipe attacks remove ",30+5*(C45-1),"% of the active opponent's defense for 5 seconds")</f>
        <v>Successful Swipe attacks remove 75% of the active opponent's defense for 5 seconds</v>
      </c>
      <c r="L47" s="420"/>
    </row>
    <row r="48">
      <c r="B48" s="402"/>
      <c r="C48" s="416"/>
      <c r="D48" s="417"/>
      <c r="F48" s="418"/>
      <c r="G48" s="423" t="str">
        <f>CONCATENATE("[DAWN OF APOKOLIPS Solo Raid Event only] +",VLOOKUP(C45,Range!$BL$2:$BR$11,4,FALSE)," Attack")</f>
        <v>[DAWN OF APOKOLIPS Solo Raid Event only] +20000 Attack</v>
      </c>
      <c r="L48" s="412"/>
    </row>
    <row r="49">
      <c r="B49" s="421"/>
      <c r="C49" s="403"/>
      <c r="D49" s="404"/>
      <c r="E49" s="405"/>
      <c r="F49" s="406"/>
      <c r="G49" s="424" t="str">
        <f>CONCATENATE("[DAWN OF APOKOLIPS Solo Raid Event only] +",VLOOKUP(C45,Range!$BL$2:$BR$11,5,FALSE)," Health")</f>
        <v>[DAWN OF APOKOLIPS Solo Raid Event only] +64000 Health</v>
      </c>
      <c r="H49" s="425"/>
      <c r="I49" s="425"/>
      <c r="J49" s="425"/>
      <c r="K49" s="425"/>
      <c r="L49" s="426"/>
    </row>
    <row r="50">
      <c r="B50" s="394" t="s">
        <v>396</v>
      </c>
      <c r="C50" s="395">
        <v>10.0</v>
      </c>
      <c r="D50" s="427" t="s">
        <v>583</v>
      </c>
      <c r="E50" s="397"/>
      <c r="F50" s="398"/>
      <c r="G50" s="428" t="str">
        <f>CONCATENATE("Once per battle revive with ",20+6*(C50-1),"% Health when knocked out")</f>
        <v>Once per battle revive with 74% Health when knocked out</v>
      </c>
      <c r="H50" s="429"/>
      <c r="I50" s="429"/>
      <c r="J50" s="429"/>
      <c r="K50" s="429"/>
      <c r="L50" s="269"/>
    </row>
    <row r="51">
      <c r="B51" s="402"/>
      <c r="C51" s="403"/>
      <c r="D51" s="404"/>
      <c r="E51" s="405"/>
      <c r="F51" s="406"/>
      <c r="G51" s="430" t="str">
        <f>CONCATENATE("[Superman] Gain ",10*C50,"% Attack when revived")</f>
        <v>[Superman] Gain 100% Attack when revived</v>
      </c>
      <c r="L51" s="420"/>
    </row>
    <row r="52">
      <c r="B52" s="402"/>
      <c r="C52" s="395">
        <v>10.0</v>
      </c>
      <c r="D52" s="427" t="s">
        <v>584</v>
      </c>
      <c r="E52" s="397"/>
      <c r="F52" s="398"/>
      <c r="G52" s="428" t="str">
        <f>CONCATENATE("Gain ",30+5*(C52-1),"% Health")</f>
        <v>Gain 75% Health</v>
      </c>
      <c r="H52" s="429"/>
      <c r="I52" s="429"/>
      <c r="J52" s="429"/>
      <c r="K52" s="429"/>
      <c r="L52" s="269"/>
    </row>
    <row r="53">
      <c r="B53" s="402"/>
      <c r="C53" s="416"/>
      <c r="D53" s="417"/>
      <c r="F53" s="418"/>
      <c r="G53" s="430" t="str">
        <f>CONCATENATE("Gain ",0.06*C52,"% Attack for each percent of currently missing Health")</f>
        <v>Gain 0.6% Attack for each percent of currently missing Health</v>
      </c>
      <c r="L53" s="420"/>
    </row>
    <row r="54">
      <c r="B54" s="402"/>
      <c r="C54" s="403"/>
      <c r="D54" s="404"/>
      <c r="E54" s="405"/>
      <c r="F54" s="406"/>
      <c r="G54" s="407" t="str">
        <f>CONCATENATE("[Legendary] ",15+3*(C52-1),"% of damage dealt to the active Hero is split between all teammates")</f>
        <v>[Legendary] 42% of damage dealt to the active Hero is split between all teammates</v>
      </c>
      <c r="H54" s="408"/>
      <c r="I54" s="408"/>
      <c r="J54" s="408"/>
      <c r="K54" s="408"/>
      <c r="L54" s="409"/>
    </row>
    <row r="55">
      <c r="B55" s="402"/>
      <c r="C55" s="395">
        <v>10.0</v>
      </c>
      <c r="D55" s="427" t="s">
        <v>585</v>
      </c>
      <c r="E55" s="397"/>
      <c r="F55" s="398"/>
      <c r="G55" s="399" t="str">
        <f>CONCATENATE("Each instance of incoming damage cannot deal more than ",15-0.7*(C55-1),"% of your max health")</f>
        <v>Each instance of incoming damage cannot deal more than 8.7% of your max health</v>
      </c>
      <c r="H55" s="400"/>
      <c r="I55" s="400"/>
      <c r="J55" s="400"/>
      <c r="K55" s="400"/>
      <c r="L55" s="275"/>
    </row>
    <row r="56">
      <c r="B56" s="402"/>
      <c r="C56" s="416"/>
      <c r="D56" s="417"/>
      <c r="F56" s="418"/>
      <c r="G56" s="431" t="s">
        <v>586</v>
      </c>
      <c r="L56" s="412"/>
    </row>
    <row r="57">
      <c r="B57" s="402"/>
      <c r="C57" s="416"/>
      <c r="D57" s="417"/>
      <c r="F57" s="418"/>
      <c r="G57" s="430" t="str">
        <f>CONCATENATE("-",50+5*(C55-1),"% Hazard and Hazard DOT incoming damage")</f>
        <v>-95% Hazard and Hazard DOT incoming damage</v>
      </c>
      <c r="L57" s="420"/>
    </row>
    <row r="58">
      <c r="B58" s="402"/>
      <c r="C58" s="416"/>
      <c r="D58" s="417"/>
      <c r="F58" s="418"/>
      <c r="G58" s="411" t="str">
        <f>CONCATENATE("-",55+5*(C55-1),"% Hazard secondary effects")</f>
        <v>-100% Hazard secondary effects</v>
      </c>
      <c r="L58" s="412"/>
    </row>
    <row r="59">
      <c r="B59" s="402"/>
      <c r="C59" s="416"/>
      <c r="D59" s="417"/>
      <c r="F59" s="418"/>
      <c r="G59" s="419" t="str">
        <f>CONCATENATE("[DAWN OF APOKOLIPS Solo Raid Event only] +",VLOOKUP(C55,Range!$BL$2:$BR$11,6,FALSE)," Attack")</f>
        <v>[DAWN OF APOKOLIPS Solo Raid Event only] +32000 Attack</v>
      </c>
      <c r="L59" s="420"/>
    </row>
    <row r="60">
      <c r="B60" s="402"/>
      <c r="C60" s="403"/>
      <c r="D60" s="404"/>
      <c r="E60" s="405"/>
      <c r="F60" s="406"/>
      <c r="G60" s="407" t="str">
        <f>CONCATENATE("[DAWN OF APOKOLIPS Solo Raid Event only] +",VLOOKUP(C55,Range!$BL$2:$BR$11,7,FALSE)," Health")</f>
        <v>[DAWN OF APOKOLIPS Solo Raid Event only] +100000 Health</v>
      </c>
      <c r="H60" s="408"/>
      <c r="I60" s="408"/>
      <c r="J60" s="408"/>
      <c r="K60" s="408"/>
      <c r="L60" s="409"/>
    </row>
    <row r="61">
      <c r="B61" s="402"/>
      <c r="C61" s="395">
        <v>10.0</v>
      </c>
      <c r="D61" s="427" t="s">
        <v>587</v>
      </c>
      <c r="E61" s="397"/>
      <c r="F61" s="398"/>
      <c r="G61" s="399" t="str">
        <f>CONCATENATE("+",105+5*(C61-1),"% Power generation for 5 seconds when hit by a Critical Attack")</f>
        <v>+150% Power generation for 5 seconds when hit by a Critical Attack</v>
      </c>
      <c r="H61" s="400"/>
      <c r="I61" s="400"/>
      <c r="J61" s="400"/>
      <c r="K61" s="400"/>
      <c r="L61" s="275"/>
    </row>
    <row r="62">
      <c r="B62" s="402"/>
      <c r="C62" s="416"/>
      <c r="D62" s="417"/>
      <c r="F62" s="418"/>
      <c r="G62" s="411" t="str">
        <f>CONCATENATE("+",37+7*(C61-1),"% Health")</f>
        <v>+100% Health</v>
      </c>
      <c r="L62" s="412"/>
    </row>
    <row r="63">
      <c r="B63" s="402"/>
      <c r="C63" s="416"/>
      <c r="D63" s="417"/>
      <c r="F63" s="418"/>
      <c r="G63" s="430" t="str">
        <f>CONCATENATE("Steal ",37+7*(C61-1),"% of opponent healing effects")</f>
        <v>Steal 100% of opponent healing effects</v>
      </c>
      <c r="L63" s="420"/>
    </row>
    <row r="64">
      <c r="B64" s="402"/>
      <c r="C64" s="416"/>
      <c r="D64" s="417"/>
      <c r="F64" s="418"/>
      <c r="G64" s="423" t="str">
        <f>CONCATENATE("[DAWN OF APOKOLIPS Solo Raid Event only] +",VLOOKUP(C61,Range!$BL$2:$BR$11,6,FALSE)," Attack")</f>
        <v>[DAWN OF APOKOLIPS Solo Raid Event only] +32000 Attack</v>
      </c>
      <c r="L64" s="412"/>
    </row>
    <row r="65">
      <c r="B65" s="402"/>
      <c r="C65" s="403"/>
      <c r="D65" s="404"/>
      <c r="E65" s="405"/>
      <c r="F65" s="406"/>
      <c r="G65" s="424" t="str">
        <f>CONCATENATE("[DAWN OF APOKOLIPS Solo Raid Event only] +",VLOOKUP(C61,Range!$BL$2:$BR$11,7,FALSE)," Health")</f>
        <v>[DAWN OF APOKOLIPS Solo Raid Event only] +100000 Health</v>
      </c>
      <c r="H65" s="425"/>
      <c r="I65" s="425"/>
      <c r="J65" s="425"/>
      <c r="K65" s="425"/>
      <c r="L65" s="426"/>
    </row>
    <row r="66">
      <c r="B66" s="402"/>
      <c r="C66" s="395">
        <v>3.0</v>
      </c>
      <c r="D66" s="427" t="s">
        <v>588</v>
      </c>
      <c r="E66" s="397"/>
      <c r="F66" s="398"/>
      <c r="G66" s="428" t="str">
        <f>CONCATENATE("When below 30% health, heal back ",15+4*(C66-1),"% of max health over 6 seconds. Cleanse all debuffs every 3 seconds while this healing is active. Max 3 times per battle")</f>
        <v>When below 30% health, heal back 23% of max health over 6 seconds. Cleanse all debuffs every 3 seconds while this healing is active. Max 3 times per battle</v>
      </c>
      <c r="H66" s="429"/>
      <c r="I66" s="429"/>
      <c r="J66" s="429"/>
      <c r="K66" s="429"/>
      <c r="L66" s="269"/>
    </row>
    <row r="67">
      <c r="B67" s="402"/>
      <c r="C67" s="416"/>
      <c r="D67" s="417"/>
      <c r="F67" s="418"/>
      <c r="G67" s="430" t="str">
        <f>CONCATENATE("Replaces your Rush Attack (swipe right) with a teleporting strike that places you in front of the opponent, dealing +",110+10*(C66-1),"% of your Rush Attack damage")</f>
        <v>Replaces your Rush Attack (swipe right) with a teleporting strike that places you in front of the opponent, dealing +130% of your Rush Attack damage</v>
      </c>
      <c r="L67" s="420"/>
    </row>
    <row r="68">
      <c r="B68" s="402"/>
      <c r="C68" s="416"/>
      <c r="D68" s="417"/>
      <c r="F68" s="418"/>
      <c r="G68" s="423" t="str">
        <f>CONCATENATE("[DAWN OF APOKOLIPS Solo Raid Event only] +",VLOOKUP(C66,Range!$BL$2:$BR$11,6,FALSE)," Attack")</f>
        <v>[DAWN OF APOKOLIPS Solo Raid Event only] +7000 Attack</v>
      </c>
      <c r="L68" s="412"/>
    </row>
    <row r="69">
      <c r="B69" s="432"/>
      <c r="C69" s="433"/>
      <c r="D69" s="434"/>
      <c r="E69" s="219"/>
      <c r="F69" s="435"/>
      <c r="G69" s="436" t="str">
        <f>CONCATENATE("[DAWN OF APOKOLIPS Solo Raid Event only] +",VLOOKUP(C66,Range!$BL$2:$BR$11,7,FALSE)," Health")</f>
        <v>[DAWN OF APOKOLIPS Solo Raid Event only] +23000 Health</v>
      </c>
      <c r="H69" s="437"/>
      <c r="I69" s="437"/>
      <c r="J69" s="437"/>
      <c r="K69" s="437"/>
      <c r="L69" s="438"/>
    </row>
  </sheetData>
  <mergeCells count="102">
    <mergeCell ref="B2:F2"/>
    <mergeCell ref="H2:L2"/>
    <mergeCell ref="N2:R2"/>
    <mergeCell ref="B3:F3"/>
    <mergeCell ref="H3:L3"/>
    <mergeCell ref="N3:R3"/>
    <mergeCell ref="D18:F18"/>
    <mergeCell ref="O19:P19"/>
    <mergeCell ref="O20:P20"/>
    <mergeCell ref="C21:C22"/>
    <mergeCell ref="D21:F22"/>
    <mergeCell ref="G21:L21"/>
    <mergeCell ref="O21:P21"/>
    <mergeCell ref="G22:L22"/>
    <mergeCell ref="O22:P22"/>
    <mergeCell ref="C23:C24"/>
    <mergeCell ref="D23:F24"/>
    <mergeCell ref="C25:C26"/>
    <mergeCell ref="D25:F26"/>
    <mergeCell ref="G23:L23"/>
    <mergeCell ref="G24:L24"/>
    <mergeCell ref="G25:L25"/>
    <mergeCell ref="O25:Q25"/>
    <mergeCell ref="G26:L26"/>
    <mergeCell ref="O26:P26"/>
    <mergeCell ref="C27:C28"/>
    <mergeCell ref="D27:F28"/>
    <mergeCell ref="G27:L27"/>
    <mergeCell ref="O27:P27"/>
    <mergeCell ref="G28:L28"/>
    <mergeCell ref="G29:L29"/>
    <mergeCell ref="G30:L30"/>
    <mergeCell ref="G31:L31"/>
    <mergeCell ref="D52:F54"/>
    <mergeCell ref="D55:F60"/>
    <mergeCell ref="D29:F32"/>
    <mergeCell ref="D33:F34"/>
    <mergeCell ref="D35:F36"/>
    <mergeCell ref="D37:F38"/>
    <mergeCell ref="D39:F44"/>
    <mergeCell ref="D45:F49"/>
    <mergeCell ref="D50:F51"/>
    <mergeCell ref="G61:L61"/>
    <mergeCell ref="G62:L62"/>
    <mergeCell ref="G54:L54"/>
    <mergeCell ref="G55:L55"/>
    <mergeCell ref="G56:L56"/>
    <mergeCell ref="G57:L57"/>
    <mergeCell ref="G58:L58"/>
    <mergeCell ref="G59:L59"/>
    <mergeCell ref="G60:L60"/>
    <mergeCell ref="G18:L18"/>
    <mergeCell ref="O18:Q18"/>
    <mergeCell ref="B19:B32"/>
    <mergeCell ref="D19:F20"/>
    <mergeCell ref="G19:L19"/>
    <mergeCell ref="G20:L20"/>
    <mergeCell ref="G32:L32"/>
    <mergeCell ref="G33:L33"/>
    <mergeCell ref="G34:L34"/>
    <mergeCell ref="G35:L35"/>
    <mergeCell ref="G36:L36"/>
    <mergeCell ref="G37:L37"/>
    <mergeCell ref="G38:L38"/>
    <mergeCell ref="G39:L39"/>
    <mergeCell ref="G40:L40"/>
    <mergeCell ref="G41:L41"/>
    <mergeCell ref="G42:L42"/>
    <mergeCell ref="G43:L43"/>
    <mergeCell ref="G44:L44"/>
    <mergeCell ref="G45:L45"/>
    <mergeCell ref="G46:L46"/>
    <mergeCell ref="B33:B49"/>
    <mergeCell ref="B50:B69"/>
    <mergeCell ref="C50:C51"/>
    <mergeCell ref="C52:C54"/>
    <mergeCell ref="C55:C60"/>
    <mergeCell ref="C61:C65"/>
    <mergeCell ref="D61:F65"/>
    <mergeCell ref="C66:C69"/>
    <mergeCell ref="D66:F69"/>
    <mergeCell ref="C19:C20"/>
    <mergeCell ref="C29:C32"/>
    <mergeCell ref="C33:C34"/>
    <mergeCell ref="C35:C36"/>
    <mergeCell ref="C37:C38"/>
    <mergeCell ref="C39:C44"/>
    <mergeCell ref="C45:C49"/>
    <mergeCell ref="G63:L63"/>
    <mergeCell ref="G64:L64"/>
    <mergeCell ref="G65:L65"/>
    <mergeCell ref="G66:L66"/>
    <mergeCell ref="G67:L67"/>
    <mergeCell ref="G68:L68"/>
    <mergeCell ref="G69:L69"/>
    <mergeCell ref="G47:L47"/>
    <mergeCell ref="G48:L48"/>
    <mergeCell ref="G49:L49"/>
    <mergeCell ref="G50:L50"/>
    <mergeCell ref="G51:L51"/>
    <mergeCell ref="G52:L52"/>
    <mergeCell ref="G53:L53"/>
  </mergeCells>
  <dataValidations>
    <dataValidation type="list" allowBlank="1" sqref="Q19">
      <formula1>"Silver,Gold,Legendary"</formula1>
    </dataValidation>
    <dataValidation type="list" allowBlank="1" sqref="C19 C21 C23 C25 C27 C29 C33 C35 C37 C39 C45 C50 C52 C55 C61 C66">
      <formula1>"1,2,3,4,5,6,7,8,9,10"</formula1>
    </dataValidation>
    <dataValidation type="list" allowBlank="1" sqref="Q20">
      <formula1>"1,2,3,4,5,6,7,8,9"</formula1>
    </dataValidation>
    <dataValidation type="list" allowBlank="1" sqref="Q21">
      <formula1>Range!$BJ$2:$BJ$10</formula1>
    </dataValidation>
  </dataValidations>
  <printOptions gridLines="1" horizontalCentered="1"/>
  <pageMargins bottom="0.75" footer="0.0" header="0.0" left="0.7" right="0.7" top="0.75"/>
  <pageSetup fitToHeight="0" paperSize="9" cellComments="atEnd" orientation="landscape" pageOrder="overThenDown"/>
  <drawing r:id="rId1"/>
  <tableParts count="4">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14"/>
    <col customWidth="1" min="2" max="4" width="14.43"/>
  </cols>
  <sheetData>
    <row r="1">
      <c r="A1" s="322" t="s">
        <v>23</v>
      </c>
      <c r="B1" s="439" t="s">
        <v>589</v>
      </c>
      <c r="C1" s="440" t="s">
        <v>590</v>
      </c>
      <c r="D1" s="441" t="s">
        <v>591</v>
      </c>
      <c r="E1" s="86"/>
    </row>
    <row r="2">
      <c r="A2" s="442" t="s">
        <v>592</v>
      </c>
      <c r="B2" s="443">
        <v>0.08</v>
      </c>
      <c r="C2" s="443">
        <v>0.12</v>
      </c>
      <c r="D2" s="444">
        <v>0.24</v>
      </c>
      <c r="E2" s="2"/>
    </row>
    <row r="3">
      <c r="A3" s="442" t="s">
        <v>40</v>
      </c>
      <c r="B3" s="443">
        <v>0.01</v>
      </c>
      <c r="C3" s="443">
        <v>0.02</v>
      </c>
      <c r="D3" s="444">
        <v>0.04</v>
      </c>
      <c r="E3" s="2"/>
    </row>
    <row r="4">
      <c r="A4" s="442" t="s">
        <v>593</v>
      </c>
      <c r="B4" s="443">
        <v>0.04</v>
      </c>
      <c r="C4" s="443">
        <v>0.06</v>
      </c>
      <c r="D4" s="444">
        <v>0.12</v>
      </c>
      <c r="E4" s="2"/>
    </row>
    <row r="5">
      <c r="A5" s="442" t="s">
        <v>70</v>
      </c>
      <c r="B5" s="443">
        <v>0.04</v>
      </c>
      <c r="C5" s="443">
        <v>0.06</v>
      </c>
      <c r="D5" s="444">
        <v>0.12</v>
      </c>
      <c r="E5" s="2"/>
    </row>
    <row r="6">
      <c r="A6" s="442" t="s">
        <v>56</v>
      </c>
      <c r="B6" s="443">
        <v>0.08</v>
      </c>
      <c r="C6" s="443">
        <v>0.12</v>
      </c>
      <c r="D6" s="444">
        <v>0.24</v>
      </c>
      <c r="E6" s="2"/>
    </row>
    <row r="7">
      <c r="A7" s="442" t="s">
        <v>594</v>
      </c>
      <c r="B7" s="443">
        <v>0.08</v>
      </c>
      <c r="C7" s="443">
        <v>0.12</v>
      </c>
      <c r="D7" s="444">
        <v>0.2</v>
      </c>
      <c r="E7" s="2"/>
    </row>
    <row r="8">
      <c r="A8" s="442" t="s">
        <v>39</v>
      </c>
      <c r="B8" s="443">
        <v>0.04</v>
      </c>
      <c r="C8" s="443">
        <v>0.06</v>
      </c>
      <c r="D8" s="444">
        <v>0.12</v>
      </c>
      <c r="E8" s="2"/>
    </row>
    <row r="9">
      <c r="A9" s="442" t="s">
        <v>41</v>
      </c>
      <c r="B9" s="443">
        <v>0.01</v>
      </c>
      <c r="C9" s="443">
        <v>0.02</v>
      </c>
      <c r="D9" s="444">
        <v>0.04</v>
      </c>
      <c r="E9" s="2"/>
    </row>
    <row r="10">
      <c r="A10" s="442" t="s">
        <v>595</v>
      </c>
      <c r="B10" s="443">
        <v>0.05</v>
      </c>
      <c r="C10" s="443">
        <v>0.1</v>
      </c>
      <c r="D10" s="444">
        <v>0.2</v>
      </c>
      <c r="E10" s="2"/>
    </row>
    <row r="11">
      <c r="A11" s="445" t="s">
        <v>111</v>
      </c>
      <c r="B11" s="446">
        <v>0.04</v>
      </c>
      <c r="C11" s="446">
        <v>0.06</v>
      </c>
      <c r="D11" s="447">
        <v>0.12</v>
      </c>
      <c r="E11" s="2"/>
    </row>
    <row r="12">
      <c r="A12" s="2"/>
      <c r="B12" s="2"/>
      <c r="C12" s="2"/>
      <c r="D12" s="2"/>
      <c r="E12" s="2"/>
    </row>
    <row r="13">
      <c r="A13" s="322" t="s">
        <v>596</v>
      </c>
      <c r="B13" s="448" t="s">
        <v>597</v>
      </c>
      <c r="C13" s="325"/>
      <c r="D13" s="2"/>
      <c r="E13" s="2"/>
    </row>
    <row r="14">
      <c r="A14" s="442" t="s">
        <v>310</v>
      </c>
      <c r="B14" s="17">
        <v>5000.0</v>
      </c>
      <c r="C14" s="328"/>
      <c r="D14" s="2"/>
      <c r="E14" s="2"/>
    </row>
    <row r="15">
      <c r="A15" s="442" t="s">
        <v>359</v>
      </c>
      <c r="B15" s="17">
        <v>7500.0</v>
      </c>
      <c r="C15" s="328"/>
      <c r="D15" s="2"/>
      <c r="E15" s="2"/>
    </row>
    <row r="16">
      <c r="A16" s="445" t="s">
        <v>396</v>
      </c>
      <c r="B16" s="449">
        <v>10000.0</v>
      </c>
      <c r="C16" s="450"/>
      <c r="D16" s="2"/>
      <c r="E16" s="2"/>
    </row>
    <row r="17">
      <c r="A17" s="2"/>
      <c r="B17" s="2"/>
      <c r="C17" s="2"/>
      <c r="D17" s="2"/>
      <c r="E17" s="2"/>
    </row>
  </sheetData>
  <mergeCells count="4">
    <mergeCell ref="B13:C13"/>
    <mergeCell ref="B14:C14"/>
    <mergeCell ref="B15:C15"/>
    <mergeCell ref="B16:C16"/>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0.86"/>
    <col customWidth="1" min="2" max="2" width="28.71"/>
    <col customWidth="1" min="3" max="3" width="17.29"/>
    <col customWidth="1" min="7" max="7" width="24.0"/>
    <col customWidth="1" min="9" max="10" width="28.71"/>
    <col customWidth="1" min="11" max="11" width="3.71"/>
    <col customWidth="1" min="12" max="12" width="28.71"/>
    <col customWidth="1" min="13" max="13" width="3.71"/>
    <col customWidth="1" min="14" max="14" width="28.71"/>
    <col customWidth="1" min="15" max="15" width="3.71"/>
    <col customWidth="1" min="16" max="16" width="32.71"/>
    <col customWidth="1" min="17" max="17" width="37.86"/>
  </cols>
  <sheetData>
    <row r="1">
      <c r="A1" s="451"/>
      <c r="B1" s="200"/>
      <c r="C1" s="452" t="s">
        <v>598</v>
      </c>
      <c r="D1" s="103"/>
      <c r="E1" s="103"/>
      <c r="F1" s="103"/>
      <c r="G1" s="103"/>
      <c r="H1" s="103"/>
      <c r="I1" s="103"/>
      <c r="J1" s="103"/>
      <c r="K1" s="103"/>
      <c r="L1" s="103"/>
      <c r="M1" s="103"/>
      <c r="N1" s="103"/>
      <c r="O1" s="103"/>
      <c r="P1" s="103"/>
      <c r="Q1" s="187"/>
      <c r="R1" s="86"/>
    </row>
    <row r="2">
      <c r="A2" s="219"/>
      <c r="B2" s="220"/>
      <c r="C2" s="453" t="s">
        <v>599</v>
      </c>
      <c r="D2" s="454">
        <v>16.0</v>
      </c>
      <c r="E2" s="453" t="s">
        <v>600</v>
      </c>
      <c r="F2" s="454">
        <v>20.0</v>
      </c>
      <c r="G2" s="455" t="s">
        <v>601</v>
      </c>
      <c r="Q2" s="200"/>
      <c r="R2" s="86"/>
    </row>
    <row r="3">
      <c r="A3" s="456" t="s">
        <v>602</v>
      </c>
      <c r="B3" s="457" t="s">
        <v>603</v>
      </c>
      <c r="C3" s="458" t="s">
        <v>604</v>
      </c>
      <c r="D3" s="458" t="s">
        <v>605</v>
      </c>
      <c r="E3" s="458" t="s">
        <v>606</v>
      </c>
      <c r="F3" s="458" t="s">
        <v>607</v>
      </c>
      <c r="G3" s="458" t="s">
        <v>608</v>
      </c>
      <c r="H3" s="458" t="s">
        <v>609</v>
      </c>
      <c r="I3" s="458" t="s">
        <v>610</v>
      </c>
      <c r="J3" s="457" t="s">
        <v>611</v>
      </c>
      <c r="K3" s="457" t="s">
        <v>612</v>
      </c>
      <c r="L3" s="457" t="s">
        <v>611</v>
      </c>
      <c r="M3" s="457" t="s">
        <v>612</v>
      </c>
      <c r="N3" s="457" t="s">
        <v>611</v>
      </c>
      <c r="O3" s="457" t="s">
        <v>612</v>
      </c>
      <c r="P3" s="457" t="s">
        <v>613</v>
      </c>
      <c r="Q3" s="459" t="s">
        <v>614</v>
      </c>
      <c r="R3" s="86"/>
    </row>
    <row r="4">
      <c r="A4" s="460">
        <v>42741.0</v>
      </c>
      <c r="B4" s="461" t="s">
        <v>154</v>
      </c>
      <c r="C4" s="462">
        <v>2311.0</v>
      </c>
      <c r="D4" s="462">
        <v>6.0</v>
      </c>
      <c r="E4" s="462">
        <v>80.0</v>
      </c>
      <c r="F4" s="462">
        <f t="shared" ref="F4:F35" si="1">ROUND(E4*(1+($D$2+$F$2)/100),0)</f>
        <v>109</v>
      </c>
      <c r="G4" s="463">
        <f t="shared" ref="G4:G35" si="2">F4/D4</f>
        <v>18.16666667</v>
      </c>
      <c r="H4" s="462">
        <v>85.0</v>
      </c>
      <c r="I4" s="463">
        <f t="shared" ref="I4:I35" si="3">H4/D4</f>
        <v>14.16666667</v>
      </c>
      <c r="J4" s="464" t="s">
        <v>615</v>
      </c>
      <c r="K4" s="464">
        <v>1.0</v>
      </c>
      <c r="L4" s="464" t="s">
        <v>616</v>
      </c>
      <c r="M4" s="465">
        <v>1.0</v>
      </c>
      <c r="N4" s="464"/>
      <c r="O4" s="465"/>
      <c r="P4" s="462">
        <f>LOOKUP(K4,'Gear Leveling &amp; Effects'!$B$2:$B$21,'Gear Leveling &amp; Effects'!$C$2:$C$21)+LOOKUP(M4,'Gear Leveling &amp; Effects'!$B$2:$B$21,'Gear Leveling &amp; Effects'!$C$2:$C$21)+IF(ISBLANK(O4),0,LOOKUP(O4,'Gear Leveling &amp; Effects'!$B$2:$B$21,'Gear Leveling &amp; Effects'!$C$2:$C$21))</f>
        <v>40</v>
      </c>
      <c r="Q4" s="466">
        <f t="shared" ref="Q4:Q35" si="4">P4/D4</f>
        <v>6.666666667</v>
      </c>
      <c r="R4" s="2"/>
    </row>
    <row r="5">
      <c r="A5" s="467">
        <v>42747.0</v>
      </c>
      <c r="B5" s="468" t="s">
        <v>236</v>
      </c>
      <c r="C5" s="469">
        <v>2835.0</v>
      </c>
      <c r="D5" s="469">
        <v>6.0</v>
      </c>
      <c r="E5" s="469">
        <v>100.0</v>
      </c>
      <c r="F5" s="470">
        <f t="shared" si="1"/>
        <v>136</v>
      </c>
      <c r="G5" s="471">
        <f t="shared" si="2"/>
        <v>22.66666667</v>
      </c>
      <c r="H5" s="469">
        <v>110.0</v>
      </c>
      <c r="I5" s="471">
        <f t="shared" si="3"/>
        <v>18.33333333</v>
      </c>
      <c r="J5" s="472" t="s">
        <v>617</v>
      </c>
      <c r="K5" s="472">
        <v>1.0</v>
      </c>
      <c r="L5" s="472" t="s">
        <v>618</v>
      </c>
      <c r="M5" s="473">
        <v>1.0</v>
      </c>
      <c r="N5" s="472"/>
      <c r="O5" s="473"/>
      <c r="P5" s="469">
        <f>LOOKUP(K5,'Gear Leveling &amp; Effects'!$B$2:$B$21,'Gear Leveling &amp; Effects'!$C$2:$C$21)+LOOKUP(M5,'Gear Leveling &amp; Effects'!$B$2:$B$21,'Gear Leveling &amp; Effects'!$C$2:$C$21)+IF(ISBLANK(O5),0,LOOKUP(O5,'Gear Leveling &amp; Effects'!$B$2:$B$21,'Gear Leveling &amp; Effects'!$C$2:$C$21))</f>
        <v>40</v>
      </c>
      <c r="Q5" s="474">
        <f t="shared" si="4"/>
        <v>6.666666667</v>
      </c>
      <c r="R5" s="2"/>
    </row>
    <row r="6">
      <c r="A6" s="475">
        <v>42753.0</v>
      </c>
      <c r="B6" s="476" t="s">
        <v>177</v>
      </c>
      <c r="C6" s="3">
        <v>5034.0</v>
      </c>
      <c r="D6" s="3">
        <v>6.0</v>
      </c>
      <c r="E6" s="3">
        <v>120.0</v>
      </c>
      <c r="F6" s="462">
        <f t="shared" si="1"/>
        <v>163</v>
      </c>
      <c r="G6" s="477">
        <f t="shared" si="2"/>
        <v>27.16666667</v>
      </c>
      <c r="H6" s="3">
        <v>135.0</v>
      </c>
      <c r="I6" s="477">
        <f t="shared" si="3"/>
        <v>22.5</v>
      </c>
      <c r="J6" s="24" t="s">
        <v>619</v>
      </c>
      <c r="K6" s="24">
        <v>1.0</v>
      </c>
      <c r="L6" s="24" t="s">
        <v>620</v>
      </c>
      <c r="M6" s="478">
        <v>1.0</v>
      </c>
      <c r="N6" s="24"/>
      <c r="O6" s="478"/>
      <c r="P6" s="3">
        <f>LOOKUP(K6,'Gear Leveling &amp; Effects'!$B$2:$B$21,'Gear Leveling &amp; Effects'!$C$2:$C$21)+LOOKUP(M6,'Gear Leveling &amp; Effects'!$B$2:$B$21,'Gear Leveling &amp; Effects'!$C$2:$C$21)+IF(ISBLANK(O6),0,LOOKUP(O6,'Gear Leveling &amp; Effects'!$B$2:$B$21,'Gear Leveling &amp; Effects'!$C$2:$C$21))</f>
        <v>40</v>
      </c>
      <c r="Q6" s="479">
        <f t="shared" si="4"/>
        <v>6.666666667</v>
      </c>
      <c r="R6" s="2"/>
    </row>
    <row r="7">
      <c r="A7" s="467">
        <v>42759.0</v>
      </c>
      <c r="B7" s="468" t="s">
        <v>69</v>
      </c>
      <c r="C7" s="469">
        <v>7335.0</v>
      </c>
      <c r="D7" s="469">
        <v>6.0</v>
      </c>
      <c r="E7" s="469">
        <v>140.0</v>
      </c>
      <c r="F7" s="470">
        <f t="shared" si="1"/>
        <v>190</v>
      </c>
      <c r="G7" s="471">
        <f t="shared" si="2"/>
        <v>31.66666667</v>
      </c>
      <c r="H7" s="469">
        <v>160.0</v>
      </c>
      <c r="I7" s="471">
        <f t="shared" si="3"/>
        <v>26.66666667</v>
      </c>
      <c r="J7" s="472" t="s">
        <v>621</v>
      </c>
      <c r="K7" s="472">
        <v>1.0</v>
      </c>
      <c r="L7" s="472" t="s">
        <v>622</v>
      </c>
      <c r="M7" s="473">
        <v>1.0</v>
      </c>
      <c r="N7" s="472"/>
      <c r="O7" s="473"/>
      <c r="P7" s="469">
        <f>LOOKUP(K7,'Gear Leveling &amp; Effects'!$B$2:$B$21,'Gear Leveling &amp; Effects'!$C$2:$C$21)+LOOKUP(M7,'Gear Leveling &amp; Effects'!$B$2:$B$21,'Gear Leveling &amp; Effects'!$C$2:$C$21)+IF(ISBLANK(O7),0,LOOKUP(O7,'Gear Leveling &amp; Effects'!$B$2:$B$21,'Gear Leveling &amp; Effects'!$C$2:$C$21))</f>
        <v>40</v>
      </c>
      <c r="Q7" s="474">
        <f t="shared" si="4"/>
        <v>6.666666667</v>
      </c>
      <c r="R7" s="2"/>
    </row>
    <row r="8">
      <c r="A8" s="475">
        <v>42772.0</v>
      </c>
      <c r="B8" s="476" t="s">
        <v>138</v>
      </c>
      <c r="C8" s="3">
        <v>11172.0</v>
      </c>
      <c r="D8" s="3">
        <v>6.0</v>
      </c>
      <c r="E8" s="3">
        <v>160.0</v>
      </c>
      <c r="F8" s="462">
        <f t="shared" si="1"/>
        <v>218</v>
      </c>
      <c r="G8" s="477">
        <f t="shared" si="2"/>
        <v>36.33333333</v>
      </c>
      <c r="H8" s="3">
        <v>245.0</v>
      </c>
      <c r="I8" s="477">
        <f t="shared" si="3"/>
        <v>40.83333333</v>
      </c>
      <c r="J8" s="24" t="s">
        <v>623</v>
      </c>
      <c r="K8" s="24">
        <v>2.0</v>
      </c>
      <c r="L8" s="24" t="s">
        <v>624</v>
      </c>
      <c r="M8" s="478">
        <v>2.0</v>
      </c>
      <c r="N8" s="24"/>
      <c r="O8" s="478"/>
      <c r="P8" s="3">
        <f>LOOKUP(K8,'Gear Leveling &amp; Effects'!$B$2:$B$21,'Gear Leveling &amp; Effects'!$C$2:$C$21)+LOOKUP(M8,'Gear Leveling &amp; Effects'!$B$2:$B$21,'Gear Leveling &amp; Effects'!$C$2:$C$21)+IF(ISBLANK(O8),0,LOOKUP(O8,'Gear Leveling &amp; Effects'!$B$2:$B$21,'Gear Leveling &amp; Effects'!$C$2:$C$21))</f>
        <v>80</v>
      </c>
      <c r="Q8" s="479">
        <f t="shared" si="4"/>
        <v>13.33333333</v>
      </c>
      <c r="R8" s="2"/>
    </row>
    <row r="9">
      <c r="A9" s="467">
        <v>42778.0</v>
      </c>
      <c r="B9" s="468" t="s">
        <v>125</v>
      </c>
      <c r="C9" s="469">
        <v>12070.0</v>
      </c>
      <c r="D9" s="469">
        <v>6.0</v>
      </c>
      <c r="E9" s="469">
        <v>180.0</v>
      </c>
      <c r="F9" s="470">
        <f t="shared" si="1"/>
        <v>245</v>
      </c>
      <c r="G9" s="471">
        <f t="shared" si="2"/>
        <v>40.83333333</v>
      </c>
      <c r="H9" s="469">
        <v>295.0</v>
      </c>
      <c r="I9" s="471">
        <f t="shared" si="3"/>
        <v>49.16666667</v>
      </c>
      <c r="J9" s="472" t="s">
        <v>625</v>
      </c>
      <c r="K9" s="472">
        <v>2.0</v>
      </c>
      <c r="L9" s="472" t="s">
        <v>626</v>
      </c>
      <c r="M9" s="473">
        <v>2.0</v>
      </c>
      <c r="N9" s="472"/>
      <c r="O9" s="473"/>
      <c r="P9" s="469">
        <f>LOOKUP(K9,'Gear Leveling &amp; Effects'!$B$2:$B$21,'Gear Leveling &amp; Effects'!$C$2:$C$21)+LOOKUP(M9,'Gear Leveling &amp; Effects'!$B$2:$B$21,'Gear Leveling &amp; Effects'!$C$2:$C$21)+IF(ISBLANK(O9),0,LOOKUP(O9,'Gear Leveling &amp; Effects'!$B$2:$B$21,'Gear Leveling &amp; Effects'!$C$2:$C$21))</f>
        <v>80</v>
      </c>
      <c r="Q9" s="474">
        <f t="shared" si="4"/>
        <v>13.33333333</v>
      </c>
      <c r="R9" s="2"/>
    </row>
    <row r="10">
      <c r="A10" s="475">
        <v>42784.0</v>
      </c>
      <c r="B10" s="476" t="s">
        <v>144</v>
      </c>
      <c r="C10" s="3">
        <v>12225.0</v>
      </c>
      <c r="D10" s="3">
        <v>6.0</v>
      </c>
      <c r="E10" s="3">
        <v>200.0</v>
      </c>
      <c r="F10" s="462">
        <f t="shared" si="1"/>
        <v>272</v>
      </c>
      <c r="G10" s="477">
        <f t="shared" si="2"/>
        <v>45.33333333</v>
      </c>
      <c r="H10" s="3">
        <v>345.0</v>
      </c>
      <c r="I10" s="477">
        <f t="shared" si="3"/>
        <v>57.5</v>
      </c>
      <c r="J10" s="24" t="s">
        <v>627</v>
      </c>
      <c r="K10" s="24">
        <v>2.0</v>
      </c>
      <c r="L10" s="24" t="s">
        <v>628</v>
      </c>
      <c r="M10" s="478">
        <v>2.0</v>
      </c>
      <c r="N10" s="24"/>
      <c r="O10" s="478"/>
      <c r="P10" s="3">
        <f>LOOKUP(K10,'Gear Leveling &amp; Effects'!$B$2:$B$21,'Gear Leveling &amp; Effects'!$C$2:$C$21)+LOOKUP(M10,'Gear Leveling &amp; Effects'!$B$2:$B$21,'Gear Leveling &amp; Effects'!$C$2:$C$21)+IF(ISBLANK(O10),0,LOOKUP(O10,'Gear Leveling &amp; Effects'!$B$2:$B$21,'Gear Leveling &amp; Effects'!$C$2:$C$21))</f>
        <v>80</v>
      </c>
      <c r="Q10" s="479">
        <f t="shared" si="4"/>
        <v>13.33333333</v>
      </c>
      <c r="R10" s="2"/>
    </row>
    <row r="11">
      <c r="A11" s="467">
        <v>42790.0</v>
      </c>
      <c r="B11" s="480" t="s">
        <v>136</v>
      </c>
      <c r="C11" s="469">
        <v>13411.0</v>
      </c>
      <c r="D11" s="469">
        <v>6.0</v>
      </c>
      <c r="E11" s="469">
        <v>220.0</v>
      </c>
      <c r="F11" s="470">
        <f t="shared" si="1"/>
        <v>299</v>
      </c>
      <c r="G11" s="471">
        <f t="shared" si="2"/>
        <v>49.83333333</v>
      </c>
      <c r="H11" s="469">
        <v>395.0</v>
      </c>
      <c r="I11" s="471">
        <f t="shared" si="3"/>
        <v>65.83333333</v>
      </c>
      <c r="J11" s="472" t="s">
        <v>629</v>
      </c>
      <c r="K11" s="472">
        <v>2.0</v>
      </c>
      <c r="L11" s="472" t="s">
        <v>630</v>
      </c>
      <c r="M11" s="473">
        <v>2.0</v>
      </c>
      <c r="N11" s="472"/>
      <c r="O11" s="473"/>
      <c r="P11" s="469">
        <f>LOOKUP(K11,'Gear Leveling &amp; Effects'!$B$2:$B$21,'Gear Leveling &amp; Effects'!$C$2:$C$21)+LOOKUP(M11,'Gear Leveling &amp; Effects'!$B$2:$B$21,'Gear Leveling &amp; Effects'!$C$2:$C$21)+IF(ISBLANK(O11),0,LOOKUP(O11,'Gear Leveling &amp; Effects'!$B$2:$B$21,'Gear Leveling &amp; Effects'!$C$2:$C$21))</f>
        <v>80</v>
      </c>
      <c r="Q11" s="474">
        <f t="shared" si="4"/>
        <v>13.33333333</v>
      </c>
      <c r="R11" s="2"/>
    </row>
    <row r="12">
      <c r="A12" s="475">
        <v>42800.0</v>
      </c>
      <c r="B12" s="476" t="s">
        <v>209</v>
      </c>
      <c r="C12" s="3">
        <v>17264.0</v>
      </c>
      <c r="D12" s="3">
        <v>7.0</v>
      </c>
      <c r="E12" s="3">
        <v>240.0</v>
      </c>
      <c r="F12" s="462">
        <f t="shared" si="1"/>
        <v>326</v>
      </c>
      <c r="G12" s="477">
        <f t="shared" si="2"/>
        <v>46.57142857</v>
      </c>
      <c r="H12" s="3">
        <v>530.0</v>
      </c>
      <c r="I12" s="477">
        <f t="shared" si="3"/>
        <v>75.71428571</v>
      </c>
      <c r="J12" s="24" t="s">
        <v>631</v>
      </c>
      <c r="K12" s="24">
        <v>3.0</v>
      </c>
      <c r="L12" s="24" t="s">
        <v>632</v>
      </c>
      <c r="M12" s="478">
        <v>3.0</v>
      </c>
      <c r="N12" s="24"/>
      <c r="O12" s="478"/>
      <c r="P12" s="3">
        <f>LOOKUP(K12,'Gear Leveling &amp; Effects'!$B$2:$B$21,'Gear Leveling &amp; Effects'!$C$2:$C$21)+LOOKUP(M12,'Gear Leveling &amp; Effects'!$B$2:$B$21,'Gear Leveling &amp; Effects'!$C$2:$C$21)+IF(ISBLANK(O12),0,LOOKUP(O12,'Gear Leveling &amp; Effects'!$B$2:$B$21,'Gear Leveling &amp; Effects'!$C$2:$C$21))</f>
        <v>120</v>
      </c>
      <c r="Q12" s="479">
        <f t="shared" si="4"/>
        <v>17.14285714</v>
      </c>
      <c r="R12" s="2"/>
    </row>
    <row r="13">
      <c r="A13" s="467">
        <v>42806.0</v>
      </c>
      <c r="B13" s="468" t="s">
        <v>197</v>
      </c>
      <c r="C13" s="469">
        <v>19082.0</v>
      </c>
      <c r="D13" s="469">
        <v>7.0</v>
      </c>
      <c r="E13" s="469">
        <v>260.0</v>
      </c>
      <c r="F13" s="470">
        <f t="shared" si="1"/>
        <v>354</v>
      </c>
      <c r="G13" s="471">
        <f t="shared" si="2"/>
        <v>50.57142857</v>
      </c>
      <c r="H13" s="469">
        <v>605.0</v>
      </c>
      <c r="I13" s="471">
        <f t="shared" si="3"/>
        <v>86.42857143</v>
      </c>
      <c r="J13" s="472" t="s">
        <v>633</v>
      </c>
      <c r="K13" s="472">
        <v>3.0</v>
      </c>
      <c r="L13" s="472" t="s">
        <v>634</v>
      </c>
      <c r="M13" s="473">
        <v>3.0</v>
      </c>
      <c r="N13" s="472"/>
      <c r="O13" s="473"/>
      <c r="P13" s="469">
        <f>LOOKUP(K13,'Gear Leveling &amp; Effects'!$B$2:$B$21,'Gear Leveling &amp; Effects'!$C$2:$C$21)+LOOKUP(M13,'Gear Leveling &amp; Effects'!$B$2:$B$21,'Gear Leveling &amp; Effects'!$C$2:$C$21)+IF(ISBLANK(O13),0,LOOKUP(O13,'Gear Leveling &amp; Effects'!$B$2:$B$21,'Gear Leveling &amp; Effects'!$C$2:$C$21))</f>
        <v>120</v>
      </c>
      <c r="Q13" s="474">
        <f t="shared" si="4"/>
        <v>17.14285714</v>
      </c>
      <c r="R13" s="2"/>
    </row>
    <row r="14">
      <c r="A14" s="475">
        <v>42812.0</v>
      </c>
      <c r="B14" s="476" t="s">
        <v>153</v>
      </c>
      <c r="C14" s="3">
        <v>27134.0</v>
      </c>
      <c r="D14" s="3">
        <v>7.0</v>
      </c>
      <c r="E14" s="3">
        <v>280.0</v>
      </c>
      <c r="F14" s="462">
        <f t="shared" si="1"/>
        <v>381</v>
      </c>
      <c r="G14" s="477">
        <f t="shared" si="2"/>
        <v>54.42857143</v>
      </c>
      <c r="H14" s="3">
        <v>680.0</v>
      </c>
      <c r="I14" s="477">
        <f t="shared" si="3"/>
        <v>97.14285714</v>
      </c>
      <c r="J14" s="24" t="s">
        <v>635</v>
      </c>
      <c r="K14" s="24">
        <v>3.0</v>
      </c>
      <c r="L14" s="24" t="s">
        <v>636</v>
      </c>
      <c r="M14" s="478">
        <v>3.0</v>
      </c>
      <c r="N14" s="24"/>
      <c r="O14" s="478"/>
      <c r="P14" s="3">
        <f>LOOKUP(K14,'Gear Leveling &amp; Effects'!$B$2:$B$21,'Gear Leveling &amp; Effects'!$C$2:$C$21)+LOOKUP(M14,'Gear Leveling &amp; Effects'!$B$2:$B$21,'Gear Leveling &amp; Effects'!$C$2:$C$21)+IF(ISBLANK(O14),0,LOOKUP(O14,'Gear Leveling &amp; Effects'!$B$2:$B$21,'Gear Leveling &amp; Effects'!$C$2:$C$21))</f>
        <v>120</v>
      </c>
      <c r="Q14" s="479">
        <f t="shared" si="4"/>
        <v>17.14285714</v>
      </c>
      <c r="R14" s="2"/>
    </row>
    <row r="15">
      <c r="A15" s="467">
        <v>42818.0</v>
      </c>
      <c r="B15" s="480" t="s">
        <v>151</v>
      </c>
      <c r="C15" s="469">
        <v>22995.0</v>
      </c>
      <c r="D15" s="469">
        <v>7.0</v>
      </c>
      <c r="E15" s="469">
        <v>300.0</v>
      </c>
      <c r="F15" s="470">
        <f t="shared" si="1"/>
        <v>408</v>
      </c>
      <c r="G15" s="471">
        <f t="shared" si="2"/>
        <v>58.28571429</v>
      </c>
      <c r="H15" s="469">
        <v>755.0</v>
      </c>
      <c r="I15" s="471">
        <f t="shared" si="3"/>
        <v>107.8571429</v>
      </c>
      <c r="J15" s="472" t="s">
        <v>637</v>
      </c>
      <c r="K15" s="472">
        <v>3.0</v>
      </c>
      <c r="L15" s="472" t="s">
        <v>638</v>
      </c>
      <c r="M15" s="473">
        <v>3.0</v>
      </c>
      <c r="N15" s="472" t="s">
        <v>639</v>
      </c>
      <c r="O15" s="473">
        <v>3.0</v>
      </c>
      <c r="P15" s="469">
        <f>LOOKUP(K15,'Gear Leveling &amp; Effects'!$B$2:$B$21,'Gear Leveling &amp; Effects'!$C$2:$C$21)+LOOKUP(M15,'Gear Leveling &amp; Effects'!$B$2:$B$21,'Gear Leveling &amp; Effects'!$C$2:$C$21)+IF(ISBLANK(O15),0,LOOKUP(O15,'Gear Leveling &amp; Effects'!$B$2:$B$21,'Gear Leveling &amp; Effects'!$C$2:$C$21))</f>
        <v>180</v>
      </c>
      <c r="Q15" s="474">
        <f t="shared" si="4"/>
        <v>25.71428571</v>
      </c>
      <c r="R15" s="2"/>
    </row>
    <row r="16">
      <c r="A16" s="475">
        <v>42831.0</v>
      </c>
      <c r="B16" s="476" t="s">
        <v>133</v>
      </c>
      <c r="C16" s="3">
        <v>27177.0</v>
      </c>
      <c r="D16" s="3">
        <v>7.0</v>
      </c>
      <c r="E16" s="3">
        <v>320.0</v>
      </c>
      <c r="F16" s="462">
        <f t="shared" si="1"/>
        <v>435</v>
      </c>
      <c r="G16" s="477">
        <f t="shared" si="2"/>
        <v>62.14285714</v>
      </c>
      <c r="H16" s="3">
        <v>940.0</v>
      </c>
      <c r="I16" s="477">
        <f t="shared" si="3"/>
        <v>134.2857143</v>
      </c>
      <c r="J16" s="24" t="s">
        <v>640</v>
      </c>
      <c r="K16" s="24">
        <v>4.0</v>
      </c>
      <c r="L16" s="24" t="s">
        <v>641</v>
      </c>
      <c r="M16" s="478">
        <v>4.0</v>
      </c>
      <c r="N16" s="24"/>
      <c r="O16" s="478"/>
      <c r="P16" s="3">
        <f>LOOKUP(K16,'Gear Leveling &amp; Effects'!$B$2:$B$21,'Gear Leveling &amp; Effects'!$C$2:$C$21)+LOOKUP(M16,'Gear Leveling &amp; Effects'!$B$2:$B$21,'Gear Leveling &amp; Effects'!$C$2:$C$21)+IF(ISBLANK(O16),0,LOOKUP(O16,'Gear Leveling &amp; Effects'!$B$2:$B$21,'Gear Leveling &amp; Effects'!$C$2:$C$21))</f>
        <v>160</v>
      </c>
      <c r="Q16" s="479">
        <f t="shared" si="4"/>
        <v>22.85714286</v>
      </c>
      <c r="R16" s="2"/>
    </row>
    <row r="17">
      <c r="A17" s="467">
        <v>42837.0</v>
      </c>
      <c r="B17" s="480" t="s">
        <v>46</v>
      </c>
      <c r="C17" s="469">
        <v>30651.0</v>
      </c>
      <c r="D17" s="469">
        <v>7.0</v>
      </c>
      <c r="E17" s="469">
        <v>340.0</v>
      </c>
      <c r="F17" s="470">
        <f t="shared" si="1"/>
        <v>462</v>
      </c>
      <c r="G17" s="471">
        <f t="shared" si="2"/>
        <v>66</v>
      </c>
      <c r="H17" s="469">
        <v>1040.0</v>
      </c>
      <c r="I17" s="471">
        <f t="shared" si="3"/>
        <v>148.5714286</v>
      </c>
      <c r="J17" s="472" t="s">
        <v>642</v>
      </c>
      <c r="K17" s="472">
        <v>4.0</v>
      </c>
      <c r="L17" s="472" t="s">
        <v>643</v>
      </c>
      <c r="M17" s="473">
        <v>4.0</v>
      </c>
      <c r="N17" s="472" t="s">
        <v>644</v>
      </c>
      <c r="O17" s="473">
        <v>4.0</v>
      </c>
      <c r="P17" s="469">
        <f>LOOKUP(K17,'Gear Leveling &amp; Effects'!$B$2:$B$21,'Gear Leveling &amp; Effects'!$C$2:$C$21)+LOOKUP(M17,'Gear Leveling &amp; Effects'!$B$2:$B$21,'Gear Leveling &amp; Effects'!$C$2:$C$21)+IF(ISBLANK(O17),0,LOOKUP(O17,'Gear Leveling &amp; Effects'!$B$2:$B$21,'Gear Leveling &amp; Effects'!$C$2:$C$21))</f>
        <v>240</v>
      </c>
      <c r="Q17" s="474">
        <f t="shared" si="4"/>
        <v>34.28571429</v>
      </c>
      <c r="R17" s="2"/>
    </row>
    <row r="18">
      <c r="A18" s="475">
        <v>42843.0</v>
      </c>
      <c r="B18" s="476" t="s">
        <v>95</v>
      </c>
      <c r="C18" s="3">
        <v>45046.0</v>
      </c>
      <c r="D18" s="3">
        <v>7.0</v>
      </c>
      <c r="E18" s="3">
        <v>360.0</v>
      </c>
      <c r="F18" s="462">
        <f t="shared" si="1"/>
        <v>490</v>
      </c>
      <c r="G18" s="477">
        <f t="shared" si="2"/>
        <v>70</v>
      </c>
      <c r="H18" s="3">
        <v>1140.0</v>
      </c>
      <c r="I18" s="477">
        <f t="shared" si="3"/>
        <v>162.8571429</v>
      </c>
      <c r="J18" s="24" t="s">
        <v>645</v>
      </c>
      <c r="K18" s="24">
        <v>4.0</v>
      </c>
      <c r="L18" s="24" t="s">
        <v>646</v>
      </c>
      <c r="M18" s="478">
        <v>4.0</v>
      </c>
      <c r="N18" s="24"/>
      <c r="O18" s="478"/>
      <c r="P18" s="3">
        <f>LOOKUP(K18,'Gear Leveling &amp; Effects'!$B$2:$B$21,'Gear Leveling &amp; Effects'!$C$2:$C$21)+LOOKUP(M18,'Gear Leveling &amp; Effects'!$B$2:$B$21,'Gear Leveling &amp; Effects'!$C$2:$C$21)+IF(ISBLANK(O18),0,LOOKUP(O18,'Gear Leveling &amp; Effects'!$B$2:$B$21,'Gear Leveling &amp; Effects'!$C$2:$C$21))</f>
        <v>160</v>
      </c>
      <c r="Q18" s="479">
        <f t="shared" si="4"/>
        <v>22.85714286</v>
      </c>
      <c r="R18" s="2"/>
    </row>
    <row r="19">
      <c r="A19" s="467">
        <v>42849.0</v>
      </c>
      <c r="B19" s="480" t="s">
        <v>167</v>
      </c>
      <c r="C19" s="469">
        <v>35660.0</v>
      </c>
      <c r="D19" s="469">
        <v>7.0</v>
      </c>
      <c r="E19" s="469">
        <v>380.0</v>
      </c>
      <c r="F19" s="470">
        <f t="shared" si="1"/>
        <v>517</v>
      </c>
      <c r="G19" s="471">
        <f t="shared" si="2"/>
        <v>73.85714286</v>
      </c>
      <c r="H19" s="469">
        <v>1240.0</v>
      </c>
      <c r="I19" s="471">
        <f t="shared" si="3"/>
        <v>177.1428571</v>
      </c>
      <c r="J19" s="472" t="s">
        <v>647</v>
      </c>
      <c r="K19" s="472">
        <v>4.0</v>
      </c>
      <c r="L19" s="472" t="s">
        <v>648</v>
      </c>
      <c r="M19" s="473">
        <v>4.0</v>
      </c>
      <c r="N19" s="472" t="s">
        <v>649</v>
      </c>
      <c r="O19" s="473">
        <v>4.0</v>
      </c>
      <c r="P19" s="469">
        <f>LOOKUP(K19,'Gear Leveling &amp; Effects'!$B$2:$B$21,'Gear Leveling &amp; Effects'!$C$2:$C$21)+LOOKUP(M19,'Gear Leveling &amp; Effects'!$B$2:$B$21,'Gear Leveling &amp; Effects'!$C$2:$C$21)+IF(ISBLANK(O19),0,LOOKUP(O19,'Gear Leveling &amp; Effects'!$B$2:$B$21,'Gear Leveling &amp; Effects'!$C$2:$C$21))</f>
        <v>240</v>
      </c>
      <c r="Q19" s="474">
        <f t="shared" si="4"/>
        <v>34.28571429</v>
      </c>
      <c r="R19" s="2"/>
    </row>
    <row r="20">
      <c r="A20" s="475">
        <v>42861.0</v>
      </c>
      <c r="B20" s="476" t="s">
        <v>153</v>
      </c>
      <c r="C20" s="3">
        <v>111454.0</v>
      </c>
      <c r="D20" s="3">
        <v>8.0</v>
      </c>
      <c r="E20" s="3">
        <v>400.0</v>
      </c>
      <c r="F20" s="462">
        <f t="shared" si="1"/>
        <v>544</v>
      </c>
      <c r="G20" s="477">
        <f t="shared" si="2"/>
        <v>68</v>
      </c>
      <c r="H20" s="3">
        <v>1475.0</v>
      </c>
      <c r="I20" s="477">
        <f t="shared" si="3"/>
        <v>184.375</v>
      </c>
      <c r="J20" s="24" t="s">
        <v>650</v>
      </c>
      <c r="K20" s="24">
        <v>5.0</v>
      </c>
      <c r="L20" s="24" t="s">
        <v>651</v>
      </c>
      <c r="M20" s="478">
        <v>5.0</v>
      </c>
      <c r="N20" s="24" t="s">
        <v>652</v>
      </c>
      <c r="O20" s="478">
        <v>5.0</v>
      </c>
      <c r="P20" s="3">
        <f>LOOKUP(K20,'Gear Leveling &amp; Effects'!$B$2:$B$21,'Gear Leveling &amp; Effects'!$C$2:$C$21)+LOOKUP(M20,'Gear Leveling &amp; Effects'!$B$2:$B$21,'Gear Leveling &amp; Effects'!$C$2:$C$21)+IF(ISBLANK(O20),0,LOOKUP(O20,'Gear Leveling &amp; Effects'!$B$2:$B$21,'Gear Leveling &amp; Effects'!$C$2:$C$21))</f>
        <v>300</v>
      </c>
      <c r="Q20" s="479">
        <f t="shared" si="4"/>
        <v>37.5</v>
      </c>
      <c r="R20" s="2"/>
    </row>
    <row r="21">
      <c r="A21" s="467">
        <v>42867.0</v>
      </c>
      <c r="B21" s="468" t="s">
        <v>175</v>
      </c>
      <c r="C21" s="469">
        <v>98915.0</v>
      </c>
      <c r="D21" s="469">
        <v>8.0</v>
      </c>
      <c r="E21" s="469">
        <v>420.0</v>
      </c>
      <c r="F21" s="470">
        <f t="shared" si="1"/>
        <v>571</v>
      </c>
      <c r="G21" s="471">
        <f t="shared" si="2"/>
        <v>71.375</v>
      </c>
      <c r="H21" s="469">
        <v>1600.0</v>
      </c>
      <c r="I21" s="471">
        <f t="shared" si="3"/>
        <v>200</v>
      </c>
      <c r="J21" s="472" t="s">
        <v>653</v>
      </c>
      <c r="K21" s="472">
        <v>5.0</v>
      </c>
      <c r="L21" s="472" t="s">
        <v>654</v>
      </c>
      <c r="M21" s="473">
        <v>5.0</v>
      </c>
      <c r="N21" s="472" t="s">
        <v>655</v>
      </c>
      <c r="O21" s="473">
        <v>5.0</v>
      </c>
      <c r="P21" s="469">
        <f>LOOKUP(K21,'Gear Leveling &amp; Effects'!$B$2:$B$21,'Gear Leveling &amp; Effects'!$C$2:$C$21)+LOOKUP(M21,'Gear Leveling &amp; Effects'!$B$2:$B$21,'Gear Leveling &amp; Effects'!$C$2:$C$21)+IF(ISBLANK(O21),0,LOOKUP(O21,'Gear Leveling &amp; Effects'!$B$2:$B$21,'Gear Leveling &amp; Effects'!$C$2:$C$21))</f>
        <v>300</v>
      </c>
      <c r="Q21" s="474">
        <f t="shared" si="4"/>
        <v>37.5</v>
      </c>
      <c r="R21" s="2"/>
    </row>
    <row r="22">
      <c r="A22" s="475">
        <v>42873.0</v>
      </c>
      <c r="B22" s="476" t="s">
        <v>95</v>
      </c>
      <c r="C22" s="3">
        <v>141790.0</v>
      </c>
      <c r="D22" s="3">
        <v>8.0</v>
      </c>
      <c r="E22" s="3">
        <v>440.0</v>
      </c>
      <c r="F22" s="462">
        <f t="shared" si="1"/>
        <v>598</v>
      </c>
      <c r="G22" s="477">
        <f t="shared" si="2"/>
        <v>74.75</v>
      </c>
      <c r="H22" s="3">
        <v>1725.0</v>
      </c>
      <c r="I22" s="477">
        <f t="shared" si="3"/>
        <v>215.625</v>
      </c>
      <c r="J22" s="24" t="s">
        <v>656</v>
      </c>
      <c r="K22" s="24">
        <v>5.0</v>
      </c>
      <c r="L22" s="24" t="s">
        <v>657</v>
      </c>
      <c r="M22" s="478">
        <v>5.0</v>
      </c>
      <c r="N22" s="24" t="s">
        <v>658</v>
      </c>
      <c r="O22" s="478">
        <v>5.0</v>
      </c>
      <c r="P22" s="3">
        <f>LOOKUP(K22,'Gear Leveling &amp; Effects'!$B$2:$B$21,'Gear Leveling &amp; Effects'!$C$2:$C$21)+LOOKUP(M22,'Gear Leveling &amp; Effects'!$B$2:$B$21,'Gear Leveling &amp; Effects'!$C$2:$C$21)+IF(ISBLANK(O22),0,LOOKUP(O22,'Gear Leveling &amp; Effects'!$B$2:$B$21,'Gear Leveling &amp; Effects'!$C$2:$C$21))</f>
        <v>300</v>
      </c>
      <c r="Q22" s="479">
        <f t="shared" si="4"/>
        <v>37.5</v>
      </c>
      <c r="R22" s="2"/>
    </row>
    <row r="23">
      <c r="A23" s="467">
        <v>42879.0</v>
      </c>
      <c r="B23" s="468" t="s">
        <v>147</v>
      </c>
      <c r="C23" s="469">
        <v>113559.0</v>
      </c>
      <c r="D23" s="469">
        <v>8.0</v>
      </c>
      <c r="E23" s="469">
        <v>460.0</v>
      </c>
      <c r="F23" s="470">
        <f t="shared" si="1"/>
        <v>626</v>
      </c>
      <c r="G23" s="471">
        <f t="shared" si="2"/>
        <v>78.25</v>
      </c>
      <c r="H23" s="469">
        <v>1850.0</v>
      </c>
      <c r="I23" s="471">
        <f t="shared" si="3"/>
        <v>231.25</v>
      </c>
      <c r="J23" s="472" t="s">
        <v>659</v>
      </c>
      <c r="K23" s="472">
        <v>5.0</v>
      </c>
      <c r="L23" s="472" t="s">
        <v>660</v>
      </c>
      <c r="M23" s="473">
        <v>5.0</v>
      </c>
      <c r="N23" s="472"/>
      <c r="O23" s="473"/>
      <c r="P23" s="469">
        <f>LOOKUP(K23,'Gear Leveling &amp; Effects'!$B$2:$B$21,'Gear Leveling &amp; Effects'!$C$2:$C$21)+LOOKUP(M23,'Gear Leveling &amp; Effects'!$B$2:$B$21,'Gear Leveling &amp; Effects'!$C$2:$C$21)+IF(ISBLANK(O23),0,LOOKUP(O23,'Gear Leveling &amp; Effects'!$B$2:$B$21,'Gear Leveling &amp; Effects'!$C$2:$C$21))</f>
        <v>200</v>
      </c>
      <c r="Q23" s="474">
        <f t="shared" si="4"/>
        <v>25</v>
      </c>
      <c r="R23" s="2"/>
    </row>
    <row r="24">
      <c r="A24" s="475">
        <v>42892.0</v>
      </c>
      <c r="B24" s="476" t="s">
        <v>197</v>
      </c>
      <c r="C24" s="3">
        <v>125535.0</v>
      </c>
      <c r="D24" s="3">
        <v>8.0</v>
      </c>
      <c r="E24" s="3">
        <v>480.0</v>
      </c>
      <c r="F24" s="462">
        <f t="shared" si="1"/>
        <v>653</v>
      </c>
      <c r="G24" s="477">
        <f t="shared" si="2"/>
        <v>81.625</v>
      </c>
      <c r="H24" s="3">
        <v>2135.0</v>
      </c>
      <c r="I24" s="477">
        <f t="shared" si="3"/>
        <v>266.875</v>
      </c>
      <c r="J24" s="24" t="s">
        <v>661</v>
      </c>
      <c r="K24" s="24">
        <v>6.0</v>
      </c>
      <c r="L24" s="24" t="s">
        <v>662</v>
      </c>
      <c r="M24" s="478">
        <v>6.0</v>
      </c>
      <c r="N24" s="24" t="s">
        <v>663</v>
      </c>
      <c r="O24" s="478">
        <v>6.0</v>
      </c>
      <c r="P24" s="3">
        <f>LOOKUP(K24,'Gear Leveling &amp; Effects'!$B$2:$B$21,'Gear Leveling &amp; Effects'!$C$2:$C$21)+LOOKUP(M24,'Gear Leveling &amp; Effects'!$B$2:$B$21,'Gear Leveling &amp; Effects'!$C$2:$C$21)+IF(ISBLANK(O24),0,LOOKUP(O24,'Gear Leveling &amp; Effects'!$B$2:$B$21,'Gear Leveling &amp; Effects'!$C$2:$C$21))</f>
        <v>360</v>
      </c>
      <c r="Q24" s="479">
        <f t="shared" si="4"/>
        <v>45</v>
      </c>
      <c r="R24" s="2"/>
    </row>
    <row r="25">
      <c r="A25" s="467">
        <v>42898.0</v>
      </c>
      <c r="B25" s="468" t="s">
        <v>62</v>
      </c>
      <c r="C25" s="469">
        <v>135229.0</v>
      </c>
      <c r="D25" s="469">
        <v>8.0</v>
      </c>
      <c r="E25" s="469">
        <v>500.0</v>
      </c>
      <c r="F25" s="470">
        <f t="shared" si="1"/>
        <v>680</v>
      </c>
      <c r="G25" s="471">
        <f t="shared" si="2"/>
        <v>85</v>
      </c>
      <c r="H25" s="469">
        <v>2285.0</v>
      </c>
      <c r="I25" s="471">
        <f t="shared" si="3"/>
        <v>285.625</v>
      </c>
      <c r="J25" s="472" t="s">
        <v>664</v>
      </c>
      <c r="K25" s="472">
        <v>6.0</v>
      </c>
      <c r="L25" s="472" t="s">
        <v>665</v>
      </c>
      <c r="M25" s="473">
        <v>6.0</v>
      </c>
      <c r="N25" s="472"/>
      <c r="O25" s="473"/>
      <c r="P25" s="469">
        <f>LOOKUP(K25,'Gear Leveling &amp; Effects'!$B$2:$B$21,'Gear Leveling &amp; Effects'!$C$2:$C$21)+LOOKUP(M25,'Gear Leveling &amp; Effects'!$B$2:$B$21,'Gear Leveling &amp; Effects'!$C$2:$C$21)+IF(ISBLANK(O25),0,LOOKUP(O25,'Gear Leveling &amp; Effects'!$B$2:$B$21,'Gear Leveling &amp; Effects'!$C$2:$C$21))</f>
        <v>240</v>
      </c>
      <c r="Q25" s="474">
        <f t="shared" si="4"/>
        <v>30</v>
      </c>
      <c r="R25" s="2"/>
    </row>
    <row r="26">
      <c r="A26" s="475">
        <v>42904.0</v>
      </c>
      <c r="B26" s="476" t="s">
        <v>205</v>
      </c>
      <c r="C26" s="3">
        <v>157294.0</v>
      </c>
      <c r="D26" s="3">
        <v>8.0</v>
      </c>
      <c r="E26" s="3">
        <v>520.0</v>
      </c>
      <c r="F26" s="462">
        <f t="shared" si="1"/>
        <v>707</v>
      </c>
      <c r="G26" s="477">
        <f t="shared" si="2"/>
        <v>88.375</v>
      </c>
      <c r="H26" s="3">
        <v>2435.0</v>
      </c>
      <c r="I26" s="477">
        <f t="shared" si="3"/>
        <v>304.375</v>
      </c>
      <c r="J26" s="24" t="s">
        <v>666</v>
      </c>
      <c r="K26" s="24">
        <v>6.0</v>
      </c>
      <c r="L26" s="24" t="s">
        <v>667</v>
      </c>
      <c r="M26" s="478">
        <v>6.0</v>
      </c>
      <c r="N26" s="24" t="s">
        <v>668</v>
      </c>
      <c r="O26" s="478">
        <v>6.0</v>
      </c>
      <c r="P26" s="3">
        <f>LOOKUP(K26,'Gear Leveling &amp; Effects'!$B$2:$B$21,'Gear Leveling &amp; Effects'!$C$2:$C$21)+LOOKUP(M26,'Gear Leveling &amp; Effects'!$B$2:$B$21,'Gear Leveling &amp; Effects'!$C$2:$C$21)+IF(ISBLANK(O26),0,LOOKUP(O26,'Gear Leveling &amp; Effects'!$B$2:$B$21,'Gear Leveling &amp; Effects'!$C$2:$C$21))</f>
        <v>360</v>
      </c>
      <c r="Q26" s="479">
        <f t="shared" si="4"/>
        <v>45</v>
      </c>
      <c r="R26" s="2"/>
    </row>
    <row r="27">
      <c r="A27" s="467">
        <v>42910.0</v>
      </c>
      <c r="B27" s="480" t="s">
        <v>146</v>
      </c>
      <c r="C27" s="469">
        <v>194301.0</v>
      </c>
      <c r="D27" s="469">
        <v>8.0</v>
      </c>
      <c r="E27" s="469">
        <v>540.0</v>
      </c>
      <c r="F27" s="470">
        <f t="shared" si="1"/>
        <v>734</v>
      </c>
      <c r="G27" s="471">
        <f t="shared" si="2"/>
        <v>91.75</v>
      </c>
      <c r="H27" s="469">
        <v>2585.0</v>
      </c>
      <c r="I27" s="471">
        <f t="shared" si="3"/>
        <v>323.125</v>
      </c>
      <c r="J27" s="472" t="s">
        <v>669</v>
      </c>
      <c r="K27" s="472">
        <v>6.0</v>
      </c>
      <c r="L27" s="481" t="s">
        <v>670</v>
      </c>
      <c r="M27" s="473">
        <v>6.0</v>
      </c>
      <c r="N27" s="481"/>
      <c r="O27" s="473"/>
      <c r="P27" s="469">
        <f>LOOKUP(K27,'Gear Leveling &amp; Effects'!$B$2:$B$21,'Gear Leveling &amp; Effects'!$C$2:$C$21)+LOOKUP(M27,'Gear Leveling &amp; Effects'!$B$2:$B$21,'Gear Leveling &amp; Effects'!$C$2:$C$21)+IF(ISBLANK(O27),0,LOOKUP(O27,'Gear Leveling &amp; Effects'!$B$2:$B$21,'Gear Leveling &amp; Effects'!$C$2:$C$21))</f>
        <v>240</v>
      </c>
      <c r="Q27" s="474">
        <f t="shared" si="4"/>
        <v>30</v>
      </c>
      <c r="R27" s="2"/>
    </row>
    <row r="28">
      <c r="A28" s="475">
        <v>42922.0</v>
      </c>
      <c r="B28" s="476" t="s">
        <v>153</v>
      </c>
      <c r="C28" s="3">
        <v>257783.0</v>
      </c>
      <c r="D28" s="3">
        <v>9.0</v>
      </c>
      <c r="E28" s="3">
        <v>560.0</v>
      </c>
      <c r="F28" s="462">
        <f t="shared" si="1"/>
        <v>762</v>
      </c>
      <c r="G28" s="477">
        <f t="shared" si="2"/>
        <v>84.66666667</v>
      </c>
      <c r="H28" s="3">
        <v>2920.0</v>
      </c>
      <c r="I28" s="477">
        <f t="shared" si="3"/>
        <v>324.4444444</v>
      </c>
      <c r="J28" s="24" t="s">
        <v>671</v>
      </c>
      <c r="K28" s="24">
        <v>8.0</v>
      </c>
      <c r="L28" s="24" t="s">
        <v>672</v>
      </c>
      <c r="M28" s="478">
        <v>8.0</v>
      </c>
      <c r="N28" s="24"/>
      <c r="O28" s="478"/>
      <c r="P28" s="3">
        <f>LOOKUP(K28,'Gear Leveling &amp; Effects'!$B$2:$B$21,'Gear Leveling &amp; Effects'!$C$2:$C$21)+LOOKUP(M28,'Gear Leveling &amp; Effects'!$B$2:$B$21,'Gear Leveling &amp; Effects'!$C$2:$C$21)+IF(ISBLANK(O28),0,LOOKUP(O28,'Gear Leveling &amp; Effects'!$B$2:$B$21,'Gear Leveling &amp; Effects'!$C$2:$C$21))</f>
        <v>320</v>
      </c>
      <c r="Q28" s="479">
        <f t="shared" si="4"/>
        <v>35.55555556</v>
      </c>
      <c r="R28" s="2"/>
    </row>
    <row r="29">
      <c r="A29" s="467">
        <v>42928.0</v>
      </c>
      <c r="B29" s="468" t="s">
        <v>224</v>
      </c>
      <c r="C29" s="469">
        <v>256573.0</v>
      </c>
      <c r="D29" s="469">
        <v>9.0</v>
      </c>
      <c r="E29" s="469">
        <v>580.0</v>
      </c>
      <c r="F29" s="470">
        <f t="shared" si="1"/>
        <v>789</v>
      </c>
      <c r="G29" s="471">
        <f t="shared" si="2"/>
        <v>87.66666667</v>
      </c>
      <c r="H29" s="469">
        <v>3095.0</v>
      </c>
      <c r="I29" s="471">
        <f t="shared" si="3"/>
        <v>343.8888889</v>
      </c>
      <c r="J29" s="472" t="s">
        <v>673</v>
      </c>
      <c r="K29" s="472">
        <v>8.0</v>
      </c>
      <c r="L29" s="472" t="s">
        <v>674</v>
      </c>
      <c r="M29" s="473">
        <v>8.0</v>
      </c>
      <c r="N29" s="472" t="s">
        <v>675</v>
      </c>
      <c r="O29" s="473">
        <v>8.0</v>
      </c>
      <c r="P29" s="469">
        <f>LOOKUP(K29,'Gear Leveling &amp; Effects'!$B$2:$B$21,'Gear Leveling &amp; Effects'!$C$2:$C$21)+LOOKUP(M29,'Gear Leveling &amp; Effects'!$B$2:$B$21,'Gear Leveling &amp; Effects'!$C$2:$C$21)+IF(ISBLANK(O29),0,LOOKUP(O29,'Gear Leveling &amp; Effects'!$B$2:$B$21,'Gear Leveling &amp; Effects'!$C$2:$C$21))</f>
        <v>480</v>
      </c>
      <c r="Q29" s="474">
        <f t="shared" si="4"/>
        <v>53.33333333</v>
      </c>
      <c r="R29" s="2"/>
    </row>
    <row r="30">
      <c r="A30" s="475">
        <v>42934.0</v>
      </c>
      <c r="B30" s="476" t="s">
        <v>102</v>
      </c>
      <c r="C30" s="3">
        <v>261883.0</v>
      </c>
      <c r="D30" s="3">
        <v>9.0</v>
      </c>
      <c r="E30" s="3">
        <v>600.0</v>
      </c>
      <c r="F30" s="462">
        <f t="shared" si="1"/>
        <v>816</v>
      </c>
      <c r="G30" s="477">
        <f t="shared" si="2"/>
        <v>90.66666667</v>
      </c>
      <c r="H30" s="3">
        <v>3270.0</v>
      </c>
      <c r="I30" s="477">
        <f t="shared" si="3"/>
        <v>363.3333333</v>
      </c>
      <c r="J30" s="24" t="s">
        <v>676</v>
      </c>
      <c r="K30" s="24">
        <v>8.0</v>
      </c>
      <c r="L30" s="24" t="s">
        <v>677</v>
      </c>
      <c r="M30" s="478">
        <v>8.0</v>
      </c>
      <c r="N30" s="24"/>
      <c r="O30" s="478"/>
      <c r="P30" s="3">
        <f>LOOKUP(K30,'Gear Leveling &amp; Effects'!$B$2:$B$21,'Gear Leveling &amp; Effects'!$C$2:$C$21)+LOOKUP(M30,'Gear Leveling &amp; Effects'!$B$2:$B$21,'Gear Leveling &amp; Effects'!$C$2:$C$21)+IF(ISBLANK(O30),0,LOOKUP(O30,'Gear Leveling &amp; Effects'!$B$2:$B$21,'Gear Leveling &amp; Effects'!$C$2:$C$21))</f>
        <v>320</v>
      </c>
      <c r="Q30" s="479">
        <f t="shared" si="4"/>
        <v>35.55555556</v>
      </c>
      <c r="R30" s="2"/>
    </row>
    <row r="31">
      <c r="A31" s="467">
        <v>42940.0</v>
      </c>
      <c r="B31" s="468" t="s">
        <v>66</v>
      </c>
      <c r="C31" s="469">
        <v>281159.0</v>
      </c>
      <c r="D31" s="469">
        <v>9.0</v>
      </c>
      <c r="E31" s="469">
        <v>620.0</v>
      </c>
      <c r="F31" s="470">
        <f t="shared" si="1"/>
        <v>843</v>
      </c>
      <c r="G31" s="471">
        <f t="shared" si="2"/>
        <v>93.66666667</v>
      </c>
      <c r="H31" s="469">
        <v>3445.0</v>
      </c>
      <c r="I31" s="471">
        <f t="shared" si="3"/>
        <v>382.7777778</v>
      </c>
      <c r="J31" s="472" t="s">
        <v>678</v>
      </c>
      <c r="K31" s="472">
        <v>8.0</v>
      </c>
      <c r="L31" s="472" t="s">
        <v>679</v>
      </c>
      <c r="M31" s="473">
        <v>8.0</v>
      </c>
      <c r="N31" s="472"/>
      <c r="O31" s="473"/>
      <c r="P31" s="469">
        <f>LOOKUP(K31,'Gear Leveling &amp; Effects'!$B$2:$B$21,'Gear Leveling &amp; Effects'!$C$2:$C$21)+LOOKUP(M31,'Gear Leveling &amp; Effects'!$B$2:$B$21,'Gear Leveling &amp; Effects'!$C$2:$C$21)+IF(ISBLANK(O31),0,LOOKUP(O31,'Gear Leveling &amp; Effects'!$B$2:$B$21,'Gear Leveling &amp; Effects'!$C$2:$C$21))</f>
        <v>320</v>
      </c>
      <c r="Q31" s="474">
        <f t="shared" si="4"/>
        <v>35.55555556</v>
      </c>
      <c r="R31" s="2"/>
    </row>
    <row r="32">
      <c r="A32" s="475">
        <v>42953.0</v>
      </c>
      <c r="B32" s="476" t="s">
        <v>95</v>
      </c>
      <c r="C32" s="3">
        <v>330231.0</v>
      </c>
      <c r="D32" s="3">
        <v>9.0</v>
      </c>
      <c r="E32" s="3">
        <v>640.0</v>
      </c>
      <c r="F32" s="462">
        <f t="shared" si="1"/>
        <v>870</v>
      </c>
      <c r="G32" s="477">
        <f t="shared" si="2"/>
        <v>96.66666667</v>
      </c>
      <c r="H32" s="3">
        <v>3725.0</v>
      </c>
      <c r="I32" s="477">
        <f t="shared" si="3"/>
        <v>413.8888889</v>
      </c>
      <c r="J32" s="24" t="s">
        <v>680</v>
      </c>
      <c r="K32" s="24">
        <v>10.0</v>
      </c>
      <c r="L32" s="24" t="s">
        <v>681</v>
      </c>
      <c r="M32" s="478">
        <v>10.0</v>
      </c>
      <c r="N32" s="24"/>
      <c r="O32" s="478"/>
      <c r="P32" s="3">
        <f>LOOKUP(K32,'Gear Leveling &amp; Effects'!$B$2:$B$21,'Gear Leveling &amp; Effects'!$C$2:$C$21)+LOOKUP(M32,'Gear Leveling &amp; Effects'!$B$2:$B$21,'Gear Leveling &amp; Effects'!$C$2:$C$21)+IF(ISBLANK(O32),0,LOOKUP(O32,'Gear Leveling &amp; Effects'!$B$2:$B$21,'Gear Leveling &amp; Effects'!$C$2:$C$21))</f>
        <v>400</v>
      </c>
      <c r="Q32" s="479">
        <f t="shared" si="4"/>
        <v>44.44444444</v>
      </c>
      <c r="R32" s="2"/>
    </row>
    <row r="33">
      <c r="A33" s="467">
        <v>42959.0</v>
      </c>
      <c r="B33" s="468" t="s">
        <v>140</v>
      </c>
      <c r="C33" s="469">
        <v>320445.0</v>
      </c>
      <c r="D33" s="469">
        <v>9.0</v>
      </c>
      <c r="E33" s="469">
        <v>660.0</v>
      </c>
      <c r="F33" s="470">
        <f t="shared" si="1"/>
        <v>898</v>
      </c>
      <c r="G33" s="471">
        <f t="shared" si="2"/>
        <v>99.77777778</v>
      </c>
      <c r="H33" s="469">
        <v>3925.0</v>
      </c>
      <c r="I33" s="471">
        <f t="shared" si="3"/>
        <v>436.1111111</v>
      </c>
      <c r="J33" s="472" t="s">
        <v>682</v>
      </c>
      <c r="K33" s="472">
        <v>10.0</v>
      </c>
      <c r="L33" s="472" t="s">
        <v>683</v>
      </c>
      <c r="M33" s="473">
        <v>10.0</v>
      </c>
      <c r="N33" s="472" t="s">
        <v>684</v>
      </c>
      <c r="O33" s="473">
        <v>10.0</v>
      </c>
      <c r="P33" s="469">
        <f>LOOKUP(K33,'Gear Leveling &amp; Effects'!$B$2:$B$21,'Gear Leveling &amp; Effects'!$C$2:$C$21)+LOOKUP(M33,'Gear Leveling &amp; Effects'!$B$2:$B$21,'Gear Leveling &amp; Effects'!$C$2:$C$21)+IF(ISBLANK(O33),0,LOOKUP(O33,'Gear Leveling &amp; Effects'!$B$2:$B$21,'Gear Leveling &amp; Effects'!$C$2:$C$21))</f>
        <v>600</v>
      </c>
      <c r="Q33" s="474">
        <f t="shared" si="4"/>
        <v>66.66666667</v>
      </c>
      <c r="R33" s="2"/>
    </row>
    <row r="34">
      <c r="A34" s="475">
        <v>42965.0</v>
      </c>
      <c r="B34" s="482" t="s">
        <v>175</v>
      </c>
      <c r="C34" s="3">
        <v>353185.0</v>
      </c>
      <c r="D34" s="3">
        <v>9.0</v>
      </c>
      <c r="E34" s="3">
        <v>680.0</v>
      </c>
      <c r="F34" s="462">
        <f t="shared" si="1"/>
        <v>925</v>
      </c>
      <c r="G34" s="477">
        <f t="shared" si="2"/>
        <v>102.7777778</v>
      </c>
      <c r="H34" s="3">
        <v>4125.0</v>
      </c>
      <c r="I34" s="477">
        <f t="shared" si="3"/>
        <v>458.3333333</v>
      </c>
      <c r="J34" s="24" t="s">
        <v>685</v>
      </c>
      <c r="K34" s="24">
        <v>10.0</v>
      </c>
      <c r="L34" s="24" t="s">
        <v>686</v>
      </c>
      <c r="M34" s="478">
        <v>10.0</v>
      </c>
      <c r="N34" s="24"/>
      <c r="O34" s="478"/>
      <c r="P34" s="3">
        <f>LOOKUP(K34,'Gear Leveling &amp; Effects'!$B$2:$B$21,'Gear Leveling &amp; Effects'!$C$2:$C$21)+LOOKUP(M34,'Gear Leveling &amp; Effects'!$B$2:$B$21,'Gear Leveling &amp; Effects'!$C$2:$C$21)+IF(ISBLANK(O34),0,LOOKUP(O34,'Gear Leveling &amp; Effects'!$B$2:$B$21,'Gear Leveling &amp; Effects'!$C$2:$C$21))</f>
        <v>400</v>
      </c>
      <c r="Q34" s="479">
        <f t="shared" si="4"/>
        <v>44.44444444</v>
      </c>
      <c r="R34" s="2"/>
    </row>
    <row r="35">
      <c r="A35" s="483">
        <v>42971.0</v>
      </c>
      <c r="B35" s="484" t="s">
        <v>207</v>
      </c>
      <c r="C35" s="485">
        <v>374673.0</v>
      </c>
      <c r="D35" s="485">
        <v>9.0</v>
      </c>
      <c r="E35" s="485">
        <v>700.0</v>
      </c>
      <c r="F35" s="485">
        <f t="shared" si="1"/>
        <v>952</v>
      </c>
      <c r="G35" s="486">
        <f t="shared" si="2"/>
        <v>105.7777778</v>
      </c>
      <c r="H35" s="485">
        <v>4325.0</v>
      </c>
      <c r="I35" s="486">
        <f t="shared" si="3"/>
        <v>480.5555556</v>
      </c>
      <c r="J35" s="487" t="s">
        <v>687</v>
      </c>
      <c r="K35" s="487">
        <v>10.0</v>
      </c>
      <c r="L35" s="487" t="s">
        <v>688</v>
      </c>
      <c r="M35" s="488">
        <v>10.0</v>
      </c>
      <c r="N35" s="487"/>
      <c r="O35" s="488"/>
      <c r="P35" s="485">
        <f>LOOKUP(K35,'Gear Leveling &amp; Effects'!$B$2:$B$21,'Gear Leveling &amp; Effects'!$C$2:$C$21)+LOOKUP(M35,'Gear Leveling &amp; Effects'!$B$2:$B$21,'Gear Leveling &amp; Effects'!$C$2:$C$21)+IF(ISBLANK(O35),0,LOOKUP(O35,'Gear Leveling &amp; Effects'!$B$2:$B$21,'Gear Leveling &amp; Effects'!$C$2:$C$21))</f>
        <v>400</v>
      </c>
      <c r="Q35" s="489">
        <f t="shared" si="4"/>
        <v>44.44444444</v>
      </c>
      <c r="R35" s="2"/>
    </row>
    <row r="36">
      <c r="A36" s="490"/>
      <c r="B36" s="491"/>
      <c r="C36" s="11"/>
      <c r="D36" s="11"/>
      <c r="J36" s="492"/>
      <c r="K36" s="492"/>
      <c r="L36" s="492"/>
      <c r="M36" s="492"/>
      <c r="N36" s="492"/>
      <c r="O36" s="492"/>
      <c r="P36" s="492"/>
      <c r="Q36" s="492"/>
      <c r="R36" s="2"/>
    </row>
  </sheetData>
  <autoFilter ref="$A$3:$Q$35">
    <sortState ref="A3:Q35">
      <sortCondition ref="A3:A35"/>
      <sortCondition descending="1" ref="Q3:Q35"/>
    </sortState>
  </autoFilter>
  <mergeCells count="3">
    <mergeCell ref="A1:B2"/>
    <mergeCell ref="C1:Q1"/>
    <mergeCell ref="G2:Q2"/>
  </mergeCells>
  <dataValidations>
    <dataValidation type="list" allowBlank="1" showErrorMessage="1" sqref="D2">
      <formula1>"0,10,12,14,16,18"</formula1>
    </dataValidation>
    <dataValidation type="list" allowBlank="1" showErrorMessage="1" sqref="F2">
      <formula1>Range!$A$2:$A$22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0.86"/>
    <col customWidth="1" min="2" max="2" width="28.71"/>
    <col customWidth="1" min="3" max="3" width="17.29"/>
    <col customWidth="1" min="7" max="7" width="23.29"/>
    <col customWidth="1" min="9" max="9" width="27.71"/>
    <col customWidth="1" min="10" max="10" width="28.71"/>
    <col customWidth="1" min="11" max="11" width="3.71"/>
    <col customWidth="1" min="12" max="12" width="28.71"/>
    <col customWidth="1" min="13" max="13" width="3.71"/>
    <col customWidth="1" min="14" max="14" width="28.71"/>
    <col customWidth="1" min="15" max="15" width="3.71"/>
    <col customWidth="1" min="16" max="16" width="28.71"/>
    <col customWidth="1" min="17" max="17" width="3.71"/>
    <col customWidth="1" min="18" max="18" width="28.71"/>
    <col customWidth="1" min="19" max="19" width="3.71"/>
    <col customWidth="1" min="20" max="20" width="32.29"/>
    <col customWidth="1" min="21" max="21" width="37.86"/>
  </cols>
  <sheetData>
    <row r="1">
      <c r="A1" s="451"/>
      <c r="B1" s="200"/>
      <c r="C1" s="452" t="s">
        <v>689</v>
      </c>
      <c r="D1" s="103"/>
      <c r="E1" s="103"/>
      <c r="F1" s="103"/>
      <c r="G1" s="103"/>
      <c r="H1" s="103"/>
      <c r="I1" s="103"/>
      <c r="J1" s="103"/>
      <c r="K1" s="103"/>
      <c r="L1" s="103"/>
      <c r="M1" s="103"/>
      <c r="N1" s="103"/>
      <c r="O1" s="103"/>
      <c r="P1" s="103"/>
      <c r="Q1" s="103"/>
      <c r="R1" s="103"/>
      <c r="S1" s="103"/>
      <c r="T1" s="103"/>
      <c r="U1" s="103"/>
      <c r="V1" s="103"/>
      <c r="W1" s="180"/>
    </row>
    <row r="2">
      <c r="A2" s="219"/>
      <c r="B2" s="220"/>
      <c r="C2" s="453" t="s">
        <v>599</v>
      </c>
      <c r="D2" s="493">
        <v>16.0</v>
      </c>
      <c r="E2" s="494" t="s">
        <v>600</v>
      </c>
      <c r="F2" s="493">
        <v>20.0</v>
      </c>
      <c r="G2" s="455" t="s">
        <v>601</v>
      </c>
      <c r="V2" s="200"/>
      <c r="W2" s="180"/>
    </row>
    <row r="3">
      <c r="A3" s="456" t="s">
        <v>602</v>
      </c>
      <c r="B3" s="457" t="s">
        <v>603</v>
      </c>
      <c r="C3" s="458" t="s">
        <v>604</v>
      </c>
      <c r="D3" s="458" t="s">
        <v>605</v>
      </c>
      <c r="E3" s="458" t="s">
        <v>606</v>
      </c>
      <c r="F3" s="458" t="s">
        <v>607</v>
      </c>
      <c r="G3" s="458" t="s">
        <v>608</v>
      </c>
      <c r="H3" s="458" t="s">
        <v>609</v>
      </c>
      <c r="I3" s="458" t="s">
        <v>610</v>
      </c>
      <c r="J3" s="457" t="s">
        <v>611</v>
      </c>
      <c r="K3" s="457" t="s">
        <v>612</v>
      </c>
      <c r="L3" s="457" t="s">
        <v>611</v>
      </c>
      <c r="M3" s="457" t="s">
        <v>612</v>
      </c>
      <c r="N3" s="457" t="s">
        <v>611</v>
      </c>
      <c r="O3" s="457" t="s">
        <v>612</v>
      </c>
      <c r="P3" s="457" t="s">
        <v>611</v>
      </c>
      <c r="Q3" s="457" t="s">
        <v>612</v>
      </c>
      <c r="R3" s="457" t="s">
        <v>611</v>
      </c>
      <c r="S3" s="457" t="s">
        <v>612</v>
      </c>
      <c r="T3" s="457" t="s">
        <v>613</v>
      </c>
      <c r="U3" s="457" t="s">
        <v>614</v>
      </c>
      <c r="V3" s="459" t="s">
        <v>690</v>
      </c>
      <c r="W3" s="180"/>
    </row>
    <row r="4">
      <c r="A4" s="495">
        <v>42741.0</v>
      </c>
      <c r="B4" s="461" t="s">
        <v>154</v>
      </c>
      <c r="C4" s="496">
        <v>10126.0</v>
      </c>
      <c r="D4" s="496">
        <v>12.0</v>
      </c>
      <c r="E4" s="496">
        <v>160.0</v>
      </c>
      <c r="F4" s="462">
        <f t="shared" ref="F4:F35" si="1">ROUND(E4*(1+($D$2+$F$2)/100),0)</f>
        <v>218</v>
      </c>
      <c r="G4" s="497">
        <f t="shared" ref="G4:G35" si="2">F4/D4</f>
        <v>18.16666667</v>
      </c>
      <c r="H4" s="496">
        <v>128.0</v>
      </c>
      <c r="I4" s="497">
        <f t="shared" ref="I4:I35" si="3">H4/D4</f>
        <v>10.66666667</v>
      </c>
      <c r="J4" s="498" t="s">
        <v>633</v>
      </c>
      <c r="K4" s="498">
        <v>2.0</v>
      </c>
      <c r="L4" s="498" t="s">
        <v>618</v>
      </c>
      <c r="M4" s="498">
        <v>2.0</v>
      </c>
      <c r="N4" s="498" t="s">
        <v>691</v>
      </c>
      <c r="O4" s="498">
        <v>2.0</v>
      </c>
      <c r="P4" s="498"/>
      <c r="Q4" s="498"/>
      <c r="R4" s="499"/>
      <c r="S4" s="499"/>
      <c r="T4" s="462">
        <f>LOOKUP(K4,'Gear Leveling &amp; Effects'!$B$2:$B$21,'Gear Leveling &amp; Effects'!$C$2:$C$21)+LOOKUP(M4,'Gear Leveling &amp; Effects'!$B$2:$B$21,'Gear Leveling &amp; Effects'!$C$2:$C$21)+LOOKUP(O4,'Gear Leveling &amp; Effects'!$B$2:$B$21,'Gear Leveling &amp; Effects'!$C$2:$C$21)+IF(ISBLANK(Q4),0,LOOKUP(Q4,'Gear Leveling &amp; Effects'!$B$2:$B$21,'Gear Leveling &amp; Effects'!$C$2:$C$21))+IF(ISBLANK(S4),0,LOOKUP(S4,'Gear Leveling &amp; Effects'!$B$2:$B$21,'Gear Leveling &amp; Effects'!$C$2:$C$21))</f>
        <v>120</v>
      </c>
      <c r="U4" s="500">
        <f t="shared" ref="U4:U35" si="4">T4/D4</f>
        <v>10</v>
      </c>
      <c r="V4" s="501" t="s">
        <v>692</v>
      </c>
      <c r="W4" s="6"/>
    </row>
    <row r="5">
      <c r="A5" s="467">
        <v>42747.0</v>
      </c>
      <c r="B5" s="468" t="s">
        <v>236</v>
      </c>
      <c r="C5" s="469">
        <v>11693.0</v>
      </c>
      <c r="D5" s="469">
        <v>12.0</v>
      </c>
      <c r="E5" s="469">
        <v>180.0</v>
      </c>
      <c r="F5" s="470">
        <f t="shared" si="1"/>
        <v>245</v>
      </c>
      <c r="G5" s="471">
        <f t="shared" si="2"/>
        <v>20.41666667</v>
      </c>
      <c r="H5" s="469">
        <v>165.0</v>
      </c>
      <c r="I5" s="471">
        <f t="shared" si="3"/>
        <v>13.75</v>
      </c>
      <c r="J5" s="472" t="s">
        <v>615</v>
      </c>
      <c r="K5" s="472">
        <v>2.0</v>
      </c>
      <c r="L5" s="472" t="s">
        <v>621</v>
      </c>
      <c r="M5" s="472">
        <v>2.0</v>
      </c>
      <c r="N5" s="472" t="s">
        <v>693</v>
      </c>
      <c r="O5" s="472">
        <v>2.0</v>
      </c>
      <c r="P5" s="472"/>
      <c r="Q5" s="472"/>
      <c r="R5" s="473"/>
      <c r="S5" s="473"/>
      <c r="T5" s="469">
        <f>LOOKUP(K5,'Gear Leveling &amp; Effects'!$B$2:$B$21,'Gear Leveling &amp; Effects'!$C$2:$C$21)+LOOKUP(M5,'Gear Leveling &amp; Effects'!$B$2:$B$21,'Gear Leveling &amp; Effects'!$C$2:$C$21)+LOOKUP(O5,'Gear Leveling &amp; Effects'!$B$2:$B$21,'Gear Leveling &amp; Effects'!$C$2:$C$21)+IF(ISBLANK(Q5),0,LOOKUP(Q5,'Gear Leveling &amp; Effects'!$B$2:$B$21,'Gear Leveling &amp; Effects'!$C$2:$C$21))+IF(ISBLANK(S5),0,LOOKUP(S5,'Gear Leveling &amp; Effects'!$B$2:$B$21,'Gear Leveling &amp; Effects'!$C$2:$C$21))</f>
        <v>120</v>
      </c>
      <c r="U5" s="502">
        <f t="shared" si="4"/>
        <v>10</v>
      </c>
      <c r="V5" s="503" t="s">
        <v>692</v>
      </c>
      <c r="W5" s="6"/>
    </row>
    <row r="6">
      <c r="A6" s="475">
        <v>42753.0</v>
      </c>
      <c r="B6" s="476" t="s">
        <v>177</v>
      </c>
      <c r="C6" s="3">
        <v>12250.0</v>
      </c>
      <c r="D6" s="3">
        <v>12.0</v>
      </c>
      <c r="E6" s="3">
        <v>200.0</v>
      </c>
      <c r="F6" s="462">
        <f t="shared" si="1"/>
        <v>272</v>
      </c>
      <c r="G6" s="477">
        <f t="shared" si="2"/>
        <v>22.66666667</v>
      </c>
      <c r="H6" s="3">
        <v>203.0</v>
      </c>
      <c r="I6" s="477">
        <f t="shared" si="3"/>
        <v>16.91666667</v>
      </c>
      <c r="J6" s="24" t="s">
        <v>623</v>
      </c>
      <c r="K6" s="24">
        <v>3.0</v>
      </c>
      <c r="L6" s="24" t="s">
        <v>694</v>
      </c>
      <c r="M6" s="24">
        <v>3.0</v>
      </c>
      <c r="N6" s="24" t="s">
        <v>622</v>
      </c>
      <c r="O6" s="24">
        <v>3.0</v>
      </c>
      <c r="P6" s="24"/>
      <c r="Q6" s="24"/>
      <c r="R6" s="478"/>
      <c r="S6" s="478"/>
      <c r="T6" s="3">
        <f>LOOKUP(K6,'Gear Leveling &amp; Effects'!$B$2:$B$21,'Gear Leveling &amp; Effects'!$C$2:$C$21)+LOOKUP(M6,'Gear Leveling &amp; Effects'!$B$2:$B$21,'Gear Leveling &amp; Effects'!$C$2:$C$21)+LOOKUP(O6,'Gear Leveling &amp; Effects'!$B$2:$B$21,'Gear Leveling &amp; Effects'!$C$2:$C$21)+IF(ISBLANK(Q6),0,LOOKUP(Q6,'Gear Leveling &amp; Effects'!$B$2:$B$21,'Gear Leveling &amp; Effects'!$C$2:$C$21))+IF(ISBLANK(S6),0,LOOKUP(S6,'Gear Leveling &amp; Effects'!$B$2:$B$21,'Gear Leveling &amp; Effects'!$C$2:$C$21))</f>
        <v>180</v>
      </c>
      <c r="U6" s="504">
        <f t="shared" si="4"/>
        <v>15</v>
      </c>
      <c r="V6" s="505" t="s">
        <v>692</v>
      </c>
      <c r="W6" s="6"/>
    </row>
    <row r="7">
      <c r="A7" s="467">
        <v>42759.0</v>
      </c>
      <c r="B7" s="468" t="s">
        <v>69</v>
      </c>
      <c r="C7" s="469">
        <v>14760.0</v>
      </c>
      <c r="D7" s="469">
        <v>12.0</v>
      </c>
      <c r="E7" s="469">
        <v>280.0</v>
      </c>
      <c r="F7" s="470">
        <f t="shared" si="1"/>
        <v>381</v>
      </c>
      <c r="G7" s="471">
        <f t="shared" si="2"/>
        <v>31.75</v>
      </c>
      <c r="H7" s="469">
        <v>240.0</v>
      </c>
      <c r="I7" s="471">
        <f t="shared" si="3"/>
        <v>20</v>
      </c>
      <c r="J7" s="472" t="s">
        <v>617</v>
      </c>
      <c r="K7" s="472">
        <v>3.0</v>
      </c>
      <c r="L7" s="472" t="s">
        <v>616</v>
      </c>
      <c r="M7" s="472">
        <v>3.0</v>
      </c>
      <c r="N7" s="472" t="s">
        <v>695</v>
      </c>
      <c r="O7" s="472">
        <v>3.0</v>
      </c>
      <c r="P7" s="472"/>
      <c r="Q7" s="472"/>
      <c r="R7" s="473"/>
      <c r="S7" s="473"/>
      <c r="T7" s="469">
        <f>LOOKUP(K7,'Gear Leveling &amp; Effects'!$B$2:$B$21,'Gear Leveling &amp; Effects'!$C$2:$C$21)+LOOKUP(M7,'Gear Leveling &amp; Effects'!$B$2:$B$21,'Gear Leveling &amp; Effects'!$C$2:$C$21)+LOOKUP(O7,'Gear Leveling &amp; Effects'!$B$2:$B$21,'Gear Leveling &amp; Effects'!$C$2:$C$21)+IF(ISBLANK(Q7),0,LOOKUP(Q7,'Gear Leveling &amp; Effects'!$B$2:$B$21,'Gear Leveling &amp; Effects'!$C$2:$C$21))+IF(ISBLANK(S7),0,LOOKUP(S7,'Gear Leveling &amp; Effects'!$B$2:$B$21,'Gear Leveling &amp; Effects'!$C$2:$C$21))</f>
        <v>180</v>
      </c>
      <c r="U7" s="502">
        <f t="shared" si="4"/>
        <v>15</v>
      </c>
      <c r="V7" s="503" t="s">
        <v>692</v>
      </c>
      <c r="W7" s="6"/>
    </row>
    <row r="8">
      <c r="A8" s="475">
        <v>42772.0</v>
      </c>
      <c r="B8" s="476" t="s">
        <v>138</v>
      </c>
      <c r="C8" s="3">
        <v>23374.0</v>
      </c>
      <c r="D8" s="3">
        <v>12.0</v>
      </c>
      <c r="E8" s="3">
        <v>320.0</v>
      </c>
      <c r="F8" s="462">
        <f t="shared" si="1"/>
        <v>435</v>
      </c>
      <c r="G8" s="477">
        <f t="shared" si="2"/>
        <v>36.25</v>
      </c>
      <c r="H8" s="3">
        <v>368.0</v>
      </c>
      <c r="I8" s="477">
        <f t="shared" si="3"/>
        <v>30.66666667</v>
      </c>
      <c r="J8" s="24" t="s">
        <v>696</v>
      </c>
      <c r="K8" s="24">
        <v>4.0</v>
      </c>
      <c r="L8" s="24" t="s">
        <v>619</v>
      </c>
      <c r="M8" s="24">
        <v>4.0</v>
      </c>
      <c r="N8" s="24" t="s">
        <v>697</v>
      </c>
      <c r="O8" s="24">
        <v>4.0</v>
      </c>
      <c r="P8" s="24"/>
      <c r="Q8" s="24"/>
      <c r="R8" s="478"/>
      <c r="S8" s="478"/>
      <c r="T8" s="3">
        <f>LOOKUP(K8,'Gear Leveling &amp; Effects'!$B$2:$B$21,'Gear Leveling &amp; Effects'!$C$2:$C$21)+LOOKUP(M8,'Gear Leveling &amp; Effects'!$B$2:$B$21,'Gear Leveling &amp; Effects'!$C$2:$C$21)+LOOKUP(O8,'Gear Leveling &amp; Effects'!$B$2:$B$21,'Gear Leveling &amp; Effects'!$C$2:$C$21)+IF(ISBLANK(Q8),0,LOOKUP(Q8,'Gear Leveling &amp; Effects'!$B$2:$B$21,'Gear Leveling &amp; Effects'!$C$2:$C$21))+IF(ISBLANK(S8),0,LOOKUP(S8,'Gear Leveling &amp; Effects'!$B$2:$B$21,'Gear Leveling &amp; Effects'!$C$2:$C$21))</f>
        <v>240</v>
      </c>
      <c r="U8" s="504">
        <f t="shared" si="4"/>
        <v>20</v>
      </c>
      <c r="V8" s="505" t="s">
        <v>692</v>
      </c>
      <c r="W8" s="6"/>
    </row>
    <row r="9">
      <c r="A9" s="467">
        <v>42778.0</v>
      </c>
      <c r="B9" s="468" t="s">
        <v>125</v>
      </c>
      <c r="C9" s="469">
        <v>23744.0</v>
      </c>
      <c r="D9" s="469">
        <v>12.0</v>
      </c>
      <c r="E9" s="469">
        <v>360.0</v>
      </c>
      <c r="F9" s="470">
        <f t="shared" si="1"/>
        <v>490</v>
      </c>
      <c r="G9" s="471">
        <f t="shared" si="2"/>
        <v>40.83333333</v>
      </c>
      <c r="H9" s="469">
        <v>443.0</v>
      </c>
      <c r="I9" s="471">
        <f t="shared" si="3"/>
        <v>36.91666667</v>
      </c>
      <c r="J9" s="472" t="s">
        <v>698</v>
      </c>
      <c r="K9" s="472">
        <v>4.0</v>
      </c>
      <c r="L9" s="472" t="s">
        <v>699</v>
      </c>
      <c r="M9" s="472">
        <v>4.0</v>
      </c>
      <c r="N9" s="472" t="s">
        <v>700</v>
      </c>
      <c r="O9" s="472">
        <v>4.0</v>
      </c>
      <c r="P9" s="472"/>
      <c r="Q9" s="472"/>
      <c r="R9" s="473"/>
      <c r="S9" s="473"/>
      <c r="T9" s="469">
        <f>LOOKUP(K9,'Gear Leveling &amp; Effects'!$B$2:$B$21,'Gear Leveling &amp; Effects'!$C$2:$C$21)+LOOKUP(M9,'Gear Leveling &amp; Effects'!$B$2:$B$21,'Gear Leveling &amp; Effects'!$C$2:$C$21)+LOOKUP(O9,'Gear Leveling &amp; Effects'!$B$2:$B$21,'Gear Leveling &amp; Effects'!$C$2:$C$21)+IF(ISBLANK(Q9),0,LOOKUP(Q9,'Gear Leveling &amp; Effects'!$B$2:$B$21,'Gear Leveling &amp; Effects'!$C$2:$C$21))+IF(ISBLANK(S9),0,LOOKUP(S9,'Gear Leveling &amp; Effects'!$B$2:$B$21,'Gear Leveling &amp; Effects'!$C$2:$C$21))</f>
        <v>240</v>
      </c>
      <c r="U9" s="502">
        <f t="shared" si="4"/>
        <v>20</v>
      </c>
      <c r="V9" s="503" t="s">
        <v>692</v>
      </c>
      <c r="W9" s="2"/>
    </row>
    <row r="10">
      <c r="A10" s="475">
        <v>42784.0</v>
      </c>
      <c r="B10" s="476" t="s">
        <v>144</v>
      </c>
      <c r="C10" s="3">
        <v>24646.0</v>
      </c>
      <c r="D10" s="3">
        <v>12.0</v>
      </c>
      <c r="E10" s="3">
        <v>400.0</v>
      </c>
      <c r="F10" s="462">
        <f t="shared" si="1"/>
        <v>544</v>
      </c>
      <c r="G10" s="477">
        <f t="shared" si="2"/>
        <v>45.33333333</v>
      </c>
      <c r="H10" s="3">
        <v>518.0</v>
      </c>
      <c r="I10" s="477">
        <f t="shared" si="3"/>
        <v>43.16666667</v>
      </c>
      <c r="J10" s="24" t="s">
        <v>701</v>
      </c>
      <c r="K10" s="24">
        <v>5.0</v>
      </c>
      <c r="L10" s="24" t="s">
        <v>702</v>
      </c>
      <c r="M10" s="24">
        <v>5.0</v>
      </c>
      <c r="N10" s="24" t="s">
        <v>626</v>
      </c>
      <c r="O10" s="24">
        <v>5.0</v>
      </c>
      <c r="P10" s="24"/>
      <c r="Q10" s="24"/>
      <c r="R10" s="478"/>
      <c r="S10" s="478"/>
      <c r="T10" s="3">
        <f>LOOKUP(K10,'Gear Leveling &amp; Effects'!$B$2:$B$21,'Gear Leveling &amp; Effects'!$C$2:$C$21)+LOOKUP(M10,'Gear Leveling &amp; Effects'!$B$2:$B$21,'Gear Leveling &amp; Effects'!$C$2:$C$21)+LOOKUP(O10,'Gear Leveling &amp; Effects'!$B$2:$B$21,'Gear Leveling &amp; Effects'!$C$2:$C$21)+IF(ISBLANK(Q10),0,LOOKUP(Q10,'Gear Leveling &amp; Effects'!$B$2:$B$21,'Gear Leveling &amp; Effects'!$C$2:$C$21))+IF(ISBLANK(S10),0,LOOKUP(S10,'Gear Leveling &amp; Effects'!$B$2:$B$21,'Gear Leveling &amp; Effects'!$C$2:$C$21))</f>
        <v>300</v>
      </c>
      <c r="U10" s="504">
        <f t="shared" si="4"/>
        <v>25</v>
      </c>
      <c r="V10" s="505" t="s">
        <v>692</v>
      </c>
      <c r="W10" s="2"/>
    </row>
    <row r="11">
      <c r="A11" s="467">
        <v>42790.0</v>
      </c>
      <c r="B11" s="480" t="s">
        <v>136</v>
      </c>
      <c r="C11" s="469">
        <v>26598.0</v>
      </c>
      <c r="D11" s="469">
        <v>12.0</v>
      </c>
      <c r="E11" s="469">
        <v>440.0</v>
      </c>
      <c r="F11" s="470">
        <f t="shared" si="1"/>
        <v>598</v>
      </c>
      <c r="G11" s="471">
        <f t="shared" si="2"/>
        <v>49.83333333</v>
      </c>
      <c r="H11" s="469">
        <v>593.0</v>
      </c>
      <c r="I11" s="471">
        <f t="shared" si="3"/>
        <v>49.41666667</v>
      </c>
      <c r="J11" s="472" t="s">
        <v>703</v>
      </c>
      <c r="K11" s="472">
        <v>5.0</v>
      </c>
      <c r="L11" s="472" t="s">
        <v>624</v>
      </c>
      <c r="M11" s="472">
        <v>5.0</v>
      </c>
      <c r="N11" s="472" t="s">
        <v>704</v>
      </c>
      <c r="O11" s="472">
        <v>5.0</v>
      </c>
      <c r="P11" s="472"/>
      <c r="Q11" s="472"/>
      <c r="R11" s="473"/>
      <c r="S11" s="473"/>
      <c r="T11" s="469">
        <f>LOOKUP(K11,'Gear Leveling &amp; Effects'!$B$2:$B$21,'Gear Leveling &amp; Effects'!$C$2:$C$21)+LOOKUP(M11,'Gear Leveling &amp; Effects'!$B$2:$B$21,'Gear Leveling &amp; Effects'!$C$2:$C$21)+LOOKUP(O11,'Gear Leveling &amp; Effects'!$B$2:$B$21,'Gear Leveling &amp; Effects'!$C$2:$C$21)+IF(ISBLANK(Q11),0,LOOKUP(Q11,'Gear Leveling &amp; Effects'!$B$2:$B$21,'Gear Leveling &amp; Effects'!$C$2:$C$21))+IF(ISBLANK(S11),0,LOOKUP(S11,'Gear Leveling &amp; Effects'!$B$2:$B$21,'Gear Leveling &amp; Effects'!$C$2:$C$21))</f>
        <v>300</v>
      </c>
      <c r="U11" s="502">
        <f t="shared" si="4"/>
        <v>25</v>
      </c>
      <c r="V11" s="503" t="s">
        <v>692</v>
      </c>
      <c r="W11" s="2"/>
    </row>
    <row r="12">
      <c r="A12" s="475">
        <v>42800.0</v>
      </c>
      <c r="B12" s="476" t="s">
        <v>209</v>
      </c>
      <c r="C12" s="3">
        <v>31870.0</v>
      </c>
      <c r="D12" s="3">
        <v>14.0</v>
      </c>
      <c r="E12" s="3">
        <v>480.0</v>
      </c>
      <c r="F12" s="462">
        <f t="shared" si="1"/>
        <v>653</v>
      </c>
      <c r="G12" s="477">
        <f t="shared" si="2"/>
        <v>46.64285714</v>
      </c>
      <c r="H12" s="3">
        <v>795.0</v>
      </c>
      <c r="I12" s="477">
        <f t="shared" si="3"/>
        <v>56.78571429</v>
      </c>
      <c r="J12" s="24" t="s">
        <v>705</v>
      </c>
      <c r="K12" s="24">
        <v>6.0</v>
      </c>
      <c r="L12" s="24" t="s">
        <v>706</v>
      </c>
      <c r="M12" s="24">
        <v>6.0</v>
      </c>
      <c r="N12" s="24" t="s">
        <v>707</v>
      </c>
      <c r="O12" s="24">
        <v>6.0</v>
      </c>
      <c r="P12" s="24"/>
      <c r="Q12" s="24"/>
      <c r="R12" s="478"/>
      <c r="S12" s="478"/>
      <c r="T12" s="3">
        <f>LOOKUP(K12,'Gear Leveling &amp; Effects'!$B$2:$B$21,'Gear Leveling &amp; Effects'!$C$2:$C$21)+LOOKUP(M12,'Gear Leveling &amp; Effects'!$B$2:$B$21,'Gear Leveling &amp; Effects'!$C$2:$C$21)+LOOKUP(O12,'Gear Leveling &amp; Effects'!$B$2:$B$21,'Gear Leveling &amp; Effects'!$C$2:$C$21)+IF(ISBLANK(Q12),0,LOOKUP(Q12,'Gear Leveling &amp; Effects'!$B$2:$B$21,'Gear Leveling &amp; Effects'!$C$2:$C$21))+IF(ISBLANK(S12),0,LOOKUP(S12,'Gear Leveling &amp; Effects'!$B$2:$B$21,'Gear Leveling &amp; Effects'!$C$2:$C$21))</f>
        <v>360</v>
      </c>
      <c r="U12" s="504">
        <f t="shared" si="4"/>
        <v>25.71428571</v>
      </c>
      <c r="V12" s="505" t="s">
        <v>708</v>
      </c>
      <c r="W12" s="2"/>
    </row>
    <row r="13">
      <c r="A13" s="467">
        <v>42806.0</v>
      </c>
      <c r="B13" s="468" t="s">
        <v>197</v>
      </c>
      <c r="C13" s="469">
        <v>33213.0</v>
      </c>
      <c r="D13" s="469">
        <v>14.0</v>
      </c>
      <c r="E13" s="469">
        <v>520.0</v>
      </c>
      <c r="F13" s="470">
        <f t="shared" si="1"/>
        <v>707</v>
      </c>
      <c r="G13" s="471">
        <f t="shared" si="2"/>
        <v>50.5</v>
      </c>
      <c r="H13" s="469">
        <v>908.0</v>
      </c>
      <c r="I13" s="471">
        <f t="shared" si="3"/>
        <v>64.85714286</v>
      </c>
      <c r="J13" s="472" t="s">
        <v>635</v>
      </c>
      <c r="K13" s="472">
        <v>6.0</v>
      </c>
      <c r="L13" s="481" t="s">
        <v>709</v>
      </c>
      <c r="M13" s="472">
        <v>6.0</v>
      </c>
      <c r="N13" s="481" t="s">
        <v>710</v>
      </c>
      <c r="O13" s="472">
        <v>6.0</v>
      </c>
      <c r="P13" s="481" t="s">
        <v>632</v>
      </c>
      <c r="Q13" s="472">
        <v>6.0</v>
      </c>
      <c r="R13" s="473"/>
      <c r="S13" s="473"/>
      <c r="T13" s="469">
        <f>LOOKUP(K13,'Gear Leveling &amp; Effects'!$B$2:$B$21,'Gear Leveling &amp; Effects'!$C$2:$C$21)+LOOKUP(M13,'Gear Leveling &amp; Effects'!$B$2:$B$21,'Gear Leveling &amp; Effects'!$C$2:$C$21)+LOOKUP(O13,'Gear Leveling &amp; Effects'!$B$2:$B$21,'Gear Leveling &amp; Effects'!$C$2:$C$21)+IF(ISBLANK(Q13),0,LOOKUP(Q13,'Gear Leveling &amp; Effects'!$B$2:$B$21,'Gear Leveling &amp; Effects'!$C$2:$C$21))+IF(ISBLANK(S13),0,LOOKUP(S13,'Gear Leveling &amp; Effects'!$B$2:$B$21,'Gear Leveling &amp; Effects'!$C$2:$C$21))</f>
        <v>480</v>
      </c>
      <c r="U13" s="502">
        <f t="shared" si="4"/>
        <v>34.28571429</v>
      </c>
      <c r="V13" s="503" t="s">
        <v>708</v>
      </c>
      <c r="W13" s="2"/>
    </row>
    <row r="14">
      <c r="A14" s="475">
        <v>42812.0</v>
      </c>
      <c r="B14" s="476" t="s">
        <v>153</v>
      </c>
      <c r="C14" s="3">
        <v>49387.0</v>
      </c>
      <c r="D14" s="3">
        <v>14.0</v>
      </c>
      <c r="E14" s="3">
        <v>560.0</v>
      </c>
      <c r="F14" s="462">
        <f t="shared" si="1"/>
        <v>762</v>
      </c>
      <c r="G14" s="477">
        <f t="shared" si="2"/>
        <v>54.42857143</v>
      </c>
      <c r="H14" s="3">
        <v>1020.0</v>
      </c>
      <c r="I14" s="477">
        <f t="shared" si="3"/>
        <v>72.85714286</v>
      </c>
      <c r="J14" s="24" t="s">
        <v>711</v>
      </c>
      <c r="K14" s="24">
        <v>7.0</v>
      </c>
      <c r="L14" s="24" t="s">
        <v>620</v>
      </c>
      <c r="M14" s="24">
        <v>7.0</v>
      </c>
      <c r="N14" s="24" t="s">
        <v>712</v>
      </c>
      <c r="O14" s="24">
        <v>7.0</v>
      </c>
      <c r="P14" s="24"/>
      <c r="Q14" s="24"/>
      <c r="R14" s="478"/>
      <c r="S14" s="478"/>
      <c r="T14" s="3">
        <f>LOOKUP(K14,'Gear Leveling &amp; Effects'!$B$2:$B$21,'Gear Leveling &amp; Effects'!$C$2:$C$21)+LOOKUP(M14,'Gear Leveling &amp; Effects'!$B$2:$B$21,'Gear Leveling &amp; Effects'!$C$2:$C$21)+LOOKUP(O14,'Gear Leveling &amp; Effects'!$B$2:$B$21,'Gear Leveling &amp; Effects'!$C$2:$C$21)+IF(ISBLANK(Q14),0,LOOKUP(Q14,'Gear Leveling &amp; Effects'!$B$2:$B$21,'Gear Leveling &amp; Effects'!$C$2:$C$21))+IF(ISBLANK(S14),0,LOOKUP(S14,'Gear Leveling &amp; Effects'!$B$2:$B$21,'Gear Leveling &amp; Effects'!$C$2:$C$21))</f>
        <v>420</v>
      </c>
      <c r="U14" s="504">
        <f t="shared" si="4"/>
        <v>30</v>
      </c>
      <c r="V14" s="505" t="s">
        <v>708</v>
      </c>
      <c r="W14" s="2"/>
    </row>
    <row r="15">
      <c r="A15" s="467">
        <v>42818.0</v>
      </c>
      <c r="B15" s="480" t="s">
        <v>151</v>
      </c>
      <c r="C15" s="469">
        <v>37382.0</v>
      </c>
      <c r="D15" s="469">
        <v>14.0</v>
      </c>
      <c r="E15" s="469">
        <v>600.0</v>
      </c>
      <c r="F15" s="470">
        <f t="shared" si="1"/>
        <v>816</v>
      </c>
      <c r="G15" s="471">
        <f t="shared" si="2"/>
        <v>58.28571429</v>
      </c>
      <c r="H15" s="469">
        <v>1133.0</v>
      </c>
      <c r="I15" s="471">
        <f t="shared" si="3"/>
        <v>80.92857143</v>
      </c>
      <c r="J15" s="472" t="s">
        <v>629</v>
      </c>
      <c r="K15" s="472">
        <v>7.0</v>
      </c>
      <c r="L15" s="472" t="s">
        <v>713</v>
      </c>
      <c r="M15" s="472">
        <v>7.0</v>
      </c>
      <c r="N15" s="472" t="s">
        <v>714</v>
      </c>
      <c r="O15" s="472">
        <v>7.0</v>
      </c>
      <c r="P15" s="472"/>
      <c r="Q15" s="472"/>
      <c r="R15" s="473"/>
      <c r="S15" s="473"/>
      <c r="T15" s="469">
        <f>LOOKUP(K15,'Gear Leveling &amp; Effects'!$B$2:$B$21,'Gear Leveling &amp; Effects'!$C$2:$C$21)+LOOKUP(M15,'Gear Leveling &amp; Effects'!$B$2:$B$21,'Gear Leveling &amp; Effects'!$C$2:$C$21)+LOOKUP(O15,'Gear Leveling &amp; Effects'!$B$2:$B$21,'Gear Leveling &amp; Effects'!$C$2:$C$21)+IF(ISBLANK(Q15),0,LOOKUP(Q15,'Gear Leveling &amp; Effects'!$B$2:$B$21,'Gear Leveling &amp; Effects'!$C$2:$C$21))+IF(ISBLANK(S15),0,LOOKUP(S15,'Gear Leveling &amp; Effects'!$B$2:$B$21,'Gear Leveling &amp; Effects'!$C$2:$C$21))</f>
        <v>420</v>
      </c>
      <c r="U15" s="502">
        <f t="shared" si="4"/>
        <v>30</v>
      </c>
      <c r="V15" s="503" t="s">
        <v>708</v>
      </c>
      <c r="W15" s="2"/>
    </row>
    <row r="16">
      <c r="A16" s="475">
        <v>42831.0</v>
      </c>
      <c r="B16" s="476" t="s">
        <v>133</v>
      </c>
      <c r="C16" s="3">
        <v>51624.0</v>
      </c>
      <c r="D16" s="3">
        <v>14.0</v>
      </c>
      <c r="E16" s="3">
        <v>640.0</v>
      </c>
      <c r="F16" s="462">
        <f t="shared" si="1"/>
        <v>870</v>
      </c>
      <c r="G16" s="477">
        <f t="shared" si="2"/>
        <v>62.14285714</v>
      </c>
      <c r="H16" s="3">
        <v>1410.0</v>
      </c>
      <c r="I16" s="477">
        <f t="shared" si="3"/>
        <v>100.7142857</v>
      </c>
      <c r="J16" s="24" t="s">
        <v>715</v>
      </c>
      <c r="K16" s="24">
        <v>8.0</v>
      </c>
      <c r="L16" s="24" t="s">
        <v>716</v>
      </c>
      <c r="M16" s="24">
        <v>8.0</v>
      </c>
      <c r="N16" s="24" t="s">
        <v>625</v>
      </c>
      <c r="O16" s="24">
        <v>8.0</v>
      </c>
      <c r="P16" s="24" t="s">
        <v>627</v>
      </c>
      <c r="Q16" s="24">
        <v>8.0</v>
      </c>
      <c r="R16" s="478"/>
      <c r="S16" s="478"/>
      <c r="T16" s="3">
        <f>LOOKUP(K16,'Gear Leveling &amp; Effects'!$B$2:$B$21,'Gear Leveling &amp; Effects'!$C$2:$C$21)+LOOKUP(M16,'Gear Leveling &amp; Effects'!$B$2:$B$21,'Gear Leveling &amp; Effects'!$C$2:$C$21)+LOOKUP(O16,'Gear Leveling &amp; Effects'!$B$2:$B$21,'Gear Leveling &amp; Effects'!$C$2:$C$21)+IF(ISBLANK(Q16),0,LOOKUP(Q16,'Gear Leveling &amp; Effects'!$B$2:$B$21,'Gear Leveling &amp; Effects'!$C$2:$C$21))+IF(ISBLANK(S16),0,LOOKUP(S16,'Gear Leveling &amp; Effects'!$B$2:$B$21,'Gear Leveling &amp; Effects'!$C$2:$C$21))</f>
        <v>640</v>
      </c>
      <c r="U16" s="504">
        <f t="shared" si="4"/>
        <v>45.71428571</v>
      </c>
      <c r="V16" s="505" t="s">
        <v>717</v>
      </c>
      <c r="W16" s="2"/>
    </row>
    <row r="17">
      <c r="A17" s="467">
        <v>42837.0</v>
      </c>
      <c r="B17" s="480" t="s">
        <v>46</v>
      </c>
      <c r="C17" s="469">
        <v>61016.0</v>
      </c>
      <c r="D17" s="469">
        <v>14.0</v>
      </c>
      <c r="E17" s="469">
        <v>680.0</v>
      </c>
      <c r="F17" s="470">
        <f t="shared" si="1"/>
        <v>925</v>
      </c>
      <c r="G17" s="471">
        <f t="shared" si="2"/>
        <v>66.07142857</v>
      </c>
      <c r="H17" s="469">
        <v>1560.0</v>
      </c>
      <c r="I17" s="471">
        <f t="shared" si="3"/>
        <v>111.4285714</v>
      </c>
      <c r="J17" s="472" t="s">
        <v>718</v>
      </c>
      <c r="K17" s="472">
        <v>8.0</v>
      </c>
      <c r="L17" s="481" t="s">
        <v>719</v>
      </c>
      <c r="M17" s="472">
        <v>8.0</v>
      </c>
      <c r="N17" s="472" t="s">
        <v>720</v>
      </c>
      <c r="O17" s="472">
        <v>8.0</v>
      </c>
      <c r="P17" s="472" t="s">
        <v>639</v>
      </c>
      <c r="Q17" s="472">
        <v>8.0</v>
      </c>
      <c r="R17" s="473"/>
      <c r="S17" s="473"/>
      <c r="T17" s="469">
        <f>LOOKUP(K17,'Gear Leveling &amp; Effects'!$B$2:$B$21,'Gear Leveling &amp; Effects'!$C$2:$C$21)+LOOKUP(M17,'Gear Leveling &amp; Effects'!$B$2:$B$21,'Gear Leveling &amp; Effects'!$C$2:$C$21)+LOOKUP(O17,'Gear Leveling &amp; Effects'!$B$2:$B$21,'Gear Leveling &amp; Effects'!$C$2:$C$21)+IF(ISBLANK(Q17),0,LOOKUP(Q17,'Gear Leveling &amp; Effects'!$B$2:$B$21,'Gear Leveling &amp; Effects'!$C$2:$C$21))+IF(ISBLANK(S17),0,LOOKUP(S17,'Gear Leveling &amp; Effects'!$B$2:$B$21,'Gear Leveling &amp; Effects'!$C$2:$C$21))</f>
        <v>640</v>
      </c>
      <c r="U17" s="502">
        <f t="shared" si="4"/>
        <v>45.71428571</v>
      </c>
      <c r="V17" s="503" t="s">
        <v>717</v>
      </c>
      <c r="W17" s="2"/>
    </row>
    <row r="18">
      <c r="A18" s="475">
        <v>42843.0</v>
      </c>
      <c r="B18" s="476" t="s">
        <v>95</v>
      </c>
      <c r="C18" s="3">
        <v>83066.0</v>
      </c>
      <c r="D18" s="3">
        <v>14.0</v>
      </c>
      <c r="E18" s="3">
        <v>720.0</v>
      </c>
      <c r="F18" s="462">
        <f t="shared" si="1"/>
        <v>979</v>
      </c>
      <c r="G18" s="477">
        <f t="shared" si="2"/>
        <v>69.92857143</v>
      </c>
      <c r="H18" s="3">
        <v>1710.0</v>
      </c>
      <c r="I18" s="477">
        <f t="shared" si="3"/>
        <v>122.1428571</v>
      </c>
      <c r="J18" s="24" t="s">
        <v>721</v>
      </c>
      <c r="K18" s="24">
        <v>9.0</v>
      </c>
      <c r="L18" s="24" t="s">
        <v>722</v>
      </c>
      <c r="M18" s="24">
        <v>9.0</v>
      </c>
      <c r="N18" s="24" t="s">
        <v>723</v>
      </c>
      <c r="O18" s="24">
        <v>9.0</v>
      </c>
      <c r="P18" s="24" t="s">
        <v>638</v>
      </c>
      <c r="Q18" s="24">
        <v>9.0</v>
      </c>
      <c r="R18" s="478"/>
      <c r="S18" s="478"/>
      <c r="T18" s="3">
        <f>LOOKUP(K18,'Gear Leveling &amp; Effects'!$B$2:$B$21,'Gear Leveling &amp; Effects'!$C$2:$C$21)+LOOKUP(M18,'Gear Leveling &amp; Effects'!$B$2:$B$21,'Gear Leveling &amp; Effects'!$C$2:$C$21)+LOOKUP(O18,'Gear Leveling &amp; Effects'!$B$2:$B$21,'Gear Leveling &amp; Effects'!$C$2:$C$21)+IF(ISBLANK(Q18),0,LOOKUP(Q18,'Gear Leveling &amp; Effects'!$B$2:$B$21,'Gear Leveling &amp; Effects'!$C$2:$C$21))+IF(ISBLANK(S18),0,LOOKUP(S18,'Gear Leveling &amp; Effects'!$B$2:$B$21,'Gear Leveling &amp; Effects'!$C$2:$C$21))</f>
        <v>720</v>
      </c>
      <c r="U18" s="504">
        <f t="shared" si="4"/>
        <v>51.42857143</v>
      </c>
      <c r="V18" s="505" t="s">
        <v>717</v>
      </c>
      <c r="W18" s="2"/>
    </row>
    <row r="19">
      <c r="A19" s="467">
        <v>42849.0</v>
      </c>
      <c r="B19" s="480" t="s">
        <v>167</v>
      </c>
      <c r="C19" s="469">
        <v>68707.0</v>
      </c>
      <c r="D19" s="469">
        <v>14.0</v>
      </c>
      <c r="E19" s="469">
        <v>760.0</v>
      </c>
      <c r="F19" s="470">
        <f t="shared" si="1"/>
        <v>1034</v>
      </c>
      <c r="G19" s="471">
        <f t="shared" si="2"/>
        <v>73.85714286</v>
      </c>
      <c r="H19" s="469">
        <v>1860.0</v>
      </c>
      <c r="I19" s="471">
        <f t="shared" si="3"/>
        <v>132.8571429</v>
      </c>
      <c r="J19" s="472" t="s">
        <v>724</v>
      </c>
      <c r="K19" s="472">
        <v>9.0</v>
      </c>
      <c r="L19" s="481" t="s">
        <v>725</v>
      </c>
      <c r="M19" s="472">
        <v>9.0</v>
      </c>
      <c r="N19" s="472" t="s">
        <v>726</v>
      </c>
      <c r="O19" s="472">
        <v>9.0</v>
      </c>
      <c r="P19" s="472" t="s">
        <v>630</v>
      </c>
      <c r="Q19" s="472">
        <v>9.0</v>
      </c>
      <c r="R19" s="473"/>
      <c r="S19" s="473"/>
      <c r="T19" s="469">
        <f>LOOKUP(K19,'Gear Leveling &amp; Effects'!$B$2:$B$21,'Gear Leveling &amp; Effects'!$C$2:$C$21)+LOOKUP(M19,'Gear Leveling &amp; Effects'!$B$2:$B$21,'Gear Leveling &amp; Effects'!$C$2:$C$21)+LOOKUP(O19,'Gear Leveling &amp; Effects'!$B$2:$B$21,'Gear Leveling &amp; Effects'!$C$2:$C$21)+IF(ISBLANK(Q19),0,LOOKUP(Q19,'Gear Leveling &amp; Effects'!$B$2:$B$21,'Gear Leveling &amp; Effects'!$C$2:$C$21))+IF(ISBLANK(S19),0,LOOKUP(S19,'Gear Leveling &amp; Effects'!$B$2:$B$21,'Gear Leveling &amp; Effects'!$C$2:$C$21))</f>
        <v>720</v>
      </c>
      <c r="U19" s="502">
        <f t="shared" si="4"/>
        <v>51.42857143</v>
      </c>
      <c r="V19" s="503" t="s">
        <v>717</v>
      </c>
      <c r="W19" s="2"/>
    </row>
    <row r="20">
      <c r="A20" s="475">
        <v>42861.0</v>
      </c>
      <c r="B20" s="476" t="s">
        <v>153</v>
      </c>
      <c r="C20" s="3">
        <v>205036.0</v>
      </c>
      <c r="D20" s="3">
        <v>16.0</v>
      </c>
      <c r="E20" s="3">
        <v>800.0</v>
      </c>
      <c r="F20" s="462">
        <f t="shared" si="1"/>
        <v>1088</v>
      </c>
      <c r="G20" s="477">
        <f t="shared" si="2"/>
        <v>68</v>
      </c>
      <c r="H20" s="3">
        <v>2213.0</v>
      </c>
      <c r="I20" s="477">
        <f t="shared" si="3"/>
        <v>138.3125</v>
      </c>
      <c r="J20" s="24" t="s">
        <v>727</v>
      </c>
      <c r="K20" s="24">
        <v>10.0</v>
      </c>
      <c r="L20" s="24" t="s">
        <v>728</v>
      </c>
      <c r="M20" s="24">
        <v>10.0</v>
      </c>
      <c r="N20" s="24" t="s">
        <v>631</v>
      </c>
      <c r="O20" s="24">
        <v>10.0</v>
      </c>
      <c r="P20" s="24"/>
      <c r="Q20" s="24"/>
      <c r="R20" s="478"/>
      <c r="S20" s="478"/>
      <c r="T20" s="3">
        <f>LOOKUP(K20,'Gear Leveling &amp; Effects'!$B$2:$B$21,'Gear Leveling &amp; Effects'!$C$2:$C$21)+LOOKUP(M20,'Gear Leveling &amp; Effects'!$B$2:$B$21,'Gear Leveling &amp; Effects'!$C$2:$C$21)+LOOKUP(O20,'Gear Leveling &amp; Effects'!$B$2:$B$21,'Gear Leveling &amp; Effects'!$C$2:$C$21)+IF(ISBLANK(Q20),0,LOOKUP(Q20,'Gear Leveling &amp; Effects'!$B$2:$B$21,'Gear Leveling &amp; Effects'!$C$2:$C$21))+IF(ISBLANK(S20),0,LOOKUP(S20,'Gear Leveling &amp; Effects'!$B$2:$B$21,'Gear Leveling &amp; Effects'!$C$2:$C$21))</f>
        <v>600</v>
      </c>
      <c r="U20" s="504">
        <f t="shared" si="4"/>
        <v>37.5</v>
      </c>
      <c r="V20" s="505" t="s">
        <v>717</v>
      </c>
      <c r="W20" s="2"/>
    </row>
    <row r="21">
      <c r="A21" s="467">
        <v>42867.0</v>
      </c>
      <c r="B21" s="468" t="s">
        <v>175</v>
      </c>
      <c r="C21" s="469">
        <v>201700.0</v>
      </c>
      <c r="D21" s="469">
        <v>16.0</v>
      </c>
      <c r="E21" s="469">
        <v>840.0</v>
      </c>
      <c r="F21" s="470">
        <f t="shared" si="1"/>
        <v>1142</v>
      </c>
      <c r="G21" s="471">
        <f t="shared" si="2"/>
        <v>71.375</v>
      </c>
      <c r="H21" s="469">
        <v>2400.0</v>
      </c>
      <c r="I21" s="471">
        <f t="shared" si="3"/>
        <v>150</v>
      </c>
      <c r="J21" s="472" t="s">
        <v>729</v>
      </c>
      <c r="K21" s="472">
        <v>10.0</v>
      </c>
      <c r="L21" s="472" t="s">
        <v>730</v>
      </c>
      <c r="M21" s="472">
        <v>10.0</v>
      </c>
      <c r="N21" s="472" t="s">
        <v>731</v>
      </c>
      <c r="O21" s="472">
        <v>10.0</v>
      </c>
      <c r="P21" s="472" t="s">
        <v>732</v>
      </c>
      <c r="Q21" s="472">
        <v>10.0</v>
      </c>
      <c r="R21" s="473"/>
      <c r="S21" s="473"/>
      <c r="T21" s="469">
        <f>LOOKUP(K21,'Gear Leveling &amp; Effects'!$B$2:$B$21,'Gear Leveling &amp; Effects'!$C$2:$C$21)+LOOKUP(M21,'Gear Leveling &amp; Effects'!$B$2:$B$21,'Gear Leveling &amp; Effects'!$C$2:$C$21)+LOOKUP(O21,'Gear Leveling &amp; Effects'!$B$2:$B$21,'Gear Leveling &amp; Effects'!$C$2:$C$21)+IF(ISBLANK(Q21),0,LOOKUP(Q21,'Gear Leveling &amp; Effects'!$B$2:$B$21,'Gear Leveling &amp; Effects'!$C$2:$C$21))+IF(ISBLANK(S21),0,LOOKUP(S21,'Gear Leveling &amp; Effects'!$B$2:$B$21,'Gear Leveling &amp; Effects'!$C$2:$C$21))</f>
        <v>800</v>
      </c>
      <c r="U21" s="502">
        <f t="shared" si="4"/>
        <v>50</v>
      </c>
      <c r="V21" s="503" t="s">
        <v>717</v>
      </c>
      <c r="W21" s="2"/>
    </row>
    <row r="22">
      <c r="A22" s="475">
        <v>42873.0</v>
      </c>
      <c r="B22" s="476" t="s">
        <v>95</v>
      </c>
      <c r="C22" s="3">
        <v>229765.0</v>
      </c>
      <c r="D22" s="3">
        <v>16.0</v>
      </c>
      <c r="E22" s="3">
        <v>880.0</v>
      </c>
      <c r="F22" s="462">
        <f t="shared" si="1"/>
        <v>1197</v>
      </c>
      <c r="G22" s="477">
        <f t="shared" si="2"/>
        <v>74.8125</v>
      </c>
      <c r="H22" s="3">
        <v>2588.0</v>
      </c>
      <c r="I22" s="477">
        <f t="shared" si="3"/>
        <v>161.75</v>
      </c>
      <c r="J22" s="24" t="s">
        <v>733</v>
      </c>
      <c r="K22" s="24">
        <v>11.0</v>
      </c>
      <c r="L22" s="24" t="s">
        <v>634</v>
      </c>
      <c r="M22" s="24">
        <v>11.0</v>
      </c>
      <c r="N22" s="24" t="s">
        <v>734</v>
      </c>
      <c r="O22" s="24">
        <v>11.0</v>
      </c>
      <c r="P22" s="24"/>
      <c r="Q22" s="24"/>
      <c r="R22" s="478"/>
      <c r="S22" s="478"/>
      <c r="T22" s="3">
        <f>LOOKUP(K22,'Gear Leveling &amp; Effects'!$B$2:$B$21,'Gear Leveling &amp; Effects'!$C$2:$C$21)+LOOKUP(M22,'Gear Leveling &amp; Effects'!$B$2:$B$21,'Gear Leveling &amp; Effects'!$C$2:$C$21)+LOOKUP(O22,'Gear Leveling &amp; Effects'!$B$2:$B$21,'Gear Leveling &amp; Effects'!$C$2:$C$21)+IF(ISBLANK(Q22),0,LOOKUP(Q22,'Gear Leveling &amp; Effects'!$B$2:$B$21,'Gear Leveling &amp; Effects'!$C$2:$C$21))+IF(ISBLANK(S22),0,LOOKUP(S22,'Gear Leveling &amp; Effects'!$B$2:$B$21,'Gear Leveling &amp; Effects'!$C$2:$C$21))</f>
        <v>660</v>
      </c>
      <c r="U22" s="504">
        <f t="shared" si="4"/>
        <v>41.25</v>
      </c>
      <c r="V22" s="505" t="s">
        <v>717</v>
      </c>
      <c r="W22" s="2"/>
    </row>
    <row r="23">
      <c r="A23" s="467">
        <v>42879.0</v>
      </c>
      <c r="B23" s="468" t="s">
        <v>147</v>
      </c>
      <c r="C23" s="469">
        <v>233121.0</v>
      </c>
      <c r="D23" s="469">
        <v>16.0</v>
      </c>
      <c r="E23" s="469">
        <v>920.0</v>
      </c>
      <c r="F23" s="470">
        <f t="shared" si="1"/>
        <v>1251</v>
      </c>
      <c r="G23" s="471">
        <f t="shared" si="2"/>
        <v>78.1875</v>
      </c>
      <c r="H23" s="469">
        <v>2775.0</v>
      </c>
      <c r="I23" s="471">
        <f t="shared" si="3"/>
        <v>173.4375</v>
      </c>
      <c r="J23" s="472" t="s">
        <v>735</v>
      </c>
      <c r="K23" s="472">
        <v>11.0</v>
      </c>
      <c r="L23" s="472" t="s">
        <v>736</v>
      </c>
      <c r="M23" s="472">
        <v>11.0</v>
      </c>
      <c r="N23" s="481" t="s">
        <v>737</v>
      </c>
      <c r="O23" s="472">
        <v>11.0</v>
      </c>
      <c r="P23" s="472" t="s">
        <v>640</v>
      </c>
      <c r="Q23" s="472">
        <v>11.0</v>
      </c>
      <c r="R23" s="472" t="s">
        <v>628</v>
      </c>
      <c r="S23" s="472">
        <v>11.0</v>
      </c>
      <c r="T23" s="469">
        <f>LOOKUP(K23,'Gear Leveling &amp; Effects'!$B$2:$B$21,'Gear Leveling &amp; Effects'!$C$2:$C$21)+LOOKUP(M23,'Gear Leveling &amp; Effects'!$B$2:$B$21,'Gear Leveling &amp; Effects'!$C$2:$C$21)+LOOKUP(O23,'Gear Leveling &amp; Effects'!$B$2:$B$21,'Gear Leveling &amp; Effects'!$C$2:$C$21)+IF(ISBLANK(Q23),0,LOOKUP(Q23,'Gear Leveling &amp; Effects'!$B$2:$B$21,'Gear Leveling &amp; Effects'!$C$2:$C$21))+IF(ISBLANK(S23),0,LOOKUP(S23,'Gear Leveling &amp; Effects'!$B$2:$B$21,'Gear Leveling &amp; Effects'!$C$2:$C$21))</f>
        <v>1100</v>
      </c>
      <c r="U23" s="502">
        <f t="shared" si="4"/>
        <v>68.75</v>
      </c>
      <c r="V23" s="503" t="s">
        <v>717</v>
      </c>
      <c r="W23" s="2"/>
    </row>
    <row r="24">
      <c r="A24" s="475">
        <v>42892.0</v>
      </c>
      <c r="B24" s="476" t="s">
        <v>197</v>
      </c>
      <c r="C24" s="3">
        <v>192175.0</v>
      </c>
      <c r="D24" s="3">
        <v>16.0</v>
      </c>
      <c r="E24" s="3">
        <v>960.0</v>
      </c>
      <c r="F24" s="462">
        <f t="shared" si="1"/>
        <v>1306</v>
      </c>
      <c r="G24" s="477">
        <f t="shared" si="2"/>
        <v>81.625</v>
      </c>
      <c r="H24" s="3">
        <v>3203.0</v>
      </c>
      <c r="I24" s="477">
        <f t="shared" si="3"/>
        <v>200.1875</v>
      </c>
      <c r="J24" s="24" t="s">
        <v>738</v>
      </c>
      <c r="K24" s="24">
        <v>12.0</v>
      </c>
      <c r="L24" s="24" t="s">
        <v>739</v>
      </c>
      <c r="M24" s="24">
        <v>12.0</v>
      </c>
      <c r="N24" s="24" t="s">
        <v>740</v>
      </c>
      <c r="O24" s="24">
        <v>12.0</v>
      </c>
      <c r="P24" s="24"/>
      <c r="Q24" s="24"/>
      <c r="R24" s="478"/>
      <c r="S24" s="478"/>
      <c r="T24" s="3">
        <f>LOOKUP(K24,'Gear Leveling &amp; Effects'!$B$2:$B$21,'Gear Leveling &amp; Effects'!$C$2:$C$21)+LOOKUP(M24,'Gear Leveling &amp; Effects'!$B$2:$B$21,'Gear Leveling &amp; Effects'!$C$2:$C$21)+LOOKUP(O24,'Gear Leveling &amp; Effects'!$B$2:$B$21,'Gear Leveling &amp; Effects'!$C$2:$C$21)+IF(ISBLANK(Q24),0,LOOKUP(Q24,'Gear Leveling &amp; Effects'!$B$2:$B$21,'Gear Leveling &amp; Effects'!$C$2:$C$21))+IF(ISBLANK(S24),0,LOOKUP(S24,'Gear Leveling &amp; Effects'!$B$2:$B$21,'Gear Leveling &amp; Effects'!$C$2:$C$21))</f>
        <v>720</v>
      </c>
      <c r="U24" s="504">
        <f t="shared" si="4"/>
        <v>45</v>
      </c>
      <c r="V24" s="505" t="s">
        <v>741</v>
      </c>
      <c r="W24" s="2"/>
    </row>
    <row r="25">
      <c r="A25" s="467">
        <v>42898.0</v>
      </c>
      <c r="B25" s="468" t="s">
        <v>62</v>
      </c>
      <c r="C25" s="469">
        <v>222489.0</v>
      </c>
      <c r="D25" s="469">
        <v>16.0</v>
      </c>
      <c r="E25" s="469">
        <v>1000.0</v>
      </c>
      <c r="F25" s="470">
        <f t="shared" si="1"/>
        <v>1360</v>
      </c>
      <c r="G25" s="471">
        <f t="shared" si="2"/>
        <v>85</v>
      </c>
      <c r="H25" s="469">
        <v>3428.0</v>
      </c>
      <c r="I25" s="471">
        <f t="shared" si="3"/>
        <v>214.25</v>
      </c>
      <c r="J25" s="472" t="s">
        <v>742</v>
      </c>
      <c r="K25" s="472">
        <v>12.0</v>
      </c>
      <c r="L25" s="472" t="s">
        <v>743</v>
      </c>
      <c r="M25" s="472">
        <v>12.0</v>
      </c>
      <c r="N25" s="472" t="s">
        <v>744</v>
      </c>
      <c r="O25" s="472">
        <v>12.0</v>
      </c>
      <c r="P25" s="472" t="s">
        <v>636</v>
      </c>
      <c r="Q25" s="472">
        <v>12.0</v>
      </c>
      <c r="R25" s="473"/>
      <c r="S25" s="473"/>
      <c r="T25" s="469">
        <f>LOOKUP(K25,'Gear Leveling &amp; Effects'!$B$2:$B$21,'Gear Leveling &amp; Effects'!$C$2:$C$21)+LOOKUP(M25,'Gear Leveling &amp; Effects'!$B$2:$B$21,'Gear Leveling &amp; Effects'!$C$2:$C$21)+LOOKUP(O25,'Gear Leveling &amp; Effects'!$B$2:$B$21,'Gear Leveling &amp; Effects'!$C$2:$C$21)+IF(ISBLANK(Q25),0,LOOKUP(Q25,'Gear Leveling &amp; Effects'!$B$2:$B$21,'Gear Leveling &amp; Effects'!$C$2:$C$21))+IF(ISBLANK(S25),0,LOOKUP(S25,'Gear Leveling &amp; Effects'!$B$2:$B$21,'Gear Leveling &amp; Effects'!$C$2:$C$21))</f>
        <v>960</v>
      </c>
      <c r="U25" s="502">
        <f t="shared" si="4"/>
        <v>60</v>
      </c>
      <c r="V25" s="503" t="s">
        <v>741</v>
      </c>
      <c r="W25" s="2"/>
    </row>
    <row r="26">
      <c r="A26" s="475">
        <v>42904.0</v>
      </c>
      <c r="B26" s="476" t="s">
        <v>205</v>
      </c>
      <c r="C26" s="3">
        <v>219150.0</v>
      </c>
      <c r="D26" s="3">
        <v>16.0</v>
      </c>
      <c r="E26" s="3">
        <v>1040.0</v>
      </c>
      <c r="F26" s="462">
        <f t="shared" si="1"/>
        <v>1414</v>
      </c>
      <c r="G26" s="477">
        <f t="shared" si="2"/>
        <v>88.375</v>
      </c>
      <c r="H26" s="3">
        <v>3653.0</v>
      </c>
      <c r="I26" s="477">
        <f t="shared" si="3"/>
        <v>228.3125</v>
      </c>
      <c r="J26" s="24" t="s">
        <v>745</v>
      </c>
      <c r="K26" s="24">
        <v>13.0</v>
      </c>
      <c r="L26" s="24" t="s">
        <v>746</v>
      </c>
      <c r="M26" s="24">
        <v>13.0</v>
      </c>
      <c r="N26" s="24" t="s">
        <v>747</v>
      </c>
      <c r="O26" s="24">
        <v>13.0</v>
      </c>
      <c r="P26" s="24" t="s">
        <v>748</v>
      </c>
      <c r="Q26" s="24">
        <v>13.0</v>
      </c>
      <c r="R26" s="478"/>
      <c r="S26" s="478"/>
      <c r="T26" s="3">
        <f>LOOKUP(K26,'Gear Leveling &amp; Effects'!$B$2:$B$21,'Gear Leveling &amp; Effects'!$C$2:$C$21)+LOOKUP(M26,'Gear Leveling &amp; Effects'!$B$2:$B$21,'Gear Leveling &amp; Effects'!$C$2:$C$21)+LOOKUP(O26,'Gear Leveling &amp; Effects'!$B$2:$B$21,'Gear Leveling &amp; Effects'!$C$2:$C$21)+IF(ISBLANK(Q26),0,LOOKUP(Q26,'Gear Leveling &amp; Effects'!$B$2:$B$21,'Gear Leveling &amp; Effects'!$C$2:$C$21))+IF(ISBLANK(S26),0,LOOKUP(S26,'Gear Leveling &amp; Effects'!$B$2:$B$21,'Gear Leveling &amp; Effects'!$C$2:$C$21))</f>
        <v>1040</v>
      </c>
      <c r="U26" s="504">
        <f t="shared" si="4"/>
        <v>65</v>
      </c>
      <c r="V26" s="505" t="s">
        <v>741</v>
      </c>
      <c r="W26" s="2"/>
    </row>
    <row r="27">
      <c r="A27" s="467">
        <v>42910.0</v>
      </c>
      <c r="B27" s="480" t="s">
        <v>146</v>
      </c>
      <c r="C27" s="469">
        <v>272404.0</v>
      </c>
      <c r="D27" s="469">
        <v>16.0</v>
      </c>
      <c r="E27" s="469">
        <v>1080.0</v>
      </c>
      <c r="F27" s="470">
        <f t="shared" si="1"/>
        <v>1469</v>
      </c>
      <c r="G27" s="471">
        <f t="shared" si="2"/>
        <v>91.8125</v>
      </c>
      <c r="H27" s="469">
        <v>3878.0</v>
      </c>
      <c r="I27" s="471">
        <f t="shared" si="3"/>
        <v>242.375</v>
      </c>
      <c r="J27" s="472" t="s">
        <v>749</v>
      </c>
      <c r="K27" s="472">
        <v>13.0</v>
      </c>
      <c r="L27" s="472" t="s">
        <v>750</v>
      </c>
      <c r="M27" s="472">
        <v>13.0</v>
      </c>
      <c r="N27" s="472" t="s">
        <v>751</v>
      </c>
      <c r="O27" s="472">
        <v>13.0</v>
      </c>
      <c r="P27" s="472" t="s">
        <v>752</v>
      </c>
      <c r="Q27" s="472">
        <v>13.0</v>
      </c>
      <c r="R27" s="473"/>
      <c r="S27" s="473"/>
      <c r="T27" s="469">
        <f>LOOKUP(K27,'Gear Leveling &amp; Effects'!$B$2:$B$21,'Gear Leveling &amp; Effects'!$C$2:$C$21)+LOOKUP(M27,'Gear Leveling &amp; Effects'!$B$2:$B$21,'Gear Leveling &amp; Effects'!$C$2:$C$21)+LOOKUP(O27,'Gear Leveling &amp; Effects'!$B$2:$B$21,'Gear Leveling &amp; Effects'!$C$2:$C$21)+IF(ISBLANK(Q27),0,LOOKUP(Q27,'Gear Leveling &amp; Effects'!$B$2:$B$21,'Gear Leveling &amp; Effects'!$C$2:$C$21))+IF(ISBLANK(S27),0,LOOKUP(S27,'Gear Leveling &amp; Effects'!$B$2:$B$21,'Gear Leveling &amp; Effects'!$C$2:$C$21))</f>
        <v>1040</v>
      </c>
      <c r="U27" s="502">
        <f t="shared" si="4"/>
        <v>65</v>
      </c>
      <c r="V27" s="503" t="s">
        <v>741</v>
      </c>
      <c r="W27" s="2"/>
    </row>
    <row r="28">
      <c r="A28" s="475">
        <v>42922.0</v>
      </c>
      <c r="B28" s="476" t="s">
        <v>153</v>
      </c>
      <c r="C28" s="3">
        <v>330636.0</v>
      </c>
      <c r="D28" s="3">
        <v>18.0</v>
      </c>
      <c r="E28" s="3">
        <v>1120.0</v>
      </c>
      <c r="F28" s="462">
        <f t="shared" si="1"/>
        <v>1523</v>
      </c>
      <c r="G28" s="477">
        <f t="shared" si="2"/>
        <v>84.61111111</v>
      </c>
      <c r="H28" s="3">
        <v>4380.0</v>
      </c>
      <c r="I28" s="477">
        <f t="shared" si="3"/>
        <v>243.3333333</v>
      </c>
      <c r="J28" s="24" t="s">
        <v>753</v>
      </c>
      <c r="K28" s="24">
        <v>14.0</v>
      </c>
      <c r="L28" s="24" t="s">
        <v>754</v>
      </c>
      <c r="M28" s="24">
        <v>14.0</v>
      </c>
      <c r="N28" s="24" t="s">
        <v>645</v>
      </c>
      <c r="O28" s="24">
        <v>14.0</v>
      </c>
      <c r="P28" s="24" t="s">
        <v>755</v>
      </c>
      <c r="Q28" s="24">
        <v>14.0</v>
      </c>
      <c r="R28" s="478"/>
      <c r="S28" s="478"/>
      <c r="T28" s="3">
        <f>LOOKUP(K28,'Gear Leveling &amp; Effects'!$B$2:$B$21,'Gear Leveling &amp; Effects'!$C$2:$C$21)+LOOKUP(M28,'Gear Leveling &amp; Effects'!$B$2:$B$21,'Gear Leveling &amp; Effects'!$C$2:$C$21)+LOOKUP(O28,'Gear Leveling &amp; Effects'!$B$2:$B$21,'Gear Leveling &amp; Effects'!$C$2:$C$21)+IF(ISBLANK(Q28),0,LOOKUP(Q28,'Gear Leveling &amp; Effects'!$B$2:$B$21,'Gear Leveling &amp; Effects'!$C$2:$C$21))+IF(ISBLANK(S28),0,LOOKUP(S28,'Gear Leveling &amp; Effects'!$B$2:$B$21,'Gear Leveling &amp; Effects'!$C$2:$C$21))</f>
        <v>1120</v>
      </c>
      <c r="U28" s="504">
        <f t="shared" si="4"/>
        <v>62.22222222</v>
      </c>
      <c r="V28" s="505" t="s">
        <v>741</v>
      </c>
      <c r="W28" s="2"/>
    </row>
    <row r="29">
      <c r="A29" s="467">
        <v>42928.0</v>
      </c>
      <c r="B29" s="468" t="s">
        <v>224</v>
      </c>
      <c r="C29" s="469">
        <v>340850.0</v>
      </c>
      <c r="D29" s="469">
        <v>18.0</v>
      </c>
      <c r="E29" s="469">
        <v>1160.0</v>
      </c>
      <c r="F29" s="470">
        <f t="shared" si="1"/>
        <v>1578</v>
      </c>
      <c r="G29" s="471">
        <f t="shared" si="2"/>
        <v>87.66666667</v>
      </c>
      <c r="H29" s="469">
        <v>4643.0</v>
      </c>
      <c r="I29" s="471">
        <f t="shared" si="3"/>
        <v>257.9444444</v>
      </c>
      <c r="J29" s="472" t="s">
        <v>756</v>
      </c>
      <c r="K29" s="472">
        <v>15.0</v>
      </c>
      <c r="L29" s="472" t="s">
        <v>757</v>
      </c>
      <c r="M29" s="472">
        <v>15.0</v>
      </c>
      <c r="N29" s="472" t="s">
        <v>643</v>
      </c>
      <c r="O29" s="472">
        <v>15.0</v>
      </c>
      <c r="P29" s="472"/>
      <c r="Q29" s="472"/>
      <c r="R29" s="473"/>
      <c r="S29" s="473"/>
      <c r="T29" s="469">
        <f>LOOKUP(K29,'Gear Leveling &amp; Effects'!$B$2:$B$21,'Gear Leveling &amp; Effects'!$C$2:$C$21)+LOOKUP(M29,'Gear Leveling &amp; Effects'!$B$2:$B$21,'Gear Leveling &amp; Effects'!$C$2:$C$21)+LOOKUP(O29,'Gear Leveling &amp; Effects'!$B$2:$B$21,'Gear Leveling &amp; Effects'!$C$2:$C$21)+IF(ISBLANK(Q29),0,LOOKUP(Q29,'Gear Leveling &amp; Effects'!$B$2:$B$21,'Gear Leveling &amp; Effects'!$C$2:$C$21))+IF(ISBLANK(S29),0,LOOKUP(S29,'Gear Leveling &amp; Effects'!$B$2:$B$21,'Gear Leveling &amp; Effects'!$C$2:$C$21))</f>
        <v>900</v>
      </c>
      <c r="U29" s="502">
        <f t="shared" si="4"/>
        <v>50</v>
      </c>
      <c r="V29" s="503" t="s">
        <v>741</v>
      </c>
      <c r="W29" s="2"/>
    </row>
    <row r="30">
      <c r="A30" s="475">
        <v>42934.0</v>
      </c>
      <c r="B30" s="476" t="s">
        <v>102</v>
      </c>
      <c r="C30" s="3">
        <v>388522.0</v>
      </c>
      <c r="D30" s="3">
        <v>18.0</v>
      </c>
      <c r="E30" s="3">
        <v>1200.0</v>
      </c>
      <c r="F30" s="462">
        <f t="shared" si="1"/>
        <v>1632</v>
      </c>
      <c r="G30" s="477">
        <f t="shared" si="2"/>
        <v>90.66666667</v>
      </c>
      <c r="H30" s="3">
        <v>4905.0</v>
      </c>
      <c r="I30" s="477">
        <f t="shared" si="3"/>
        <v>272.5</v>
      </c>
      <c r="J30" s="24" t="s">
        <v>758</v>
      </c>
      <c r="K30" s="24">
        <v>15.0</v>
      </c>
      <c r="L30" s="24" t="s">
        <v>759</v>
      </c>
      <c r="M30" s="24">
        <v>15.0</v>
      </c>
      <c r="N30" s="24" t="s">
        <v>760</v>
      </c>
      <c r="O30" s="24">
        <v>15.0</v>
      </c>
      <c r="P30" s="24" t="s">
        <v>761</v>
      </c>
      <c r="Q30" s="24">
        <v>15.0</v>
      </c>
      <c r="R30" s="478"/>
      <c r="S30" s="478"/>
      <c r="T30" s="3">
        <f>LOOKUP(K30,'Gear Leveling &amp; Effects'!$B$2:$B$21,'Gear Leveling &amp; Effects'!$C$2:$C$21)+LOOKUP(M30,'Gear Leveling &amp; Effects'!$B$2:$B$21,'Gear Leveling &amp; Effects'!$C$2:$C$21)+LOOKUP(O30,'Gear Leveling &amp; Effects'!$B$2:$B$21,'Gear Leveling &amp; Effects'!$C$2:$C$21)+IF(ISBLANK(Q30),0,LOOKUP(Q30,'Gear Leveling &amp; Effects'!$B$2:$B$21,'Gear Leveling &amp; Effects'!$C$2:$C$21))+IF(ISBLANK(S30),0,LOOKUP(S30,'Gear Leveling &amp; Effects'!$B$2:$B$21,'Gear Leveling &amp; Effects'!$C$2:$C$21))</f>
        <v>1200</v>
      </c>
      <c r="U30" s="504">
        <f t="shared" si="4"/>
        <v>66.66666667</v>
      </c>
      <c r="V30" s="505" t="s">
        <v>741</v>
      </c>
      <c r="W30" s="2"/>
    </row>
    <row r="31">
      <c r="A31" s="467">
        <v>42940.0</v>
      </c>
      <c r="B31" s="468" t="s">
        <v>66</v>
      </c>
      <c r="C31" s="469">
        <v>368978.0</v>
      </c>
      <c r="D31" s="469">
        <v>18.0</v>
      </c>
      <c r="E31" s="469">
        <v>1240.0</v>
      </c>
      <c r="F31" s="470">
        <f t="shared" si="1"/>
        <v>1686</v>
      </c>
      <c r="G31" s="471">
        <f t="shared" si="2"/>
        <v>93.66666667</v>
      </c>
      <c r="H31" s="469">
        <v>5168.0</v>
      </c>
      <c r="I31" s="471">
        <f t="shared" si="3"/>
        <v>287.1111111</v>
      </c>
      <c r="J31" s="472" t="s">
        <v>762</v>
      </c>
      <c r="K31" s="472">
        <v>16.0</v>
      </c>
      <c r="L31" s="472" t="s">
        <v>644</v>
      </c>
      <c r="M31" s="472">
        <v>16.0</v>
      </c>
      <c r="N31" s="472" t="s">
        <v>658</v>
      </c>
      <c r="O31" s="472">
        <v>16.0</v>
      </c>
      <c r="P31" s="472" t="s">
        <v>153</v>
      </c>
      <c r="Q31" s="472">
        <v>16.0</v>
      </c>
      <c r="R31" s="473"/>
      <c r="S31" s="473"/>
      <c r="T31" s="469">
        <f>LOOKUP(K31,'Gear Leveling &amp; Effects'!$B$2:$B$21,'Gear Leveling &amp; Effects'!$C$2:$C$21)+LOOKUP(M31,'Gear Leveling &amp; Effects'!$B$2:$B$21,'Gear Leveling &amp; Effects'!$C$2:$C$21)+LOOKUP(O31,'Gear Leveling &amp; Effects'!$B$2:$B$21,'Gear Leveling &amp; Effects'!$C$2:$C$21)+IF(ISBLANK(Q31),0,LOOKUP(Q31,'Gear Leveling &amp; Effects'!$B$2:$B$21,'Gear Leveling &amp; Effects'!$C$2:$C$21))+IF(ISBLANK(S31),0,LOOKUP(S31,'Gear Leveling &amp; Effects'!$B$2:$B$21,'Gear Leveling &amp; Effects'!$C$2:$C$21))</f>
        <v>1280</v>
      </c>
      <c r="U31" s="502">
        <f t="shared" si="4"/>
        <v>71.11111111</v>
      </c>
      <c r="V31" s="503" t="s">
        <v>741</v>
      </c>
      <c r="W31" s="2"/>
    </row>
    <row r="32">
      <c r="A32" s="475">
        <v>42953.0</v>
      </c>
      <c r="B32" s="476" t="s">
        <v>95</v>
      </c>
      <c r="C32" s="3">
        <v>493340.0</v>
      </c>
      <c r="D32" s="3">
        <v>18.0</v>
      </c>
      <c r="E32" s="3">
        <v>1280.0</v>
      </c>
      <c r="F32" s="462">
        <f t="shared" si="1"/>
        <v>1741</v>
      </c>
      <c r="G32" s="477">
        <f t="shared" si="2"/>
        <v>96.72222222</v>
      </c>
      <c r="H32" s="3">
        <v>5588.0</v>
      </c>
      <c r="I32" s="477">
        <f t="shared" si="3"/>
        <v>310.4444444</v>
      </c>
      <c r="J32" s="24" t="s">
        <v>763</v>
      </c>
      <c r="K32" s="24">
        <v>17.0</v>
      </c>
      <c r="L32" s="24" t="s">
        <v>645</v>
      </c>
      <c r="M32" s="24">
        <v>17.0</v>
      </c>
      <c r="N32" s="24" t="s">
        <v>651</v>
      </c>
      <c r="O32" s="24">
        <v>17.0</v>
      </c>
      <c r="P32" s="24" t="s">
        <v>764</v>
      </c>
      <c r="Q32" s="24">
        <v>17.0</v>
      </c>
      <c r="R32" s="478"/>
      <c r="S32" s="478"/>
      <c r="T32" s="3">
        <f>LOOKUP(K32,'Gear Leveling &amp; Effects'!$B$2:$B$21,'Gear Leveling &amp; Effects'!$C$2:$C$21)+LOOKUP(M32,'Gear Leveling &amp; Effects'!$B$2:$B$21,'Gear Leveling &amp; Effects'!$C$2:$C$21)+LOOKUP(O32,'Gear Leveling &amp; Effects'!$B$2:$B$21,'Gear Leveling &amp; Effects'!$C$2:$C$21)+IF(ISBLANK(Q32),0,LOOKUP(Q32,'Gear Leveling &amp; Effects'!$B$2:$B$21,'Gear Leveling &amp; Effects'!$C$2:$C$21))+IF(ISBLANK(S32),0,LOOKUP(S32,'Gear Leveling &amp; Effects'!$B$2:$B$21,'Gear Leveling &amp; Effects'!$C$2:$C$21))</f>
        <v>1360</v>
      </c>
      <c r="U32" s="504">
        <f t="shared" si="4"/>
        <v>75.55555556</v>
      </c>
      <c r="V32" s="505" t="s">
        <v>765</v>
      </c>
      <c r="W32" s="2"/>
    </row>
    <row r="33">
      <c r="A33" s="467">
        <v>42959.0</v>
      </c>
      <c r="B33" s="468" t="s">
        <v>140</v>
      </c>
      <c r="C33" s="469">
        <v>435546.0</v>
      </c>
      <c r="D33" s="469">
        <v>18.0</v>
      </c>
      <c r="E33" s="469">
        <v>1320.0</v>
      </c>
      <c r="F33" s="470">
        <f t="shared" si="1"/>
        <v>1795</v>
      </c>
      <c r="G33" s="471">
        <f t="shared" si="2"/>
        <v>99.72222222</v>
      </c>
      <c r="H33" s="469">
        <v>5888.0</v>
      </c>
      <c r="I33" s="471">
        <f t="shared" si="3"/>
        <v>327.1111111</v>
      </c>
      <c r="J33" s="472" t="s">
        <v>646</v>
      </c>
      <c r="K33" s="472">
        <v>18.0</v>
      </c>
      <c r="L33" s="472" t="s">
        <v>666</v>
      </c>
      <c r="M33" s="472">
        <v>18.0</v>
      </c>
      <c r="N33" s="472" t="s">
        <v>766</v>
      </c>
      <c r="O33" s="472">
        <v>18.0</v>
      </c>
      <c r="P33" s="472"/>
      <c r="Q33" s="472"/>
      <c r="R33" s="473"/>
      <c r="S33" s="473"/>
      <c r="T33" s="469">
        <f>LOOKUP(K33,'Gear Leveling &amp; Effects'!$B$2:$B$21,'Gear Leveling &amp; Effects'!$C$2:$C$21)+LOOKUP(M33,'Gear Leveling &amp; Effects'!$B$2:$B$21,'Gear Leveling &amp; Effects'!$C$2:$C$21)+LOOKUP(O33,'Gear Leveling &amp; Effects'!$B$2:$B$21,'Gear Leveling &amp; Effects'!$C$2:$C$21)+IF(ISBLANK(Q33),0,LOOKUP(Q33,'Gear Leveling &amp; Effects'!$B$2:$B$21,'Gear Leveling &amp; Effects'!$C$2:$C$21))+IF(ISBLANK(S33),0,LOOKUP(S33,'Gear Leveling &amp; Effects'!$B$2:$B$21,'Gear Leveling &amp; Effects'!$C$2:$C$21))</f>
        <v>1080</v>
      </c>
      <c r="U33" s="502">
        <f t="shared" si="4"/>
        <v>60</v>
      </c>
      <c r="V33" s="503" t="s">
        <v>765</v>
      </c>
      <c r="W33" s="2"/>
    </row>
    <row r="34">
      <c r="A34" s="475">
        <v>42965.0</v>
      </c>
      <c r="B34" s="482" t="s">
        <v>175</v>
      </c>
      <c r="C34" s="3">
        <v>487619.0</v>
      </c>
      <c r="D34" s="3">
        <v>18.0</v>
      </c>
      <c r="E34" s="3">
        <v>1360.0</v>
      </c>
      <c r="F34" s="462">
        <f t="shared" si="1"/>
        <v>1850</v>
      </c>
      <c r="G34" s="477">
        <f t="shared" si="2"/>
        <v>102.7777778</v>
      </c>
      <c r="H34" s="3">
        <v>6188.0</v>
      </c>
      <c r="I34" s="477">
        <f t="shared" si="3"/>
        <v>343.7777778</v>
      </c>
      <c r="J34" s="24" t="s">
        <v>767</v>
      </c>
      <c r="K34" s="24">
        <v>19.0</v>
      </c>
      <c r="L34" s="24" t="s">
        <v>768</v>
      </c>
      <c r="M34" s="24">
        <v>19.0</v>
      </c>
      <c r="N34" s="24" t="s">
        <v>769</v>
      </c>
      <c r="O34" s="24">
        <v>19.0</v>
      </c>
      <c r="P34" s="24" t="s">
        <v>747</v>
      </c>
      <c r="Q34" s="24">
        <v>19.0</v>
      </c>
      <c r="R34" s="478"/>
      <c r="S34" s="478"/>
      <c r="T34" s="3">
        <f>LOOKUP(K34,'Gear Leveling &amp; Effects'!$B$2:$B$21,'Gear Leveling &amp; Effects'!$C$2:$C$21)+LOOKUP(M34,'Gear Leveling &amp; Effects'!$B$2:$B$21,'Gear Leveling &amp; Effects'!$C$2:$C$21)+LOOKUP(O34,'Gear Leveling &amp; Effects'!$B$2:$B$21,'Gear Leveling &amp; Effects'!$C$2:$C$21)+IF(ISBLANK(Q34),0,LOOKUP(Q34,'Gear Leveling &amp; Effects'!$B$2:$B$21,'Gear Leveling &amp; Effects'!$C$2:$C$21))+IF(ISBLANK(S34),0,LOOKUP(S34,'Gear Leveling &amp; Effects'!$B$2:$B$21,'Gear Leveling &amp; Effects'!$C$2:$C$21))</f>
        <v>1520</v>
      </c>
      <c r="U34" s="504">
        <f t="shared" si="4"/>
        <v>84.44444444</v>
      </c>
      <c r="V34" s="505" t="s">
        <v>765</v>
      </c>
      <c r="W34" s="2"/>
    </row>
    <row r="35">
      <c r="A35" s="483">
        <v>42971.0</v>
      </c>
      <c r="B35" s="484" t="s">
        <v>207</v>
      </c>
      <c r="C35" s="485">
        <v>511911.0</v>
      </c>
      <c r="D35" s="485">
        <v>18.0</v>
      </c>
      <c r="E35" s="485">
        <v>1400.0</v>
      </c>
      <c r="F35" s="485">
        <f t="shared" si="1"/>
        <v>1904</v>
      </c>
      <c r="G35" s="486">
        <f t="shared" si="2"/>
        <v>105.7777778</v>
      </c>
      <c r="H35" s="485">
        <v>6488.0</v>
      </c>
      <c r="I35" s="486">
        <f t="shared" si="3"/>
        <v>360.4444444</v>
      </c>
      <c r="J35" s="487" t="s">
        <v>671</v>
      </c>
      <c r="K35" s="487">
        <v>20.0</v>
      </c>
      <c r="L35" s="487" t="s">
        <v>770</v>
      </c>
      <c r="M35" s="487">
        <v>20.0</v>
      </c>
      <c r="N35" s="487" t="s">
        <v>771</v>
      </c>
      <c r="O35" s="487">
        <v>20.0</v>
      </c>
      <c r="P35" s="487"/>
      <c r="Q35" s="487"/>
      <c r="R35" s="488"/>
      <c r="S35" s="488"/>
      <c r="T35" s="506">
        <f>LOOKUP(K35,'Gear Leveling &amp; Effects'!$B$2:$B$21,'Gear Leveling &amp; Effects'!$C$2:$C$21)+LOOKUP(M35,'Gear Leveling &amp; Effects'!$B$2:$B$21,'Gear Leveling &amp; Effects'!$C$2:$C$21)+LOOKUP(O35,'Gear Leveling &amp; Effects'!$B$2:$B$21,'Gear Leveling &amp; Effects'!$C$2:$C$21)+IF(ISBLANK(Q35),0,LOOKUP(Q35,'Gear Leveling &amp; Effects'!$B$2:$B$21,'Gear Leveling &amp; Effects'!$C$2:$C$21))+IF(ISBLANK(S35),0,LOOKUP(S35,'Gear Leveling &amp; Effects'!$B$2:$B$21,'Gear Leveling &amp; Effects'!$C$2:$C$21))</f>
        <v>1200</v>
      </c>
      <c r="U35" s="507">
        <f t="shared" si="4"/>
        <v>66.66666667</v>
      </c>
      <c r="V35" s="508" t="s">
        <v>765</v>
      </c>
      <c r="W35" s="2"/>
    </row>
    <row r="36">
      <c r="A36" s="509"/>
      <c r="B36" s="510"/>
      <c r="C36" s="213" t="s">
        <v>772</v>
      </c>
      <c r="D36" s="511"/>
      <c r="E36" s="511"/>
      <c r="F36" s="511"/>
      <c r="G36" s="511"/>
      <c r="H36" s="511"/>
      <c r="I36" s="511"/>
      <c r="J36" s="511"/>
      <c r="K36" s="511"/>
      <c r="L36" s="511"/>
      <c r="M36" s="511"/>
      <c r="N36" s="511"/>
      <c r="O36" s="511"/>
      <c r="P36" s="511"/>
      <c r="Q36" s="511"/>
      <c r="R36" s="511"/>
      <c r="S36" s="511"/>
      <c r="T36" s="511"/>
      <c r="U36" s="511"/>
      <c r="V36" s="512"/>
      <c r="W36" s="2"/>
    </row>
    <row r="37">
      <c r="A37" s="86"/>
      <c r="B37" s="86"/>
      <c r="C37" s="35"/>
      <c r="D37" s="35"/>
      <c r="E37" s="35"/>
      <c r="F37" s="35"/>
      <c r="G37" s="35"/>
      <c r="H37" s="35"/>
      <c r="I37" s="35"/>
      <c r="J37" s="2"/>
      <c r="K37" s="2"/>
      <c r="L37" s="2"/>
      <c r="M37" s="2"/>
      <c r="N37" s="2"/>
      <c r="O37" s="2"/>
      <c r="P37" s="2"/>
      <c r="Q37" s="2"/>
      <c r="R37" s="2"/>
      <c r="S37" s="2"/>
      <c r="T37" s="2"/>
      <c r="U37" s="2"/>
      <c r="V37" s="2"/>
      <c r="W37" s="2"/>
    </row>
  </sheetData>
  <autoFilter ref="$A$3:$V$35">
    <sortState ref="A3:V35">
      <sortCondition ref="A3:A35"/>
      <sortCondition descending="1" ref="U3:U35"/>
      <sortCondition ref="L3:L35"/>
      <sortCondition ref="J3:J35"/>
    </sortState>
  </autoFilter>
  <mergeCells count="4">
    <mergeCell ref="A1:B2"/>
    <mergeCell ref="C1:V1"/>
    <mergeCell ref="G2:V2"/>
    <mergeCell ref="C36:V36"/>
  </mergeCells>
  <dataValidations>
    <dataValidation type="list" allowBlank="1" showErrorMessage="1" sqref="D2">
      <formula1>"0,10,12,14,16,18"</formula1>
    </dataValidation>
    <dataValidation type="list" allowBlank="1" showErrorMessage="1" sqref="F2">
      <formula1>Range!$A$2:$A$22</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9" max="9" width="15.29"/>
  </cols>
  <sheetData>
    <row r="1">
      <c r="A1" s="494" t="s">
        <v>773</v>
      </c>
      <c r="B1" s="513" t="s">
        <v>774</v>
      </c>
      <c r="C1" s="513" t="s">
        <v>775</v>
      </c>
      <c r="D1" s="513" t="s">
        <v>776</v>
      </c>
      <c r="E1" s="513" t="s">
        <v>8</v>
      </c>
      <c r="F1" s="514" t="s">
        <v>774</v>
      </c>
      <c r="G1" s="514" t="s">
        <v>775</v>
      </c>
      <c r="H1" s="514" t="s">
        <v>776</v>
      </c>
      <c r="I1" s="515" t="s">
        <v>777</v>
      </c>
      <c r="J1" s="516" t="s">
        <v>3</v>
      </c>
      <c r="K1" s="517" t="s">
        <v>778</v>
      </c>
      <c r="L1" s="180"/>
      <c r="M1" s="180"/>
    </row>
    <row r="2">
      <c r="A2" s="518">
        <v>1.0</v>
      </c>
      <c r="B2" s="290">
        <v>100.0</v>
      </c>
      <c r="C2" s="290">
        <v>0.0</v>
      </c>
      <c r="D2" s="519">
        <v>0.0</v>
      </c>
      <c r="E2" s="520">
        <v>36.0</v>
      </c>
      <c r="F2" s="521">
        <v>7450.0</v>
      </c>
      <c r="G2" s="521">
        <f>C36+B36</f>
        <v>44250</v>
      </c>
      <c r="H2" s="522">
        <f>SUM($B$2:$B$36)/$J$16</f>
        <v>0.01674265499</v>
      </c>
      <c r="I2" s="523">
        <v>1.0</v>
      </c>
      <c r="J2" s="524">
        <v>0.0</v>
      </c>
      <c r="K2" s="525">
        <f t="shared" ref="K2:K16" si="1">MINUS($J$16,J2)</f>
        <v>2642950</v>
      </c>
      <c r="L2" s="6"/>
      <c r="M2" s="6"/>
    </row>
    <row r="3">
      <c r="A3" s="526">
        <v>2.0</v>
      </c>
      <c r="B3" s="5">
        <v>125.0</v>
      </c>
      <c r="C3" s="5">
        <f t="shared" ref="C3:C36" si="2">C2+B2</f>
        <v>100</v>
      </c>
      <c r="D3" s="15">
        <f t="shared" ref="D3:D36" si="3">SUM($B$2:$B2)/$J$16</f>
        <v>0.00003783650845</v>
      </c>
      <c r="E3" s="310">
        <v>37.0</v>
      </c>
      <c r="F3" s="17">
        <v>9250.0</v>
      </c>
      <c r="G3" s="17">
        <f t="shared" ref="G3:G36" si="4">G2+F2</f>
        <v>51700</v>
      </c>
      <c r="H3" s="527">
        <f t="shared" ref="H3:H36" si="5">SUM($B$2:$B$36,$F$2:$F2)/$J$16</f>
        <v>0.01956147487</v>
      </c>
      <c r="I3" s="528">
        <v>5.0</v>
      </c>
      <c r="J3" s="529">
        <f>SUM(B2:B5)</f>
        <v>550</v>
      </c>
      <c r="K3" s="530">
        <f t="shared" si="1"/>
        <v>2642400</v>
      </c>
      <c r="L3" s="6"/>
      <c r="M3" s="6"/>
    </row>
    <row r="4">
      <c r="A4" s="526">
        <v>3.0</v>
      </c>
      <c r="B4" s="5">
        <v>150.0</v>
      </c>
      <c r="C4" s="5">
        <f t="shared" si="2"/>
        <v>225</v>
      </c>
      <c r="D4" s="15">
        <f t="shared" si="3"/>
        <v>0.00008513214401</v>
      </c>
      <c r="E4" s="310">
        <v>38.0</v>
      </c>
      <c r="F4" s="17">
        <v>11250.0</v>
      </c>
      <c r="G4" s="17">
        <f t="shared" si="4"/>
        <v>60950</v>
      </c>
      <c r="H4" s="527">
        <f t="shared" si="5"/>
        <v>0.0230613519</v>
      </c>
      <c r="I4" s="234">
        <v>10.0</v>
      </c>
      <c r="J4" s="529">
        <f>SUM(B2:B10)</f>
        <v>2050</v>
      </c>
      <c r="K4" s="530">
        <f t="shared" si="1"/>
        <v>2640900</v>
      </c>
      <c r="L4" s="6"/>
      <c r="M4" s="6"/>
    </row>
    <row r="5">
      <c r="A5" s="526">
        <v>4.0</v>
      </c>
      <c r="B5" s="5">
        <v>175.0</v>
      </c>
      <c r="C5" s="5">
        <f t="shared" si="2"/>
        <v>375</v>
      </c>
      <c r="D5" s="15">
        <f t="shared" si="3"/>
        <v>0.0001418869067</v>
      </c>
      <c r="E5" s="310">
        <v>39.0</v>
      </c>
      <c r="F5" s="17">
        <v>13250.0</v>
      </c>
      <c r="G5" s="17">
        <f t="shared" si="4"/>
        <v>72200</v>
      </c>
      <c r="H5" s="527">
        <f t="shared" si="5"/>
        <v>0.0273179591</v>
      </c>
      <c r="I5" s="234">
        <v>15.0</v>
      </c>
      <c r="J5" s="529">
        <f>SUM(B2:B15)</f>
        <v>4800</v>
      </c>
      <c r="K5" s="530">
        <f t="shared" si="1"/>
        <v>2638150</v>
      </c>
      <c r="L5" s="6"/>
      <c r="M5" s="6"/>
    </row>
    <row r="6">
      <c r="A6" s="526">
        <v>5.0</v>
      </c>
      <c r="B6" s="5">
        <v>200.0</v>
      </c>
      <c r="C6" s="5">
        <f t="shared" si="2"/>
        <v>550</v>
      </c>
      <c r="D6" s="15">
        <f t="shared" si="3"/>
        <v>0.0002081007965</v>
      </c>
      <c r="E6" s="310">
        <v>40.0</v>
      </c>
      <c r="F6" s="17">
        <v>15250.0</v>
      </c>
      <c r="G6" s="17">
        <f t="shared" si="4"/>
        <v>85450</v>
      </c>
      <c r="H6" s="527">
        <f t="shared" si="5"/>
        <v>0.03233129647</v>
      </c>
      <c r="I6" s="234">
        <v>20.0</v>
      </c>
      <c r="J6" s="529">
        <f>SUM(B2:B20)</f>
        <v>8800</v>
      </c>
      <c r="K6" s="530">
        <f t="shared" si="1"/>
        <v>2634150</v>
      </c>
      <c r="L6" s="6"/>
      <c r="M6" s="6"/>
    </row>
    <row r="7">
      <c r="A7" s="526">
        <v>6.0</v>
      </c>
      <c r="B7" s="5">
        <v>250.0</v>
      </c>
      <c r="C7" s="5">
        <f t="shared" si="2"/>
        <v>750</v>
      </c>
      <c r="D7" s="15">
        <f t="shared" si="3"/>
        <v>0.0002837738134</v>
      </c>
      <c r="E7" s="310">
        <v>41.0</v>
      </c>
      <c r="F7" s="17">
        <v>17250.0</v>
      </c>
      <c r="G7" s="17">
        <f t="shared" si="4"/>
        <v>100700</v>
      </c>
      <c r="H7" s="527">
        <f t="shared" si="5"/>
        <v>0.03810136401</v>
      </c>
      <c r="I7" s="234">
        <v>25.0</v>
      </c>
      <c r="J7" s="529">
        <f>SUM(B2:B25)</f>
        <v>14200</v>
      </c>
      <c r="K7" s="530">
        <f t="shared" si="1"/>
        <v>2628750</v>
      </c>
      <c r="L7" s="2"/>
      <c r="M7" s="2"/>
    </row>
    <row r="8">
      <c r="A8" s="526">
        <v>7.0</v>
      </c>
      <c r="B8" s="5">
        <v>300.0</v>
      </c>
      <c r="C8" s="5">
        <f t="shared" si="2"/>
        <v>1000</v>
      </c>
      <c r="D8" s="15">
        <f t="shared" si="3"/>
        <v>0.0003783650845</v>
      </c>
      <c r="E8" s="310">
        <v>42.0</v>
      </c>
      <c r="F8" s="17">
        <v>19250.0</v>
      </c>
      <c r="G8" s="17">
        <f t="shared" si="4"/>
        <v>117950</v>
      </c>
      <c r="H8" s="527">
        <f t="shared" si="5"/>
        <v>0.04462816171</v>
      </c>
      <c r="I8" s="234">
        <v>30.0</v>
      </c>
      <c r="J8" s="529">
        <f>SUM(B2:B30)</f>
        <v>22050</v>
      </c>
      <c r="K8" s="530">
        <f t="shared" si="1"/>
        <v>2620900</v>
      </c>
      <c r="L8" s="2"/>
      <c r="M8" s="2"/>
    </row>
    <row r="9">
      <c r="A9" s="526">
        <v>8.0</v>
      </c>
      <c r="B9" s="5">
        <v>350.0</v>
      </c>
      <c r="C9" s="5">
        <f t="shared" si="2"/>
        <v>1300</v>
      </c>
      <c r="D9" s="15">
        <f t="shared" si="3"/>
        <v>0.0004918746098</v>
      </c>
      <c r="E9" s="310">
        <v>43.0</v>
      </c>
      <c r="F9" s="17">
        <v>21250.0</v>
      </c>
      <c r="G9" s="17">
        <f t="shared" si="4"/>
        <v>137200</v>
      </c>
      <c r="H9" s="527">
        <f t="shared" si="5"/>
        <v>0.05191168959</v>
      </c>
      <c r="I9" s="234">
        <v>35.0</v>
      </c>
      <c r="J9" s="529">
        <f>SUM(B2:B35)</f>
        <v>38300</v>
      </c>
      <c r="K9" s="530">
        <f t="shared" si="1"/>
        <v>2604650</v>
      </c>
      <c r="L9" s="2"/>
      <c r="M9" s="2"/>
    </row>
    <row r="10">
      <c r="A10" s="526">
        <v>9.0</v>
      </c>
      <c r="B10" s="5">
        <v>400.0</v>
      </c>
      <c r="C10" s="5">
        <f t="shared" si="2"/>
        <v>1650</v>
      </c>
      <c r="D10" s="15">
        <f t="shared" si="3"/>
        <v>0.0006243023894</v>
      </c>
      <c r="E10" s="310">
        <v>44.0</v>
      </c>
      <c r="F10" s="17">
        <v>23250.0</v>
      </c>
      <c r="G10" s="17">
        <f t="shared" si="4"/>
        <v>158450</v>
      </c>
      <c r="H10" s="527">
        <f t="shared" si="5"/>
        <v>0.05995194763</v>
      </c>
      <c r="I10" s="234">
        <v>40.0</v>
      </c>
      <c r="J10" s="529">
        <f>SUM(B2:B36,F2:F5)</f>
        <v>85450</v>
      </c>
      <c r="K10" s="530">
        <f t="shared" si="1"/>
        <v>2557500</v>
      </c>
      <c r="L10" s="2"/>
      <c r="M10" s="2"/>
    </row>
    <row r="11">
      <c r="A11" s="526">
        <v>10.0</v>
      </c>
      <c r="B11" s="5">
        <v>450.0</v>
      </c>
      <c r="C11" s="5">
        <f t="shared" si="2"/>
        <v>2050</v>
      </c>
      <c r="D11" s="15">
        <f t="shared" si="3"/>
        <v>0.0007756484232</v>
      </c>
      <c r="E11" s="310">
        <v>45.0</v>
      </c>
      <c r="F11" s="17">
        <v>25250.0</v>
      </c>
      <c r="G11" s="17">
        <f t="shared" si="4"/>
        <v>181700</v>
      </c>
      <c r="H11" s="527">
        <f t="shared" si="5"/>
        <v>0.06874893585</v>
      </c>
      <c r="I11" s="234">
        <v>45.0</v>
      </c>
      <c r="J11" s="529">
        <f>SUM(B2:B36,F2:F10)</f>
        <v>181700</v>
      </c>
      <c r="K11" s="530">
        <f t="shared" si="1"/>
        <v>2461250</v>
      </c>
      <c r="L11" s="2"/>
      <c r="M11" s="2"/>
    </row>
    <row r="12">
      <c r="A12" s="526">
        <v>11.0</v>
      </c>
      <c r="B12" s="5">
        <v>500.0</v>
      </c>
      <c r="C12" s="5">
        <f t="shared" si="2"/>
        <v>2500</v>
      </c>
      <c r="D12" s="15">
        <f t="shared" si="3"/>
        <v>0.0009459127112</v>
      </c>
      <c r="E12" s="310">
        <v>46.0</v>
      </c>
      <c r="F12" s="17">
        <v>27250.0</v>
      </c>
      <c r="G12" s="17">
        <f t="shared" si="4"/>
        <v>206950</v>
      </c>
      <c r="H12" s="527">
        <f t="shared" si="5"/>
        <v>0.07830265423</v>
      </c>
      <c r="I12" s="234">
        <v>50.0</v>
      </c>
      <c r="J12" s="529">
        <f>SUM(B2:B36,F2:F15)</f>
        <v>327950</v>
      </c>
      <c r="K12" s="530">
        <f t="shared" si="1"/>
        <v>2315000</v>
      </c>
      <c r="L12" s="2"/>
      <c r="M12" s="2"/>
    </row>
    <row r="13">
      <c r="A13" s="526">
        <v>12.0</v>
      </c>
      <c r="B13" s="5">
        <v>550.0</v>
      </c>
      <c r="C13" s="5">
        <f t="shared" si="2"/>
        <v>3000</v>
      </c>
      <c r="D13" s="15">
        <f t="shared" si="3"/>
        <v>0.001135095253</v>
      </c>
      <c r="E13" s="310">
        <v>47.0</v>
      </c>
      <c r="F13" s="17">
        <v>29250.0</v>
      </c>
      <c r="G13" s="17">
        <f t="shared" si="4"/>
        <v>234200</v>
      </c>
      <c r="H13" s="527">
        <f t="shared" si="5"/>
        <v>0.08861310278</v>
      </c>
      <c r="I13" s="234">
        <v>55.0</v>
      </c>
      <c r="J13" s="529">
        <f>SUM(B2:B36,F2:F20)</f>
        <v>569200</v>
      </c>
      <c r="K13" s="530">
        <f t="shared" si="1"/>
        <v>2073750</v>
      </c>
      <c r="L13" s="2"/>
      <c r="M13" s="2"/>
    </row>
    <row r="14">
      <c r="A14" s="526">
        <v>13.0</v>
      </c>
      <c r="B14" s="5">
        <v>600.0</v>
      </c>
      <c r="C14" s="5">
        <f t="shared" si="2"/>
        <v>3550</v>
      </c>
      <c r="D14" s="15">
        <f t="shared" si="3"/>
        <v>0.00134319605</v>
      </c>
      <c r="E14" s="310">
        <v>48.0</v>
      </c>
      <c r="F14" s="17">
        <v>31250.0</v>
      </c>
      <c r="G14" s="17">
        <f t="shared" si="4"/>
        <v>263450</v>
      </c>
      <c r="H14" s="527">
        <f t="shared" si="5"/>
        <v>0.0996802815</v>
      </c>
      <c r="I14" s="234">
        <v>60.0</v>
      </c>
      <c r="J14" s="529">
        <f>SUM(B2:B36,F2:F25)</f>
        <v>1010450</v>
      </c>
      <c r="K14" s="530">
        <f t="shared" si="1"/>
        <v>1632500</v>
      </c>
      <c r="L14" s="2"/>
      <c r="M14" s="2"/>
    </row>
    <row r="15">
      <c r="A15" s="526">
        <v>14.0</v>
      </c>
      <c r="B15" s="5">
        <v>650.0</v>
      </c>
      <c r="C15" s="5">
        <f t="shared" si="2"/>
        <v>4150</v>
      </c>
      <c r="D15" s="15">
        <f t="shared" si="3"/>
        <v>0.001570215101</v>
      </c>
      <c r="E15" s="310">
        <v>49.0</v>
      </c>
      <c r="F15" s="17">
        <v>33250.0</v>
      </c>
      <c r="G15" s="17">
        <f t="shared" si="4"/>
        <v>294700</v>
      </c>
      <c r="H15" s="527">
        <f t="shared" si="5"/>
        <v>0.1115041904</v>
      </c>
      <c r="I15" s="234">
        <v>65.0</v>
      </c>
      <c r="J15" s="529">
        <f>SUM(B2:B37,F2:F30)</f>
        <v>1701700</v>
      </c>
      <c r="K15" s="530">
        <f t="shared" si="1"/>
        <v>941250</v>
      </c>
      <c r="L15" s="2"/>
      <c r="M15" s="2"/>
    </row>
    <row r="16">
      <c r="A16" s="526">
        <v>15.0</v>
      </c>
      <c r="B16" s="5">
        <v>700.0</v>
      </c>
      <c r="C16" s="5">
        <f t="shared" si="2"/>
        <v>4800</v>
      </c>
      <c r="D16" s="15">
        <f t="shared" si="3"/>
        <v>0.001816152405</v>
      </c>
      <c r="E16" s="310">
        <v>50.0</v>
      </c>
      <c r="F16" s="17">
        <v>38250.0</v>
      </c>
      <c r="G16" s="17">
        <f t="shared" si="4"/>
        <v>327950</v>
      </c>
      <c r="H16" s="527">
        <f t="shared" si="5"/>
        <v>0.1240848295</v>
      </c>
      <c r="I16" s="270">
        <v>70.0</v>
      </c>
      <c r="J16" s="531">
        <f>SUM(B2:B36,F2:F35)</f>
        <v>2642950</v>
      </c>
      <c r="K16" s="532">
        <f t="shared" si="1"/>
        <v>0</v>
      </c>
      <c r="L16" s="2"/>
      <c r="M16" s="2"/>
    </row>
    <row r="17">
      <c r="A17" s="526">
        <v>16.0</v>
      </c>
      <c r="B17" s="5">
        <v>750.0</v>
      </c>
      <c r="C17" s="5">
        <f t="shared" si="2"/>
        <v>5500</v>
      </c>
      <c r="D17" s="15">
        <f t="shared" si="3"/>
        <v>0.002081007965</v>
      </c>
      <c r="E17" s="310">
        <v>51.0</v>
      </c>
      <c r="F17" s="5">
        <v>43250.0</v>
      </c>
      <c r="G17" s="17">
        <f t="shared" si="4"/>
        <v>366200</v>
      </c>
      <c r="H17" s="527">
        <f t="shared" si="5"/>
        <v>0.1385572939</v>
      </c>
      <c r="L17" s="63"/>
      <c r="M17" s="2"/>
      <c r="N17" s="2"/>
    </row>
    <row r="18">
      <c r="A18" s="526">
        <v>17.0</v>
      </c>
      <c r="B18" s="5">
        <v>800.0</v>
      </c>
      <c r="C18" s="5">
        <f t="shared" si="2"/>
        <v>6250</v>
      </c>
      <c r="D18" s="15">
        <f t="shared" si="3"/>
        <v>0.002364781778</v>
      </c>
      <c r="E18" s="310">
        <v>52.0</v>
      </c>
      <c r="F18" s="5">
        <v>48250.0</v>
      </c>
      <c r="G18" s="17">
        <f t="shared" si="4"/>
        <v>409450</v>
      </c>
      <c r="H18" s="527">
        <f t="shared" si="5"/>
        <v>0.1549215838</v>
      </c>
      <c r="I18" s="533" t="s">
        <v>779</v>
      </c>
      <c r="J18" s="534" t="s">
        <v>780</v>
      </c>
      <c r="K18" s="535"/>
      <c r="L18" s="534" t="s">
        <v>781</v>
      </c>
      <c r="M18" s="536"/>
      <c r="N18" s="2"/>
    </row>
    <row r="19">
      <c r="A19" s="526">
        <v>18.0</v>
      </c>
      <c r="B19" s="5">
        <v>850.0</v>
      </c>
      <c r="C19" s="5">
        <f t="shared" si="2"/>
        <v>7050</v>
      </c>
      <c r="D19" s="15">
        <f t="shared" si="3"/>
        <v>0.002667473846</v>
      </c>
      <c r="E19" s="310">
        <v>53.0</v>
      </c>
      <c r="F19" s="5">
        <v>53250.0</v>
      </c>
      <c r="G19" s="17">
        <f t="shared" si="4"/>
        <v>457700</v>
      </c>
      <c r="H19" s="527">
        <f t="shared" si="5"/>
        <v>0.1731776992</v>
      </c>
      <c r="I19" s="537">
        <v>1.0</v>
      </c>
      <c r="J19" s="538">
        <v>50.0</v>
      </c>
      <c r="K19" s="539"/>
      <c r="L19" s="538">
        <v>25.0</v>
      </c>
      <c r="M19" s="540"/>
      <c r="N19" s="2"/>
    </row>
    <row r="20">
      <c r="A20" s="526">
        <v>19.0</v>
      </c>
      <c r="B20" s="5">
        <v>900.0</v>
      </c>
      <c r="C20" s="5">
        <f t="shared" si="2"/>
        <v>7900</v>
      </c>
      <c r="D20" s="15">
        <f t="shared" si="3"/>
        <v>0.002989084167</v>
      </c>
      <c r="E20" s="541">
        <v>54.0</v>
      </c>
      <c r="F20" s="5">
        <v>58250.0</v>
      </c>
      <c r="G20" s="17">
        <f t="shared" si="4"/>
        <v>510950</v>
      </c>
      <c r="H20" s="527">
        <f t="shared" si="5"/>
        <v>0.1933256399</v>
      </c>
      <c r="I20" s="542">
        <v>2.0</v>
      </c>
      <c r="J20" s="543">
        <v>100.0</v>
      </c>
      <c r="K20" s="345"/>
      <c r="L20" s="543">
        <v>50.0</v>
      </c>
      <c r="M20" s="257"/>
      <c r="N20" s="2"/>
    </row>
    <row r="21">
      <c r="A21" s="526">
        <v>20.0</v>
      </c>
      <c r="B21" s="5">
        <v>950.0</v>
      </c>
      <c r="C21" s="5">
        <f t="shared" si="2"/>
        <v>8800</v>
      </c>
      <c r="D21" s="15">
        <f t="shared" si="3"/>
        <v>0.003329612743</v>
      </c>
      <c r="E21" s="310">
        <v>55.0</v>
      </c>
      <c r="F21" s="5">
        <v>68250.0</v>
      </c>
      <c r="G21" s="17">
        <f t="shared" si="4"/>
        <v>569200</v>
      </c>
      <c r="H21" s="527">
        <f t="shared" si="5"/>
        <v>0.2153654061</v>
      </c>
      <c r="I21" s="537">
        <v>3.0</v>
      </c>
      <c r="J21" s="538">
        <v>200.0</v>
      </c>
      <c r="K21" s="539"/>
      <c r="L21" s="538">
        <v>100.0</v>
      </c>
      <c r="M21" s="540"/>
      <c r="N21" s="2"/>
    </row>
    <row r="22">
      <c r="A22" s="526">
        <v>21.0</v>
      </c>
      <c r="B22" s="5">
        <v>1000.0</v>
      </c>
      <c r="C22" s="5">
        <f t="shared" si="2"/>
        <v>9750</v>
      </c>
      <c r="D22" s="15">
        <f t="shared" si="3"/>
        <v>0.003689059574</v>
      </c>
      <c r="E22" s="544">
        <v>56.0</v>
      </c>
      <c r="F22" s="5">
        <v>78250.0</v>
      </c>
      <c r="G22" s="17">
        <f t="shared" si="4"/>
        <v>637450</v>
      </c>
      <c r="H22" s="527">
        <f t="shared" si="5"/>
        <v>0.2411888231</v>
      </c>
      <c r="I22" s="542">
        <v>4.0</v>
      </c>
      <c r="J22" s="543">
        <v>750.0</v>
      </c>
      <c r="K22" s="345"/>
      <c r="L22" s="543">
        <v>375.0</v>
      </c>
      <c r="M22" s="257"/>
      <c r="N22" s="2"/>
    </row>
    <row r="23">
      <c r="A23" s="526">
        <v>22.0</v>
      </c>
      <c r="B23" s="5">
        <v>1050.0</v>
      </c>
      <c r="C23" s="5">
        <f t="shared" si="2"/>
        <v>10750</v>
      </c>
      <c r="D23" s="15">
        <f t="shared" si="3"/>
        <v>0.004067424658</v>
      </c>
      <c r="E23" s="310">
        <v>57.0</v>
      </c>
      <c r="F23" s="5">
        <v>88250.0</v>
      </c>
      <c r="G23" s="17">
        <f t="shared" si="4"/>
        <v>715700</v>
      </c>
      <c r="H23" s="527">
        <f t="shared" si="5"/>
        <v>0.270795891</v>
      </c>
      <c r="I23" s="537">
        <v>5.0</v>
      </c>
      <c r="J23" s="538">
        <v>1500.0</v>
      </c>
      <c r="K23" s="539"/>
      <c r="L23" s="538">
        <v>750.0</v>
      </c>
      <c r="M23" s="540"/>
      <c r="N23" s="2"/>
    </row>
    <row r="24">
      <c r="A24" s="526">
        <v>23.0</v>
      </c>
      <c r="B24" s="5">
        <v>1150.0</v>
      </c>
      <c r="C24" s="5">
        <f t="shared" si="2"/>
        <v>11800</v>
      </c>
      <c r="D24" s="15">
        <f t="shared" si="3"/>
        <v>0.004464707997</v>
      </c>
      <c r="E24" s="310">
        <v>58.0</v>
      </c>
      <c r="F24" s="5">
        <v>98250.0</v>
      </c>
      <c r="G24" s="17">
        <f t="shared" si="4"/>
        <v>803950</v>
      </c>
      <c r="H24" s="527">
        <f t="shared" si="5"/>
        <v>0.3041866097</v>
      </c>
      <c r="I24" s="545">
        <v>6.0</v>
      </c>
      <c r="J24" s="546">
        <v>3000.0</v>
      </c>
      <c r="K24" s="356"/>
      <c r="L24" s="546">
        <v>1500.0</v>
      </c>
      <c r="M24" s="547"/>
      <c r="N24" s="2"/>
    </row>
    <row r="25">
      <c r="A25" s="526">
        <v>24.0</v>
      </c>
      <c r="B25" s="5">
        <v>1250.0</v>
      </c>
      <c r="C25" s="5">
        <f t="shared" si="2"/>
        <v>12950</v>
      </c>
      <c r="D25" s="15">
        <f t="shared" si="3"/>
        <v>0.004899827844</v>
      </c>
      <c r="E25" s="310">
        <v>59.0</v>
      </c>
      <c r="F25" s="5">
        <v>108250.0</v>
      </c>
      <c r="G25" s="17">
        <f t="shared" si="4"/>
        <v>902200</v>
      </c>
      <c r="H25" s="527">
        <f t="shared" si="5"/>
        <v>0.3413609792</v>
      </c>
      <c r="J25" s="2"/>
      <c r="K25" s="2"/>
      <c r="L25" s="63"/>
      <c r="M25" s="63"/>
      <c r="N25" s="63"/>
    </row>
    <row r="26">
      <c r="A26" s="526">
        <v>25.0</v>
      </c>
      <c r="B26" s="17">
        <v>1350.0</v>
      </c>
      <c r="C26" s="5">
        <f t="shared" si="2"/>
        <v>14200</v>
      </c>
      <c r="D26" s="15">
        <f t="shared" si="3"/>
        <v>0.005372784199</v>
      </c>
      <c r="E26" s="310">
        <v>60.0</v>
      </c>
      <c r="F26" s="5">
        <v>118250.0</v>
      </c>
      <c r="G26" s="17">
        <f t="shared" si="4"/>
        <v>1010450</v>
      </c>
      <c r="H26" s="527">
        <f t="shared" si="5"/>
        <v>0.3823189996</v>
      </c>
      <c r="I26" s="548"/>
      <c r="J26" s="2"/>
      <c r="K26" s="2"/>
      <c r="L26" s="63"/>
      <c r="M26" s="2"/>
      <c r="N26" s="2"/>
    </row>
    <row r="27">
      <c r="A27" s="526">
        <v>26.0</v>
      </c>
      <c r="B27" s="5">
        <v>1450.0</v>
      </c>
      <c r="C27" s="5">
        <f t="shared" si="2"/>
        <v>15550</v>
      </c>
      <c r="D27" s="15">
        <f t="shared" si="3"/>
        <v>0.005883577064</v>
      </c>
      <c r="E27" s="310">
        <v>61.0</v>
      </c>
      <c r="F27" s="5">
        <v>128250.0</v>
      </c>
      <c r="G27" s="17">
        <f t="shared" si="4"/>
        <v>1128700</v>
      </c>
      <c r="H27" s="527">
        <f t="shared" si="5"/>
        <v>0.4270606708</v>
      </c>
      <c r="I27" s="548"/>
      <c r="J27" s="2"/>
      <c r="K27" s="2"/>
      <c r="L27" s="63"/>
      <c r="M27" s="2"/>
      <c r="N27" s="2"/>
    </row>
    <row r="28">
      <c r="A28" s="526">
        <v>27.0</v>
      </c>
      <c r="B28" s="5">
        <v>1550.0</v>
      </c>
      <c r="C28" s="5">
        <f t="shared" si="2"/>
        <v>17000</v>
      </c>
      <c r="D28" s="15">
        <f t="shared" si="3"/>
        <v>0.006432206436</v>
      </c>
      <c r="E28" s="310">
        <v>62.0</v>
      </c>
      <c r="F28" s="5">
        <v>138250.0</v>
      </c>
      <c r="G28" s="17">
        <f t="shared" si="4"/>
        <v>1256950</v>
      </c>
      <c r="H28" s="527">
        <f t="shared" si="5"/>
        <v>0.4755859929</v>
      </c>
      <c r="I28" s="548"/>
      <c r="J28" s="2"/>
      <c r="K28" s="2"/>
      <c r="L28" s="63"/>
      <c r="M28" s="2"/>
      <c r="N28" s="2"/>
    </row>
    <row r="29">
      <c r="A29" s="526">
        <v>28.0</v>
      </c>
      <c r="B29" s="5">
        <v>1650.0</v>
      </c>
      <c r="C29" s="5">
        <f t="shared" si="2"/>
        <v>18550</v>
      </c>
      <c r="D29" s="15">
        <f t="shared" si="3"/>
        <v>0.007018672317</v>
      </c>
      <c r="E29" s="310">
        <v>63.0</v>
      </c>
      <c r="F29" s="5">
        <v>148250.0</v>
      </c>
      <c r="G29" s="17">
        <f t="shared" si="4"/>
        <v>1395200</v>
      </c>
      <c r="H29" s="527">
        <f t="shared" si="5"/>
        <v>0.5278949659</v>
      </c>
      <c r="I29" s="318" t="s">
        <v>782</v>
      </c>
      <c r="J29" s="549" t="s">
        <v>783</v>
      </c>
      <c r="K29" s="103"/>
      <c r="L29" s="103"/>
      <c r="M29" s="187"/>
      <c r="N29" s="2"/>
    </row>
    <row r="30">
      <c r="A30" s="526">
        <v>29.0</v>
      </c>
      <c r="B30" s="5">
        <v>1850.0</v>
      </c>
      <c r="C30" s="5">
        <f t="shared" si="2"/>
        <v>20200</v>
      </c>
      <c r="D30" s="15">
        <f t="shared" si="3"/>
        <v>0.007642974706</v>
      </c>
      <c r="E30" s="310">
        <v>64.0</v>
      </c>
      <c r="F30" s="5">
        <v>158250.0</v>
      </c>
      <c r="G30" s="17">
        <f t="shared" si="4"/>
        <v>1543450</v>
      </c>
      <c r="H30" s="527">
        <f t="shared" si="5"/>
        <v>0.5839875896</v>
      </c>
      <c r="I30" s="548"/>
      <c r="J30" s="2"/>
      <c r="K30" s="2"/>
      <c r="L30" s="63"/>
      <c r="M30" s="2"/>
      <c r="N30" s="2"/>
    </row>
    <row r="31">
      <c r="A31" s="550">
        <v>30.0</v>
      </c>
      <c r="B31" s="54">
        <v>2150.0</v>
      </c>
      <c r="C31" s="5">
        <f t="shared" si="2"/>
        <v>22050</v>
      </c>
      <c r="D31" s="15">
        <f t="shared" si="3"/>
        <v>0.008342950113</v>
      </c>
      <c r="E31" s="310">
        <v>65.0</v>
      </c>
      <c r="F31" s="5">
        <v>168250.0</v>
      </c>
      <c r="G31" s="17">
        <f t="shared" si="4"/>
        <v>1701700</v>
      </c>
      <c r="H31" s="527">
        <f t="shared" si="5"/>
        <v>0.6438638642</v>
      </c>
      <c r="I31" s="6"/>
      <c r="J31" s="2"/>
      <c r="K31" s="2"/>
      <c r="L31" s="63"/>
      <c r="M31" s="2"/>
      <c r="N31" s="2"/>
    </row>
    <row r="32">
      <c r="A32" s="526">
        <v>31.0</v>
      </c>
      <c r="B32" s="17">
        <v>2550.0</v>
      </c>
      <c r="C32" s="5">
        <f t="shared" si="2"/>
        <v>24200</v>
      </c>
      <c r="D32" s="15">
        <f t="shared" si="3"/>
        <v>0.009156435044</v>
      </c>
      <c r="E32" s="310">
        <v>66.0</v>
      </c>
      <c r="F32" s="5">
        <v>178250.0</v>
      </c>
      <c r="G32" s="17">
        <f t="shared" si="4"/>
        <v>1869950</v>
      </c>
      <c r="H32" s="527">
        <f t="shared" si="5"/>
        <v>0.7075237897</v>
      </c>
      <c r="I32" s="6"/>
      <c r="J32" s="2"/>
      <c r="K32" s="2"/>
      <c r="L32" s="63"/>
      <c r="M32" s="2"/>
      <c r="N32" s="2"/>
    </row>
    <row r="33">
      <c r="A33" s="550">
        <v>32.0</v>
      </c>
      <c r="B33" s="17">
        <v>3050.0</v>
      </c>
      <c r="C33" s="5">
        <f t="shared" si="2"/>
        <v>26750</v>
      </c>
      <c r="D33" s="15">
        <f t="shared" si="3"/>
        <v>0.01012126601</v>
      </c>
      <c r="E33" s="310">
        <v>67.0</v>
      </c>
      <c r="F33" s="5">
        <v>188250.0</v>
      </c>
      <c r="G33" s="17">
        <f t="shared" si="4"/>
        <v>2048200</v>
      </c>
      <c r="H33" s="527">
        <f t="shared" si="5"/>
        <v>0.774967366</v>
      </c>
      <c r="I33" s="6"/>
      <c r="J33" s="2"/>
      <c r="K33" s="2"/>
      <c r="L33" s="63"/>
      <c r="M33" s="2"/>
      <c r="N33" s="2"/>
    </row>
    <row r="34">
      <c r="A34" s="526">
        <v>33.0</v>
      </c>
      <c r="B34" s="17">
        <v>3750.0</v>
      </c>
      <c r="C34" s="5">
        <f t="shared" si="2"/>
        <v>29800</v>
      </c>
      <c r="D34" s="15">
        <f t="shared" si="3"/>
        <v>0.01127527952</v>
      </c>
      <c r="E34" s="310">
        <v>68.0</v>
      </c>
      <c r="F34" s="5">
        <v>198250.0</v>
      </c>
      <c r="G34" s="17">
        <f t="shared" si="4"/>
        <v>2236450</v>
      </c>
      <c r="H34" s="527">
        <f t="shared" si="5"/>
        <v>0.8461945932</v>
      </c>
      <c r="I34" s="6"/>
      <c r="J34" s="2"/>
      <c r="K34" s="2"/>
      <c r="L34" s="63"/>
      <c r="M34" s="2"/>
      <c r="N34" s="2"/>
    </row>
    <row r="35">
      <c r="A35" s="550">
        <v>34.0</v>
      </c>
      <c r="B35" s="17">
        <v>4750.0</v>
      </c>
      <c r="C35" s="5">
        <f t="shared" si="2"/>
        <v>33550</v>
      </c>
      <c r="D35" s="15">
        <f t="shared" si="3"/>
        <v>0.01269414858</v>
      </c>
      <c r="E35" s="310">
        <v>69.0</v>
      </c>
      <c r="F35" s="5">
        <v>208250.0</v>
      </c>
      <c r="G35" s="17">
        <f t="shared" si="4"/>
        <v>2434700</v>
      </c>
      <c r="H35" s="527">
        <f t="shared" si="5"/>
        <v>0.9212054712</v>
      </c>
      <c r="I35" s="6"/>
      <c r="J35" s="2"/>
      <c r="K35" s="2"/>
      <c r="L35" s="63"/>
      <c r="M35" s="2"/>
      <c r="N35" s="2"/>
    </row>
    <row r="36">
      <c r="A36" s="551">
        <v>35.0</v>
      </c>
      <c r="B36" s="449">
        <v>5950.0</v>
      </c>
      <c r="C36" s="44">
        <f t="shared" si="2"/>
        <v>38300</v>
      </c>
      <c r="D36" s="552">
        <f t="shared" si="3"/>
        <v>0.01449138274</v>
      </c>
      <c r="E36" s="553">
        <v>70.0</v>
      </c>
      <c r="F36" s="44" t="s">
        <v>184</v>
      </c>
      <c r="G36" s="449">
        <f t="shared" si="4"/>
        <v>2642950</v>
      </c>
      <c r="H36" s="554">
        <f t="shared" si="5"/>
        <v>1</v>
      </c>
      <c r="I36" s="6"/>
      <c r="J36" s="2"/>
      <c r="K36" s="2"/>
      <c r="L36" s="63"/>
      <c r="M36" s="2"/>
      <c r="N36" s="2"/>
    </row>
    <row r="37">
      <c r="A37" s="288"/>
      <c r="B37" s="35"/>
      <c r="C37" s="35"/>
      <c r="D37" s="35"/>
      <c r="E37" s="35"/>
      <c r="F37" s="35"/>
      <c r="G37" s="35"/>
      <c r="H37" s="35"/>
      <c r="I37" s="6"/>
      <c r="J37" s="2"/>
      <c r="K37" s="2"/>
      <c r="L37" s="63"/>
      <c r="M37" s="2"/>
      <c r="N37" s="2"/>
    </row>
  </sheetData>
  <mergeCells count="15">
    <mergeCell ref="J21:K21"/>
    <mergeCell ref="J22:K22"/>
    <mergeCell ref="J23:K23"/>
    <mergeCell ref="J24:K24"/>
    <mergeCell ref="L22:M22"/>
    <mergeCell ref="L23:M23"/>
    <mergeCell ref="L24:M24"/>
    <mergeCell ref="J29:M29"/>
    <mergeCell ref="J18:K18"/>
    <mergeCell ref="L18:M18"/>
    <mergeCell ref="J19:K19"/>
    <mergeCell ref="L19:M19"/>
    <mergeCell ref="J20:K20"/>
    <mergeCell ref="L20:M20"/>
    <mergeCell ref="L21:M21"/>
  </mergeCells>
  <drawing r:id="rId1"/>
  <tableParts count="2">
    <tablePart r:id="rId4"/>
    <tablePart r:id="rId5"/>
  </tableParts>
</worksheet>
</file>