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https://luky-my.sharepoint.com/personal/ith224_uky_edu/Documents/UKY ECE/Research/Publications/23. Stochastic DRAM/"/>
    </mc:Choice>
  </mc:AlternateContent>
  <xr:revisionPtr revIDLastSave="71" documentId="13_ncr:1_{D6842A16-299A-4637-8F0B-760C4CC0D20C}" xr6:coauthVersionLast="47" xr6:coauthVersionMax="47" xr10:uidLastSave="{C5FDF1C0-7512-7648-9793-5E7B9025B725}"/>
  <bookViews>
    <workbookView xWindow="0" yWindow="740" windowWidth="30240" windowHeight="18900" firstSheet="4" activeTab="6" xr2:uid="{1EE06121-AF02-454F-99CB-AA464AC4EE54}"/>
  </bookViews>
  <sheets>
    <sheet name="Sheet1" sheetId="1" r:id="rId1"/>
    <sheet name="ODIN_lifetime_Calculation" sheetId="2" r:id="rId2"/>
    <sheet name="ODIN_MAC" sheetId="3" r:id="rId3"/>
    <sheet name="Alexnet vs Vgg vs CNN" sheetId="4" r:id="rId4"/>
    <sheet name="ODIN_MAC_FINAL" sheetId="6" r:id="rId5"/>
    <sheet name="Final Calculations" sheetId="5" r:id="rId6"/>
    <sheet name="Sheet2" sheetId="10" r:id="rId7"/>
    <sheet name="ATRIA DRAM MAC (30PJ) energy" sheetId="7" state="hidden" r:id="rId8"/>
    <sheet name="Graphs" sheetId="8" r:id="rId9"/>
    <sheet name="Acc &amp; Error" sheetId="9" state="hidden"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3" i="10" l="1"/>
  <c r="L23" i="10"/>
  <c r="L24" i="10"/>
  <c r="N23" i="10"/>
  <c r="O23" i="10"/>
  <c r="P23" i="10"/>
  <c r="Q23" i="10"/>
  <c r="R23" i="10"/>
  <c r="M24" i="10"/>
  <c r="N24" i="10"/>
  <c r="O24" i="10"/>
  <c r="P24" i="10"/>
  <c r="Q24" i="10"/>
  <c r="R24" i="10"/>
  <c r="M25" i="10"/>
  <c r="N25" i="10"/>
  <c r="O25" i="10"/>
  <c r="P25" i="10"/>
  <c r="Q25" i="10"/>
  <c r="R25" i="10"/>
  <c r="M26" i="10"/>
  <c r="N26" i="10"/>
  <c r="O26" i="10"/>
  <c r="P26" i="10"/>
  <c r="Q26" i="10"/>
  <c r="R26" i="10"/>
  <c r="M27" i="10"/>
  <c r="N27" i="10"/>
  <c r="O27" i="10"/>
  <c r="P27" i="10"/>
  <c r="Q27" i="10"/>
  <c r="R27" i="10"/>
  <c r="M28" i="10"/>
  <c r="N28" i="10"/>
  <c r="O28" i="10"/>
  <c r="P28" i="10"/>
  <c r="Q28" i="10"/>
  <c r="R28" i="10"/>
  <c r="M29" i="10"/>
  <c r="N29" i="10"/>
  <c r="O29" i="10"/>
  <c r="P29" i="10"/>
  <c r="Q29" i="10"/>
  <c r="R29" i="10"/>
  <c r="L25" i="10"/>
  <c r="L26" i="10"/>
  <c r="L27" i="10"/>
  <c r="L28" i="10"/>
  <c r="L29" i="10"/>
  <c r="M16" i="10"/>
  <c r="M10" i="10"/>
  <c r="M11" i="10"/>
  <c r="M12" i="10"/>
  <c r="M13" i="10"/>
  <c r="M14" i="10"/>
  <c r="M15" i="10"/>
  <c r="M9" i="10"/>
  <c r="F6" i="10"/>
  <c r="F7" i="10" s="1"/>
  <c r="F8" i="10" s="1"/>
  <c r="F9" i="10" s="1"/>
  <c r="F10" i="10" s="1"/>
  <c r="F11" i="10" s="1"/>
  <c r="F12" i="10" s="1"/>
  <c r="F13" i="10" s="1"/>
  <c r="F14" i="10" s="1"/>
  <c r="F15" i="10" s="1"/>
  <c r="E37" i="5"/>
  <c r="AI37" i="5"/>
  <c r="W37" i="5"/>
  <c r="S37" i="5"/>
  <c r="R37" i="5"/>
  <c r="W48" i="5"/>
  <c r="Y37" i="5" l="1"/>
  <c r="M37" i="5"/>
  <c r="E48" i="5"/>
  <c r="N6" i="8"/>
  <c r="X14" i="8"/>
  <c r="N112" i="8"/>
  <c r="N113" i="8"/>
  <c r="N114" i="8"/>
  <c r="N115" i="8"/>
  <c r="N116" i="8"/>
  <c r="N111" i="8"/>
  <c r="M112" i="8"/>
  <c r="M113" i="8"/>
  <c r="M114" i="8"/>
  <c r="M115" i="8"/>
  <c r="M116" i="8"/>
  <c r="M111" i="8"/>
  <c r="N88" i="8"/>
  <c r="N89" i="8"/>
  <c r="N90" i="8"/>
  <c r="N91" i="8"/>
  <c r="N92" i="8"/>
  <c r="N87" i="8"/>
  <c r="M88" i="8"/>
  <c r="M89" i="8"/>
  <c r="M90" i="8"/>
  <c r="M91" i="8"/>
  <c r="M92" i="8"/>
  <c r="M87" i="8"/>
  <c r="C61" i="6"/>
  <c r="B26" i="5"/>
  <c r="AW49" i="7"/>
  <c r="AW51" i="7"/>
  <c r="AW52" i="7"/>
  <c r="AW53" i="7"/>
  <c r="AW48" i="7"/>
  <c r="AU37" i="5"/>
  <c r="AO37" i="5"/>
  <c r="I37" i="5"/>
  <c r="AU48" i="7"/>
  <c r="E7" i="9"/>
  <c r="E8" i="9"/>
  <c r="E9" i="9"/>
  <c r="E6" i="9"/>
  <c r="F7" i="9"/>
  <c r="F8" i="9"/>
  <c r="F9" i="9"/>
  <c r="F6" i="9"/>
  <c r="N7" i="8"/>
  <c r="R7" i="8" s="1"/>
  <c r="X7" i="8" s="1"/>
  <c r="N8" i="8"/>
  <c r="N9" i="8"/>
  <c r="N10" i="8"/>
  <c r="R10" i="8" s="1"/>
  <c r="X10" i="8" s="1"/>
  <c r="N11" i="8"/>
  <c r="R11" i="8" s="1"/>
  <c r="X11" i="8" s="1"/>
  <c r="K61" i="6"/>
  <c r="S45" i="6"/>
  <c r="K56" i="6"/>
  <c r="K50" i="6"/>
  <c r="S46" i="6"/>
  <c r="S50" i="6"/>
  <c r="S20" i="6"/>
  <c r="K47" i="6"/>
  <c r="C32" i="6"/>
  <c r="H10" i="6"/>
  <c r="H5" i="6"/>
  <c r="L112" i="8"/>
  <c r="L113" i="8"/>
  <c r="L114" i="8"/>
  <c r="L115" i="8"/>
  <c r="L116" i="8"/>
  <c r="L63" i="8"/>
  <c r="L64" i="8"/>
  <c r="L65" i="8"/>
  <c r="L66" i="8"/>
  <c r="L67" i="8"/>
  <c r="L62" i="8"/>
  <c r="G63" i="8"/>
  <c r="G64" i="8"/>
  <c r="G65" i="8"/>
  <c r="G66" i="8"/>
  <c r="G67" i="8"/>
  <c r="G62" i="8"/>
  <c r="G88" i="8"/>
  <c r="G89" i="8"/>
  <c r="G90" i="8"/>
  <c r="G91" i="8"/>
  <c r="G92" i="8"/>
  <c r="L88" i="8"/>
  <c r="L89" i="8"/>
  <c r="L90" i="8"/>
  <c r="L91" i="8"/>
  <c r="L92" i="8"/>
  <c r="L87" i="8"/>
  <c r="G87" i="8"/>
  <c r="L111" i="8"/>
  <c r="G112" i="8"/>
  <c r="G113" i="8"/>
  <c r="G114" i="8"/>
  <c r="G115" i="8"/>
  <c r="G116" i="8"/>
  <c r="G111" i="8"/>
  <c r="O7" i="8"/>
  <c r="P7" i="8"/>
  <c r="Q7" i="8"/>
  <c r="S7" i="8"/>
  <c r="W7" i="8" s="1"/>
  <c r="Y7" i="8" s="1"/>
  <c r="T7" i="8"/>
  <c r="U7" i="8"/>
  <c r="V7" i="8"/>
  <c r="O8" i="8"/>
  <c r="R8" i="8" s="1"/>
  <c r="X8" i="8" s="1"/>
  <c r="P8" i="8"/>
  <c r="Q8" i="8"/>
  <c r="S8" i="8"/>
  <c r="T8" i="8"/>
  <c r="W8" i="8" s="1"/>
  <c r="Y8" i="8" s="1"/>
  <c r="U8" i="8"/>
  <c r="V8" i="8"/>
  <c r="O9" i="8"/>
  <c r="R9" i="8" s="1"/>
  <c r="X9" i="8" s="1"/>
  <c r="P9" i="8"/>
  <c r="Q9" i="8"/>
  <c r="S9" i="8"/>
  <c r="W9" i="8" s="1"/>
  <c r="Y9" i="8" s="1"/>
  <c r="T9" i="8"/>
  <c r="U9" i="8"/>
  <c r="V9" i="8"/>
  <c r="O10" i="8"/>
  <c r="P10" i="8"/>
  <c r="Q10" i="8"/>
  <c r="S10" i="8"/>
  <c r="T10" i="8"/>
  <c r="W10" i="8" s="1"/>
  <c r="Y10" i="8" s="1"/>
  <c r="U10" i="8"/>
  <c r="V10" i="8"/>
  <c r="O11" i="8"/>
  <c r="P11" i="8"/>
  <c r="Q11" i="8"/>
  <c r="S11" i="8"/>
  <c r="W11" i="8" s="1"/>
  <c r="Y11" i="8" s="1"/>
  <c r="T11" i="8"/>
  <c r="U11" i="8"/>
  <c r="V11" i="8"/>
  <c r="O6" i="8"/>
  <c r="R6" i="8" s="1"/>
  <c r="X6" i="8" s="1"/>
  <c r="P6" i="8"/>
  <c r="Q6" i="8"/>
  <c r="S6" i="8"/>
  <c r="T6" i="8"/>
  <c r="W6" i="8" s="1"/>
  <c r="Y6" i="8" s="1"/>
  <c r="U6" i="8"/>
  <c r="V6" i="8"/>
  <c r="T40" i="8"/>
  <c r="N37" i="8"/>
  <c r="O37" i="8"/>
  <c r="P37" i="8"/>
  <c r="Q37" i="8"/>
  <c r="S37" i="8"/>
  <c r="W37" i="8" s="1"/>
  <c r="T37" i="8"/>
  <c r="U37" i="8"/>
  <c r="V37" i="8"/>
  <c r="N38" i="8"/>
  <c r="O38" i="8"/>
  <c r="P38" i="8"/>
  <c r="Q38" i="8"/>
  <c r="S38" i="8"/>
  <c r="W38" i="8" s="1"/>
  <c r="T38" i="8"/>
  <c r="U38" i="8"/>
  <c r="V38" i="8"/>
  <c r="N39" i="8"/>
  <c r="O39" i="8"/>
  <c r="P39" i="8"/>
  <c r="Q39" i="8"/>
  <c r="S39" i="8"/>
  <c r="W39" i="8" s="1"/>
  <c r="T39" i="8"/>
  <c r="U39" i="8"/>
  <c r="V39" i="8"/>
  <c r="N40" i="8"/>
  <c r="O40" i="8"/>
  <c r="P40" i="8"/>
  <c r="Q40" i="8"/>
  <c r="S40" i="8"/>
  <c r="W40" i="8" s="1"/>
  <c r="U40" i="8"/>
  <c r="V40" i="8"/>
  <c r="N41" i="8"/>
  <c r="O41" i="8"/>
  <c r="P41" i="8"/>
  <c r="Q41" i="8"/>
  <c r="S41" i="8"/>
  <c r="W41" i="8" s="1"/>
  <c r="T41" i="8"/>
  <c r="U41" i="8"/>
  <c r="V41" i="8"/>
  <c r="O36" i="8"/>
  <c r="P36" i="8"/>
  <c r="Q36" i="8"/>
  <c r="S36" i="8"/>
  <c r="W36" i="8" s="1"/>
  <c r="T36" i="8"/>
  <c r="U36" i="8"/>
  <c r="V36" i="8"/>
  <c r="N36" i="8"/>
  <c r="D13" i="8"/>
  <c r="H48" i="7"/>
  <c r="I48" i="7" s="1"/>
  <c r="K48" i="7"/>
  <c r="H49" i="7"/>
  <c r="I49" i="7" s="1"/>
  <c r="K49" i="7"/>
  <c r="I50" i="7"/>
  <c r="K50" i="7"/>
  <c r="H51" i="7"/>
  <c r="I51" i="7"/>
  <c r="K51" i="7"/>
  <c r="H52" i="7"/>
  <c r="I52" i="7"/>
  <c r="K52" i="7"/>
  <c r="I53" i="7"/>
  <c r="L42" i="7"/>
  <c r="L41" i="7"/>
  <c r="I41" i="7"/>
  <c r="H41" i="7"/>
  <c r="L40" i="7"/>
  <c r="I40" i="7"/>
  <c r="H40" i="7"/>
  <c r="I39" i="7"/>
  <c r="L39" i="7" s="1"/>
  <c r="H39" i="7"/>
  <c r="I38" i="7"/>
  <c r="L38" i="7" s="1"/>
  <c r="H38" i="7"/>
  <c r="I37" i="7"/>
  <c r="L37" i="7" s="1"/>
  <c r="H37" i="7"/>
  <c r="S47" i="6"/>
  <c r="S52" i="6"/>
  <c r="S49" i="6"/>
  <c r="S48" i="6"/>
  <c r="S22" i="6"/>
  <c r="BG52" i="5"/>
  <c r="BA52" i="5"/>
  <c r="AU52" i="5"/>
  <c r="AO52" i="5"/>
  <c r="AU38" i="5"/>
  <c r="AV38" i="5"/>
  <c r="AW38" i="5"/>
  <c r="AX38" i="5"/>
  <c r="AY38" i="5"/>
  <c r="AV37" i="5"/>
  <c r="AW37" i="5"/>
  <c r="AX37" i="5"/>
  <c r="AY37" i="5"/>
  <c r="Q37" i="5"/>
  <c r="R36" i="8" l="1"/>
  <c r="R40" i="8"/>
  <c r="R39" i="8"/>
  <c r="R38" i="8"/>
  <c r="R37" i="8"/>
  <c r="R41" i="8"/>
  <c r="E13" i="8"/>
  <c r="F13" i="8"/>
  <c r="G13" i="8"/>
  <c r="H13" i="8"/>
  <c r="I13" i="8"/>
  <c r="J13" i="8"/>
  <c r="K13" i="8"/>
  <c r="E14" i="8"/>
  <c r="F14" i="8"/>
  <c r="G14" i="8"/>
  <c r="H14" i="8"/>
  <c r="I14" i="8"/>
  <c r="J14" i="8"/>
  <c r="K14" i="8"/>
  <c r="E15" i="8"/>
  <c r="F15" i="8"/>
  <c r="G15" i="8"/>
  <c r="H15" i="8"/>
  <c r="I15" i="8"/>
  <c r="J15" i="8"/>
  <c r="K15" i="8"/>
  <c r="E16" i="8"/>
  <c r="F16" i="8"/>
  <c r="G16" i="8"/>
  <c r="H16" i="8"/>
  <c r="I16" i="8"/>
  <c r="J16" i="8"/>
  <c r="K16" i="8"/>
  <c r="E17" i="8"/>
  <c r="F17" i="8"/>
  <c r="G17" i="8"/>
  <c r="H17" i="8"/>
  <c r="I17" i="8"/>
  <c r="J17" i="8"/>
  <c r="K17" i="8"/>
  <c r="E18" i="8"/>
  <c r="F18" i="8"/>
  <c r="G18" i="8"/>
  <c r="H18" i="8"/>
  <c r="I18" i="8"/>
  <c r="J18" i="8"/>
  <c r="K18" i="8"/>
  <c r="D14" i="8"/>
  <c r="D15" i="8"/>
  <c r="D16" i="8"/>
  <c r="D17" i="8"/>
  <c r="D18" i="8"/>
  <c r="E38" i="5" l="1"/>
  <c r="X53" i="7" l="1"/>
  <c r="W53" i="7"/>
  <c r="V53" i="7"/>
  <c r="U53" i="7"/>
  <c r="T53" i="7"/>
  <c r="N53" i="7"/>
  <c r="AR53" i="7" s="1"/>
  <c r="V52" i="7"/>
  <c r="L52" i="7"/>
  <c r="O51" i="7"/>
  <c r="T50" i="7"/>
  <c r="BB42" i="7"/>
  <c r="BA42" i="7"/>
  <c r="AZ42" i="7"/>
  <c r="AY42" i="7"/>
  <c r="AX42" i="7"/>
  <c r="AR42" i="7"/>
  <c r="X42" i="7"/>
  <c r="W42" i="7"/>
  <c r="V42" i="7"/>
  <c r="U42" i="7"/>
  <c r="T42" i="7"/>
  <c r="N42" i="7"/>
  <c r="Z42" i="7" s="1"/>
  <c r="AF42" i="7" s="1"/>
  <c r="BB41" i="7"/>
  <c r="BA41" i="7"/>
  <c r="AZ41" i="7"/>
  <c r="AY41" i="7"/>
  <c r="AX41" i="7"/>
  <c r="X41" i="7"/>
  <c r="W41" i="7"/>
  <c r="V41" i="7"/>
  <c r="U41" i="7"/>
  <c r="T41" i="7"/>
  <c r="BB40" i="7"/>
  <c r="BA40" i="7"/>
  <c r="AZ40" i="7"/>
  <c r="AY40" i="7"/>
  <c r="AX40" i="7"/>
  <c r="X40" i="7"/>
  <c r="W40" i="7"/>
  <c r="V40" i="7"/>
  <c r="U40" i="7"/>
  <c r="T40" i="7"/>
  <c r="X51" i="7"/>
  <c r="BB39" i="7"/>
  <c r="BA39" i="7"/>
  <c r="AZ39" i="7"/>
  <c r="AY39" i="7"/>
  <c r="AX39" i="7"/>
  <c r="AR39" i="7"/>
  <c r="X39" i="7"/>
  <c r="W39" i="7"/>
  <c r="V39" i="7"/>
  <c r="U39" i="7"/>
  <c r="T39" i="7"/>
  <c r="L50" i="7"/>
  <c r="BB38" i="7"/>
  <c r="BA38" i="7"/>
  <c r="AZ38" i="7"/>
  <c r="AY38" i="7"/>
  <c r="AX38" i="7"/>
  <c r="X38" i="7"/>
  <c r="W38" i="7"/>
  <c r="V38" i="7"/>
  <c r="U38" i="7"/>
  <c r="T38" i="7"/>
  <c r="V49" i="7"/>
  <c r="BB37" i="7"/>
  <c r="BA37" i="7"/>
  <c r="AZ37" i="7"/>
  <c r="AY37" i="7"/>
  <c r="AX37" i="7"/>
  <c r="X37" i="7"/>
  <c r="W37" i="7"/>
  <c r="V37" i="7"/>
  <c r="U37" i="7"/>
  <c r="T37" i="7"/>
  <c r="P26" i="7"/>
  <c r="N26" i="7"/>
  <c r="M26" i="7"/>
  <c r="L26" i="7"/>
  <c r="J26" i="7"/>
  <c r="G26" i="7"/>
  <c r="Q26" i="7" s="1"/>
  <c r="E26" i="7"/>
  <c r="O25" i="7"/>
  <c r="M25" i="7"/>
  <c r="L25" i="7"/>
  <c r="K25" i="7"/>
  <c r="J25" i="7"/>
  <c r="G25" i="7"/>
  <c r="P25" i="7" s="1"/>
  <c r="M24" i="7"/>
  <c r="J24" i="7"/>
  <c r="L24" i="7" s="1"/>
  <c r="G24" i="7"/>
  <c r="R24" i="7" s="1"/>
  <c r="O23" i="7"/>
  <c r="M23" i="7"/>
  <c r="L23" i="7"/>
  <c r="K23" i="7"/>
  <c r="J23" i="7"/>
  <c r="G23" i="7"/>
  <c r="P23" i="7" s="1"/>
  <c r="M22" i="7"/>
  <c r="J22" i="7"/>
  <c r="L22" i="7" s="1"/>
  <c r="G22" i="7"/>
  <c r="R22" i="7" s="1"/>
  <c r="O21" i="7"/>
  <c r="M21" i="7"/>
  <c r="L21" i="7"/>
  <c r="K21" i="7"/>
  <c r="J21" i="7"/>
  <c r="G21" i="7"/>
  <c r="P21" i="7" s="1"/>
  <c r="M20" i="7"/>
  <c r="J20" i="7"/>
  <c r="L20" i="7" s="1"/>
  <c r="G20" i="7"/>
  <c r="R20" i="7" s="1"/>
  <c r="O19" i="7"/>
  <c r="M19" i="7"/>
  <c r="L19" i="7"/>
  <c r="K19" i="7"/>
  <c r="J19" i="7"/>
  <c r="G19" i="7"/>
  <c r="P19" i="7" s="1"/>
  <c r="X7" i="7"/>
  <c r="W7" i="7"/>
  <c r="V7" i="7"/>
  <c r="U7" i="7"/>
  <c r="T7" i="7"/>
  <c r="R7" i="7"/>
  <c r="P7" i="7"/>
  <c r="N7" i="7"/>
  <c r="X6" i="7"/>
  <c r="W6" i="7"/>
  <c r="V6" i="7"/>
  <c r="U6" i="7"/>
  <c r="T6" i="7"/>
  <c r="R6" i="7"/>
  <c r="P6" i="7"/>
  <c r="N6" i="7"/>
  <c r="R5" i="7"/>
  <c r="Q5" i="7"/>
  <c r="Q6" i="7" s="1"/>
  <c r="P5" i="7"/>
  <c r="O5" i="7"/>
  <c r="O7" i="7" s="1"/>
  <c r="W4" i="7"/>
  <c r="U4" i="7"/>
  <c r="T4" i="7"/>
  <c r="R4" i="7"/>
  <c r="Q4" i="7"/>
  <c r="AU37" i="7" s="1"/>
  <c r="BG37" i="7" s="1"/>
  <c r="P4" i="7"/>
  <c r="O4" i="7"/>
  <c r="O41" i="7" s="1"/>
  <c r="AA41" i="7" s="1"/>
  <c r="K62" i="6"/>
  <c r="K59" i="6"/>
  <c r="K60" i="6"/>
  <c r="K58" i="6"/>
  <c r="C60" i="6"/>
  <c r="Q53" i="5"/>
  <c r="R53" i="5"/>
  <c r="S53" i="5"/>
  <c r="T53" i="5"/>
  <c r="U53" i="5"/>
  <c r="K53" i="5"/>
  <c r="AO53" i="5" s="1"/>
  <c r="AU53" i="5" s="1"/>
  <c r="BA53" i="5" s="1"/>
  <c r="BG53" i="5" s="1"/>
  <c r="K48" i="6"/>
  <c r="K46" i="6"/>
  <c r="K45" i="6"/>
  <c r="K23" i="6"/>
  <c r="K21" i="6"/>
  <c r="K20" i="6"/>
  <c r="K19" i="6"/>
  <c r="H9" i="6"/>
  <c r="S23" i="6"/>
  <c r="S19" i="6"/>
  <c r="S18" i="6"/>
  <c r="BD39" i="7" l="1"/>
  <c r="R48" i="7"/>
  <c r="AV48" i="7" s="1"/>
  <c r="BD42" i="7"/>
  <c r="BJ42" i="7" s="1"/>
  <c r="BJ62" i="7" s="1"/>
  <c r="AX53" i="7"/>
  <c r="BD53" i="7" s="1"/>
  <c r="BJ53" i="7" s="1"/>
  <c r="AS38" i="7"/>
  <c r="BE38" i="7" s="1"/>
  <c r="P38" i="7"/>
  <c r="AB38" i="7" s="1"/>
  <c r="AH38" i="7" s="1"/>
  <c r="AU38" i="7"/>
  <c r="AT38" i="7"/>
  <c r="BM37" i="7"/>
  <c r="BS37" i="7"/>
  <c r="AG41" i="7"/>
  <c r="AM41" i="7"/>
  <c r="BJ39" i="7"/>
  <c r="BP39" i="7"/>
  <c r="AS51" i="7"/>
  <c r="Q24" i="7"/>
  <c r="X48" i="7"/>
  <c r="T48" i="7"/>
  <c r="W48" i="7"/>
  <c r="V48" i="7"/>
  <c r="P49" i="7"/>
  <c r="AT40" i="7"/>
  <c r="BF40" i="7" s="1"/>
  <c r="BL40" i="7" s="1"/>
  <c r="P53" i="7"/>
  <c r="AT53" i="7" s="1"/>
  <c r="P50" i="7"/>
  <c r="AT42" i="7"/>
  <c r="BF42" i="7" s="1"/>
  <c r="K20" i="7"/>
  <c r="K22" i="7"/>
  <c r="Q23" i="7"/>
  <c r="K24" i="7"/>
  <c r="Q25" i="7"/>
  <c r="R26" i="7"/>
  <c r="N37" i="7"/>
  <c r="Z37" i="7" s="1"/>
  <c r="R37" i="7"/>
  <c r="AD37" i="7" s="1"/>
  <c r="Q38" i="7"/>
  <c r="AC38" i="7" s="1"/>
  <c r="BF38" i="7"/>
  <c r="BL38" i="7" s="1"/>
  <c r="AU39" i="7"/>
  <c r="BG39" i="7" s="1"/>
  <c r="BM39" i="7" s="1"/>
  <c r="R39" i="7"/>
  <c r="AD39" i="7" s="1"/>
  <c r="AJ39" i="7" s="1"/>
  <c r="AS39" i="7"/>
  <c r="BE39" i="7" s="1"/>
  <c r="BK39" i="7" s="1"/>
  <c r="P39" i="7"/>
  <c r="AB39" i="7" s="1"/>
  <c r="AH39" i="7" s="1"/>
  <c r="O39" i="7"/>
  <c r="AA39" i="7" s="1"/>
  <c r="AV39" i="7"/>
  <c r="BH39" i="7" s="1"/>
  <c r="P40" i="7"/>
  <c r="AB40" i="7" s="1"/>
  <c r="AV41" i="7"/>
  <c r="BH41" i="7" s="1"/>
  <c r="P42" i="7"/>
  <c r="AB42" i="7" s="1"/>
  <c r="AH42" i="7" s="1"/>
  <c r="AN63" i="7" s="1"/>
  <c r="L49" i="7"/>
  <c r="Z53" i="7"/>
  <c r="Q20" i="7"/>
  <c r="Q19" i="7"/>
  <c r="O20" i="7"/>
  <c r="Q21" i="7"/>
  <c r="O22" i="7"/>
  <c r="O24" i="7"/>
  <c r="AU42" i="7"/>
  <c r="BG42" i="7" s="1"/>
  <c r="BM42" i="7" s="1"/>
  <c r="Q53" i="7"/>
  <c r="AU53" i="7" s="1"/>
  <c r="Q50" i="7"/>
  <c r="Q42" i="7"/>
  <c r="AC42" i="7" s="1"/>
  <c r="Q40" i="7"/>
  <c r="AC40" i="7" s="1"/>
  <c r="AI40" i="7" s="1"/>
  <c r="Q48" i="7"/>
  <c r="Q49" i="7"/>
  <c r="AU40" i="7"/>
  <c r="BG40" i="7" s="1"/>
  <c r="V4" i="7"/>
  <c r="O6" i="7"/>
  <c r="Q7" i="7"/>
  <c r="N19" i="7"/>
  <c r="R19" i="7"/>
  <c r="P20" i="7"/>
  <c r="N21" i="7"/>
  <c r="R21" i="7"/>
  <c r="P22" i="7"/>
  <c r="N23" i="7"/>
  <c r="R23" i="7"/>
  <c r="P24" i="7"/>
  <c r="N25" i="7"/>
  <c r="R25" i="7"/>
  <c r="K26" i="7"/>
  <c r="O26" i="7"/>
  <c r="O37" i="7"/>
  <c r="AA37" i="7" s="1"/>
  <c r="AG37" i="7" s="1"/>
  <c r="AR37" i="7"/>
  <c r="BD37" i="7" s="1"/>
  <c r="BJ37" i="7" s="1"/>
  <c r="AV37" i="7"/>
  <c r="BH37" i="7" s="1"/>
  <c r="BN37" i="7" s="1"/>
  <c r="N38" i="7"/>
  <c r="Z38" i="7" s="1"/>
  <c r="AF38" i="7" s="1"/>
  <c r="R38" i="7"/>
  <c r="AD38" i="7" s="1"/>
  <c r="AJ38" i="7" s="1"/>
  <c r="BG38" i="7"/>
  <c r="BM38" i="7" s="1"/>
  <c r="BR38" i="7"/>
  <c r="Q39" i="7"/>
  <c r="AC39" i="7" s="1"/>
  <c r="BR40" i="7"/>
  <c r="P37" i="7"/>
  <c r="AB37" i="7" s="1"/>
  <c r="AR38" i="7"/>
  <c r="BD38" i="7" s="1"/>
  <c r="AV38" i="7"/>
  <c r="BH38" i="7" s="1"/>
  <c r="BN38" i="7" s="1"/>
  <c r="AP39" i="7"/>
  <c r="BQ39" i="7"/>
  <c r="AV40" i="7"/>
  <c r="BH40" i="7" s="1"/>
  <c r="BN40" i="7" s="1"/>
  <c r="AS40" i="7"/>
  <c r="BE40" i="7" s="1"/>
  <c r="AL63" i="7"/>
  <c r="AF53" i="7"/>
  <c r="AL53" i="7" s="1"/>
  <c r="Q51" i="7"/>
  <c r="P51" i="7"/>
  <c r="R51" i="7"/>
  <c r="N51" i="7"/>
  <c r="R53" i="7"/>
  <c r="AV53" i="7" s="1"/>
  <c r="R42" i="7"/>
  <c r="AD42" i="7" s="1"/>
  <c r="AJ42" i="7" s="1"/>
  <c r="R40" i="7"/>
  <c r="AD40" i="7" s="1"/>
  <c r="Q22" i="7"/>
  <c r="AS37" i="7"/>
  <c r="BE37" i="7" s="1"/>
  <c r="O38" i="7"/>
  <c r="AA38" i="7" s="1"/>
  <c r="O42" i="7"/>
  <c r="AA42" i="7" s="1"/>
  <c r="AG42" i="7" s="1"/>
  <c r="O53" i="7"/>
  <c r="AS53" i="7" s="1"/>
  <c r="O50" i="7"/>
  <c r="O48" i="7"/>
  <c r="AS42" i="7"/>
  <c r="BE42" i="7" s="1"/>
  <c r="X4" i="7"/>
  <c r="N20" i="7"/>
  <c r="N22" i="7"/>
  <c r="N24" i="7"/>
  <c r="Q37" i="7"/>
  <c r="AC37" i="7" s="1"/>
  <c r="AI37" i="7" s="1"/>
  <c r="AT37" i="7"/>
  <c r="BF37" i="7" s="1"/>
  <c r="BL37" i="7" s="1"/>
  <c r="N39" i="7"/>
  <c r="Z39" i="7" s="1"/>
  <c r="AF39" i="7" s="1"/>
  <c r="AT39" i="7"/>
  <c r="BF39" i="7" s="1"/>
  <c r="L51" i="7"/>
  <c r="W51" i="7"/>
  <c r="T51" i="7"/>
  <c r="N40" i="7"/>
  <c r="Z40" i="7" s="1"/>
  <c r="BP40" i="7"/>
  <c r="BT40" i="7"/>
  <c r="AS41" i="7"/>
  <c r="BE41" i="7" s="1"/>
  <c r="BK41" i="7" s="1"/>
  <c r="P41" i="7"/>
  <c r="AB41" i="7" s="1"/>
  <c r="AH41" i="7" s="1"/>
  <c r="AU41" i="7"/>
  <c r="BG41" i="7" s="1"/>
  <c r="BM41" i="7" s="1"/>
  <c r="R41" i="7"/>
  <c r="AD41" i="7" s="1"/>
  <c r="AJ41" i="7" s="1"/>
  <c r="N41" i="7"/>
  <c r="Z41" i="7" s="1"/>
  <c r="AF41" i="7" s="1"/>
  <c r="AT41" i="7"/>
  <c r="BF41" i="7" s="1"/>
  <c r="Q41" i="7"/>
  <c r="AC41" i="7" s="1"/>
  <c r="AP41" i="7"/>
  <c r="AR41" i="7"/>
  <c r="BD41" i="7" s="1"/>
  <c r="AV42" i="7"/>
  <c r="BH42" i="7" s="1"/>
  <c r="L48" i="7"/>
  <c r="O49" i="7"/>
  <c r="X50" i="7"/>
  <c r="V51" i="7"/>
  <c r="P52" i="7"/>
  <c r="O52" i="7"/>
  <c r="AS52" i="7" s="1"/>
  <c r="Q52" i="7"/>
  <c r="O40" i="7"/>
  <c r="AA40" i="7" s="1"/>
  <c r="AG40" i="7" s="1"/>
  <c r="AR40" i="7"/>
  <c r="BD40" i="7" s="1"/>
  <c r="BJ40" i="7" s="1"/>
  <c r="AL42" i="7"/>
  <c r="U48" i="7"/>
  <c r="X49" i="7"/>
  <c r="T49" i="7"/>
  <c r="W49" i="7"/>
  <c r="U49" i="7"/>
  <c r="R50" i="7"/>
  <c r="U52" i="7"/>
  <c r="R52" i="7"/>
  <c r="X52" i="7"/>
  <c r="T52" i="7"/>
  <c r="P48" i="7"/>
  <c r="N48" i="7"/>
  <c r="W50" i="7"/>
  <c r="V50" i="7"/>
  <c r="U50" i="7"/>
  <c r="N52" i="7"/>
  <c r="AR52" i="7" s="1"/>
  <c r="W52" i="7"/>
  <c r="N49" i="7"/>
  <c r="R49" i="7"/>
  <c r="U51" i="7"/>
  <c r="N50" i="7"/>
  <c r="K18" i="6"/>
  <c r="C58" i="6"/>
  <c r="C59" i="6" s="1"/>
  <c r="S21" i="6"/>
  <c r="AV42" i="5"/>
  <c r="K31" i="6"/>
  <c r="C31" i="6"/>
  <c r="H6" i="6"/>
  <c r="AD48" i="7" l="1"/>
  <c r="BB53" i="7"/>
  <c r="AZ53" i="7"/>
  <c r="BS41" i="7"/>
  <c r="AX52" i="7"/>
  <c r="AM40" i="7"/>
  <c r="BP42" i="7"/>
  <c r="AA51" i="7"/>
  <c r="AG51" i="7" s="1"/>
  <c r="AM51" i="7" s="1"/>
  <c r="AL39" i="7"/>
  <c r="BK42" i="7"/>
  <c r="AY53" i="7"/>
  <c r="BQ42" i="7"/>
  <c r="BA53" i="7"/>
  <c r="AP42" i="7"/>
  <c r="BS42" i="7"/>
  <c r="BM62" i="7"/>
  <c r="BG53" i="7"/>
  <c r="BM53" i="7" s="1"/>
  <c r="BK38" i="7"/>
  <c r="BK58" i="7" s="1"/>
  <c r="BQ38" i="7"/>
  <c r="AP38" i="7"/>
  <c r="BT38" i="7"/>
  <c r="BM40" i="7"/>
  <c r="BS40" i="7"/>
  <c r="AD52" i="7"/>
  <c r="AV52" i="7"/>
  <c r="BB52" i="7" s="1"/>
  <c r="AN62" i="7"/>
  <c r="AS48" i="7"/>
  <c r="AY48" i="7" s="1"/>
  <c r="AA48" i="7"/>
  <c r="AG39" i="7"/>
  <c r="AM39" i="7"/>
  <c r="BR37" i="7"/>
  <c r="AM38" i="7"/>
  <c r="AG38" i="7"/>
  <c r="BJ57" i="7"/>
  <c r="BP37" i="7"/>
  <c r="BS38" i="7"/>
  <c r="Z48" i="7"/>
  <c r="AR48" i="7"/>
  <c r="AX48" i="7" s="1"/>
  <c r="BD48" i="7" s="1"/>
  <c r="BJ48" i="7" s="1"/>
  <c r="BJ41" i="7"/>
  <c r="BP41" i="7"/>
  <c r="AF40" i="7"/>
  <c r="AL40" i="7"/>
  <c r="AJ40" i="7"/>
  <c r="AP40" i="7"/>
  <c r="BK40" i="7"/>
  <c r="BQ40" i="7"/>
  <c r="AO42" i="7"/>
  <c r="AI42" i="7"/>
  <c r="AH40" i="7"/>
  <c r="AN40" i="7"/>
  <c r="AF37" i="7"/>
  <c r="AL37" i="7"/>
  <c r="AB50" i="7"/>
  <c r="AH50" i="7" s="1"/>
  <c r="AN50" i="7" s="1"/>
  <c r="AT50" i="7"/>
  <c r="AZ50" i="7" s="1"/>
  <c r="AV49" i="7"/>
  <c r="BB49" i="7" s="1"/>
  <c r="BH49" i="7" s="1"/>
  <c r="BN49" i="7" s="1"/>
  <c r="AD49" i="7"/>
  <c r="AJ49" i="7" s="1"/>
  <c r="AP49" i="7" s="1"/>
  <c r="BK61" i="7"/>
  <c r="BL39" i="7"/>
  <c r="BR39" i="7"/>
  <c r="AP63" i="7"/>
  <c r="AD51" i="7"/>
  <c r="AV51" i="7"/>
  <c r="BB51" i="7" s="1"/>
  <c r="AN41" i="7"/>
  <c r="BM58" i="7"/>
  <c r="AC49" i="7"/>
  <c r="AU49" i="7"/>
  <c r="BA49" i="7" s="1"/>
  <c r="BG49" i="7" s="1"/>
  <c r="BM49" i="7" s="1"/>
  <c r="AU50" i="7"/>
  <c r="BA50" i="7" s="1"/>
  <c r="AC50" i="7"/>
  <c r="BS39" i="7"/>
  <c r="AN60" i="7"/>
  <c r="BL58" i="7"/>
  <c r="AB53" i="7"/>
  <c r="AH53" i="7" s="1"/>
  <c r="AN53" i="7" s="1"/>
  <c r="AY51" i="7"/>
  <c r="BJ59" i="7"/>
  <c r="AO37" i="7"/>
  <c r="Z50" i="7"/>
  <c r="AF50" i="7" s="1"/>
  <c r="AL50" i="7" s="1"/>
  <c r="AR50" i="7"/>
  <c r="AR49" i="7"/>
  <c r="AX49" i="7" s="1"/>
  <c r="Z49" i="7"/>
  <c r="AD50" i="7"/>
  <c r="AJ50" i="7" s="1"/>
  <c r="AP50" i="7" s="1"/>
  <c r="AV50" i="7"/>
  <c r="BB50" i="7" s="1"/>
  <c r="BJ60" i="7"/>
  <c r="AY52" i="7"/>
  <c r="BE52" i="7" s="1"/>
  <c r="BK52" i="7" s="1"/>
  <c r="AA52" i="7"/>
  <c r="AG52" i="7" s="1"/>
  <c r="AM52" i="7" s="1"/>
  <c r="AS49" i="7"/>
  <c r="AY49" i="7" s="1"/>
  <c r="AA49" i="7"/>
  <c r="BN42" i="7"/>
  <c r="BT42" i="7"/>
  <c r="AL41" i="7"/>
  <c r="AP62" i="7"/>
  <c r="AJ52" i="7"/>
  <c r="AP52" i="7" s="1"/>
  <c r="AL60" i="7"/>
  <c r="AA53" i="7"/>
  <c r="AG53" i="7" s="1"/>
  <c r="AM53" i="7" s="1"/>
  <c r="BQ37" i="7"/>
  <c r="BK37" i="7"/>
  <c r="AD53" i="7"/>
  <c r="AJ53" i="7" s="1"/>
  <c r="AP53" i="7" s="1"/>
  <c r="AT51" i="7"/>
  <c r="AZ51" i="7" s="1"/>
  <c r="BF51" i="7" s="1"/>
  <c r="BL51" i="7" s="1"/>
  <c r="AB51" i="7"/>
  <c r="AM42" i="7"/>
  <c r="BH51" i="7"/>
  <c r="BN51" i="7" s="1"/>
  <c r="BN60" i="7"/>
  <c r="BP38" i="7"/>
  <c r="BJ38" i="7"/>
  <c r="AP59" i="7"/>
  <c r="AM58" i="7"/>
  <c r="AG48" i="7"/>
  <c r="AM48" i="7" s="1"/>
  <c r="AC48" i="7"/>
  <c r="AI48" i="7" s="1"/>
  <c r="AO48" i="7" s="1"/>
  <c r="BA48" i="7"/>
  <c r="AC53" i="7"/>
  <c r="BN41" i="7"/>
  <c r="BT41" i="7"/>
  <c r="BN39" i="7"/>
  <c r="BT39" i="7"/>
  <c r="BK59" i="7"/>
  <c r="AI38" i="7"/>
  <c r="AO38" i="7"/>
  <c r="BL60" i="7"/>
  <c r="BT37" i="7"/>
  <c r="Z52" i="7"/>
  <c r="AC52" i="7"/>
  <c r="AU52" i="7"/>
  <c r="BA52" i="7" s="1"/>
  <c r="BG52" i="7" s="1"/>
  <c r="BM52" i="7" s="1"/>
  <c r="BL41" i="7"/>
  <c r="BR41" i="7"/>
  <c r="BL57" i="7"/>
  <c r="BN57" i="7"/>
  <c r="BM59" i="7"/>
  <c r="BG50" i="7"/>
  <c r="BM50" i="7" s="1"/>
  <c r="AB48" i="7"/>
  <c r="AT48" i="7"/>
  <c r="AZ48" i="7" s="1"/>
  <c r="BF48" i="7" s="1"/>
  <c r="BL48" i="7" s="1"/>
  <c r="AL62" i="7"/>
  <c r="AF52" i="7"/>
  <c r="AL52" i="7" s="1"/>
  <c r="AO58" i="7"/>
  <c r="AA50" i="7"/>
  <c r="AS50" i="7"/>
  <c r="AY50" i="7" s="1"/>
  <c r="BE50" i="7" s="1"/>
  <c r="BK50" i="7" s="1"/>
  <c r="BN58" i="7"/>
  <c r="AM61" i="7"/>
  <c r="AB52" i="7"/>
  <c r="AH52" i="7" s="1"/>
  <c r="AN52" i="7" s="1"/>
  <c r="AT52" i="7"/>
  <c r="AZ52" i="7" s="1"/>
  <c r="AN42" i="7"/>
  <c r="AI41" i="7"/>
  <c r="AO41" i="7"/>
  <c r="BM61" i="7"/>
  <c r="AN59" i="7"/>
  <c r="AM63" i="7"/>
  <c r="Z51" i="7"/>
  <c r="AR51" i="7"/>
  <c r="AX51" i="7" s="1"/>
  <c r="BD51" i="7" s="1"/>
  <c r="BJ51" i="7" s="1"/>
  <c r="AU51" i="7"/>
  <c r="BA51" i="7" s="1"/>
  <c r="AC51" i="7"/>
  <c r="AI51" i="7" s="1"/>
  <c r="AO51" i="7" s="1"/>
  <c r="BQ41" i="7"/>
  <c r="AN37" i="7"/>
  <c r="AH37" i="7"/>
  <c r="AI39" i="7"/>
  <c r="AO39" i="7"/>
  <c r="AL59" i="7"/>
  <c r="AF49" i="7"/>
  <c r="AL49" i="7" s="1"/>
  <c r="AO61" i="7"/>
  <c r="AO40" i="7"/>
  <c r="AN39" i="7"/>
  <c r="AP60" i="7"/>
  <c r="AJ37" i="7"/>
  <c r="AP37" i="7"/>
  <c r="BR42" i="7"/>
  <c r="BL42" i="7"/>
  <c r="AB49" i="7"/>
  <c r="AH49" i="7" s="1"/>
  <c r="AN49" i="7" s="1"/>
  <c r="AT49" i="7"/>
  <c r="AZ49" i="7" s="1"/>
  <c r="BF49" i="7" s="1"/>
  <c r="BL49" i="7" s="1"/>
  <c r="AL38" i="7"/>
  <c r="AN38" i="7"/>
  <c r="AM62" i="7"/>
  <c r="BM57" i="7"/>
  <c r="BG48" i="7"/>
  <c r="BM48" i="7" s="1"/>
  <c r="BB48" i="7"/>
  <c r="BH48" i="7" s="1"/>
  <c r="BN48" i="7" s="1"/>
  <c r="AM37" i="7"/>
  <c r="K34" i="6"/>
  <c r="C34" i="6"/>
  <c r="K33" i="6"/>
  <c r="C33" i="6"/>
  <c r="K32" i="6"/>
  <c r="E40" i="5"/>
  <c r="Q42" i="5"/>
  <c r="AX50" i="7" l="1"/>
  <c r="BD50" i="7" s="1"/>
  <c r="BJ50" i="7" s="1"/>
  <c r="AW50" i="7"/>
  <c r="BN62" i="7"/>
  <c r="BH53" i="7"/>
  <c r="BN53" i="7" s="1"/>
  <c r="BL62" i="7"/>
  <c r="BF53" i="7"/>
  <c r="BL53" i="7" s="1"/>
  <c r="BK62" i="7"/>
  <c r="BE53" i="7"/>
  <c r="BK53" i="7" s="1"/>
  <c r="BE49" i="7"/>
  <c r="BK49" i="7" s="1"/>
  <c r="AI52" i="7"/>
  <c r="AO52" i="7" s="1"/>
  <c r="AO62" i="7"/>
  <c r="AO59" i="7"/>
  <c r="AI49" i="7"/>
  <c r="AO49" i="7" s="1"/>
  <c r="BH50" i="7"/>
  <c r="BN50" i="7" s="1"/>
  <c r="BN59" i="7"/>
  <c r="AN61" i="7"/>
  <c r="AH51" i="7"/>
  <c r="AN51" i="7" s="1"/>
  <c r="BK60" i="7"/>
  <c r="BE51" i="7"/>
  <c r="BK51" i="7" s="1"/>
  <c r="AL61" i="7"/>
  <c r="AF51" i="7"/>
  <c r="AL51" i="7" s="1"/>
  <c r="AI50" i="7"/>
  <c r="AO50" i="7" s="1"/>
  <c r="AO60" i="7"/>
  <c r="AO63" i="7"/>
  <c r="AI53" i="7"/>
  <c r="AO53" i="7" s="1"/>
  <c r="AG49" i="7"/>
  <c r="AM49" i="7" s="1"/>
  <c r="AM59" i="7"/>
  <c r="AG50" i="7"/>
  <c r="AM50" i="7" s="1"/>
  <c r="AM60" i="7"/>
  <c r="AN58" i="7"/>
  <c r="AH48" i="7"/>
  <c r="AN48" i="7" s="1"/>
  <c r="BN61" i="7"/>
  <c r="BH52" i="7"/>
  <c r="BN52" i="7" s="1"/>
  <c r="BJ58" i="7"/>
  <c r="BD49" i="7"/>
  <c r="BJ49" i="7" s="1"/>
  <c r="BK57" i="7"/>
  <c r="BE48" i="7"/>
  <c r="BK48" i="7" s="1"/>
  <c r="BL59" i="7"/>
  <c r="BF50" i="7"/>
  <c r="BL50" i="7" s="1"/>
  <c r="AL58" i="7"/>
  <c r="AF48" i="7"/>
  <c r="AL48" i="7" s="1"/>
  <c r="AP61" i="7"/>
  <c r="AJ51" i="7"/>
  <c r="AP51" i="7" s="1"/>
  <c r="BJ61" i="7"/>
  <c r="BD52" i="7"/>
  <c r="BJ52" i="7" s="1"/>
  <c r="AP58" i="7"/>
  <c r="AJ48" i="7"/>
  <c r="AP48" i="7" s="1"/>
  <c r="BL61" i="7"/>
  <c r="BF52" i="7"/>
  <c r="BL52" i="7" s="1"/>
  <c r="BG51" i="7"/>
  <c r="BM51" i="7" s="1"/>
  <c r="BM60" i="7"/>
  <c r="Q41" i="5"/>
  <c r="H4" i="6"/>
  <c r="H3" i="6"/>
  <c r="F3" i="6"/>
  <c r="Q50" i="5" l="1"/>
  <c r="R50" i="5"/>
  <c r="S50" i="5"/>
  <c r="U48" i="5"/>
  <c r="H49" i="5"/>
  <c r="Q49" i="5" s="1"/>
  <c r="H50" i="5"/>
  <c r="T50" i="5" s="1"/>
  <c r="H51" i="5"/>
  <c r="H52" i="5"/>
  <c r="H48" i="5"/>
  <c r="Q48" i="5" s="1"/>
  <c r="K49" i="5"/>
  <c r="AO49" i="5" s="1"/>
  <c r="F49" i="5"/>
  <c r="E49" i="5"/>
  <c r="K50" i="5"/>
  <c r="E51" i="5"/>
  <c r="K51" i="5" s="1"/>
  <c r="E52" i="5"/>
  <c r="AO42" i="5"/>
  <c r="E39" i="5"/>
  <c r="E41" i="5"/>
  <c r="K12" i="3"/>
  <c r="AV39" i="5"/>
  <c r="AW39" i="5"/>
  <c r="AX39" i="5"/>
  <c r="AY39" i="5"/>
  <c r="AV40" i="5"/>
  <c r="AW40" i="5"/>
  <c r="AX40" i="5"/>
  <c r="AY40" i="5"/>
  <c r="AV41" i="5"/>
  <c r="AW41" i="5"/>
  <c r="AX41" i="5"/>
  <c r="AY41" i="5"/>
  <c r="AW42" i="5"/>
  <c r="AX42" i="5"/>
  <c r="AY42" i="5"/>
  <c r="AU39" i="5"/>
  <c r="AU40" i="5"/>
  <c r="AU41" i="5"/>
  <c r="AU42" i="5"/>
  <c r="Q40" i="5"/>
  <c r="R40" i="5"/>
  <c r="S40" i="5"/>
  <c r="T40" i="5"/>
  <c r="U40" i="5"/>
  <c r="R41" i="5"/>
  <c r="S41" i="5"/>
  <c r="T41" i="5"/>
  <c r="U41" i="5"/>
  <c r="R42" i="5"/>
  <c r="S42" i="5"/>
  <c r="T42" i="5"/>
  <c r="U42" i="5"/>
  <c r="Q38" i="5"/>
  <c r="R38" i="5"/>
  <c r="S38" i="5"/>
  <c r="T38" i="5"/>
  <c r="U38" i="5"/>
  <c r="Q39" i="5"/>
  <c r="R39" i="5"/>
  <c r="S39" i="5"/>
  <c r="T39" i="5"/>
  <c r="U39" i="5"/>
  <c r="T37" i="5"/>
  <c r="U37" i="5"/>
  <c r="F39" i="5"/>
  <c r="F38" i="5"/>
  <c r="F37" i="5"/>
  <c r="J19" i="5"/>
  <c r="G19" i="5"/>
  <c r="I19" i="5"/>
  <c r="D19" i="5"/>
  <c r="H19" i="5"/>
  <c r="T48" i="5" l="1"/>
  <c r="K48" i="5"/>
  <c r="AO48" i="5" s="1"/>
  <c r="R48" i="5"/>
  <c r="U49" i="5"/>
  <c r="S48" i="5"/>
  <c r="K37" i="5"/>
  <c r="T49" i="5"/>
  <c r="S49" i="5"/>
  <c r="U50" i="5"/>
  <c r="R49" i="5"/>
  <c r="AO51" i="5"/>
  <c r="AO50" i="5"/>
  <c r="K52" i="5"/>
  <c r="F53" i="5"/>
  <c r="F48" i="5"/>
  <c r="F50" i="5"/>
  <c r="R7" i="5"/>
  <c r="S7" i="5"/>
  <c r="T7" i="5"/>
  <c r="U7" i="5"/>
  <c r="Q7" i="5"/>
  <c r="R6" i="5"/>
  <c r="S6" i="5"/>
  <c r="T6" i="5"/>
  <c r="U6" i="5"/>
  <c r="Q6" i="5"/>
  <c r="J22" i="5"/>
  <c r="J21" i="5"/>
  <c r="J23" i="5"/>
  <c r="J26" i="5"/>
  <c r="J20" i="5"/>
  <c r="H26" i="5"/>
  <c r="G26" i="5"/>
  <c r="I26" i="5" s="1"/>
  <c r="D26" i="5"/>
  <c r="AK284" i="4"/>
  <c r="AJ301" i="4"/>
  <c r="AU210" i="4"/>
  <c r="AS210" i="4"/>
  <c r="D7" i="3"/>
  <c r="N31" i="3"/>
  <c r="Q4" i="5"/>
  <c r="I42" i="5"/>
  <c r="F40" i="5"/>
  <c r="U51" i="5" l="1"/>
  <c r="T51" i="5"/>
  <c r="F51" i="5"/>
  <c r="J24" i="5"/>
  <c r="S51" i="5"/>
  <c r="Q51" i="5"/>
  <c r="R51" i="5"/>
  <c r="BA37" i="5"/>
  <c r="BG37" i="5" s="1"/>
  <c r="BG57" i="5" s="1"/>
  <c r="BA42" i="5"/>
  <c r="BG42" i="5" s="1"/>
  <c r="BG62" i="5" s="1"/>
  <c r="T4" i="5"/>
  <c r="I38" i="5"/>
  <c r="I39" i="5"/>
  <c r="I40" i="5"/>
  <c r="F41" i="5"/>
  <c r="K42" i="5"/>
  <c r="K7" i="5"/>
  <c r="M6" i="5"/>
  <c r="K6" i="5"/>
  <c r="O5" i="5"/>
  <c r="O6" i="5" s="1"/>
  <c r="N5" i="5"/>
  <c r="N7" i="5" s="1"/>
  <c r="M5" i="5"/>
  <c r="M7" i="5" s="1"/>
  <c r="L5" i="5"/>
  <c r="L7" i="5" s="1"/>
  <c r="O4" i="5"/>
  <c r="N4" i="5"/>
  <c r="M4" i="5"/>
  <c r="L4" i="5"/>
  <c r="G20" i="5"/>
  <c r="I20" i="5" s="1"/>
  <c r="G21" i="5"/>
  <c r="I21" i="5" s="1"/>
  <c r="G22" i="5"/>
  <c r="I22" i="5" s="1"/>
  <c r="G23" i="5"/>
  <c r="I23" i="5" s="1"/>
  <c r="G24" i="5"/>
  <c r="I24" i="5" s="1"/>
  <c r="G25" i="5"/>
  <c r="I25" i="5" s="1"/>
  <c r="D20" i="5"/>
  <c r="H20" i="5" s="1"/>
  <c r="D21" i="5"/>
  <c r="H21" i="5" s="1"/>
  <c r="D22" i="5"/>
  <c r="H22" i="5" s="1"/>
  <c r="D23" i="5"/>
  <c r="H23" i="5" s="1"/>
  <c r="D24" i="5"/>
  <c r="D25" i="5"/>
  <c r="AT207" i="4"/>
  <c r="AP37" i="5" l="1"/>
  <c r="BB37" i="5" s="1"/>
  <c r="BH37" i="5" s="1"/>
  <c r="L53" i="5"/>
  <c r="AP53" i="5" s="1"/>
  <c r="AV53" i="5" s="1"/>
  <c r="BB53" i="5" s="1"/>
  <c r="BH53" i="5" s="1"/>
  <c r="AP42" i="5"/>
  <c r="BB42" i="5" s="1"/>
  <c r="L49" i="5"/>
  <c r="AP49" i="5" s="1"/>
  <c r="AP40" i="5"/>
  <c r="L50" i="5"/>
  <c r="L51" i="5"/>
  <c r="L48" i="5"/>
  <c r="L52" i="5"/>
  <c r="AQ42" i="5"/>
  <c r="BC42" i="5" s="1"/>
  <c r="BO42" i="5" s="1"/>
  <c r="M53" i="5"/>
  <c r="AQ53" i="5" s="1"/>
  <c r="AW53" i="5" s="1"/>
  <c r="BC53" i="5" s="1"/>
  <c r="BI53" i="5" s="1"/>
  <c r="M48" i="5"/>
  <c r="M50" i="5"/>
  <c r="M51" i="5"/>
  <c r="M49" i="5"/>
  <c r="AQ49" i="5" s="1"/>
  <c r="M52" i="5"/>
  <c r="AR37" i="5"/>
  <c r="BD37" i="5" s="1"/>
  <c r="BJ37" i="5" s="1"/>
  <c r="N53" i="5"/>
  <c r="AR53" i="5" s="1"/>
  <c r="AX53" i="5" s="1"/>
  <c r="BD53" i="5" s="1"/>
  <c r="BJ53" i="5" s="1"/>
  <c r="N49" i="5"/>
  <c r="AR49" i="5" s="1"/>
  <c r="N48" i="5"/>
  <c r="N51" i="5"/>
  <c r="N50" i="5"/>
  <c r="N52" i="5"/>
  <c r="L19" i="5"/>
  <c r="Q52" i="5"/>
  <c r="AO41" i="5"/>
  <c r="BA41" i="5" s="1"/>
  <c r="U52" i="5"/>
  <c r="R52" i="5"/>
  <c r="T52" i="5"/>
  <c r="S52" i="5"/>
  <c r="F52" i="5"/>
  <c r="U4" i="5"/>
  <c r="O53" i="5"/>
  <c r="AS53" i="5" s="1"/>
  <c r="AY53" i="5" s="1"/>
  <c r="BE53" i="5" s="1"/>
  <c r="BK53" i="5" s="1"/>
  <c r="O49" i="5"/>
  <c r="AS49" i="5" s="1"/>
  <c r="O50" i="5"/>
  <c r="O48" i="5"/>
  <c r="O51" i="5"/>
  <c r="O52" i="5"/>
  <c r="L37" i="5"/>
  <c r="X37" i="5" s="1"/>
  <c r="AJ37" i="5" s="1"/>
  <c r="AU48" i="5"/>
  <c r="BA48" i="5" s="1"/>
  <c r="BG48" i="5" s="1"/>
  <c r="AS42" i="5"/>
  <c r="BE42" i="5" s="1"/>
  <c r="R4" i="5"/>
  <c r="AR42" i="5"/>
  <c r="BD42" i="5" s="1"/>
  <c r="BM37" i="5"/>
  <c r="BB40" i="5"/>
  <c r="AQ40" i="5"/>
  <c r="BC40" i="5" s="1"/>
  <c r="AO40" i="5"/>
  <c r="BA40" i="5" s="1"/>
  <c r="AU51" i="5" s="1"/>
  <c r="AS40" i="5"/>
  <c r="BE40" i="5" s="1"/>
  <c r="AR40" i="5"/>
  <c r="BD40" i="5" s="1"/>
  <c r="AQ37" i="5"/>
  <c r="BC37" i="5" s="1"/>
  <c r="AQ39" i="5"/>
  <c r="BC39" i="5" s="1"/>
  <c r="AR39" i="5"/>
  <c r="BD39" i="5" s="1"/>
  <c r="AS39" i="5"/>
  <c r="BE39" i="5" s="1"/>
  <c r="AP39" i="5"/>
  <c r="BB39" i="5" s="1"/>
  <c r="AO39" i="5"/>
  <c r="BA39" i="5" s="1"/>
  <c r="AU50" i="5" s="1"/>
  <c r="L39" i="5"/>
  <c r="O42" i="5"/>
  <c r="O37" i="5"/>
  <c r="J25" i="5"/>
  <c r="I41" i="5"/>
  <c r="S4" i="5"/>
  <c r="L25" i="5"/>
  <c r="H25" i="5"/>
  <c r="AP41" i="5"/>
  <c r="BB41" i="5" s="1"/>
  <c r="AQ41" i="5"/>
  <c r="BC41" i="5" s="1"/>
  <c r="AR41" i="5"/>
  <c r="BD41" i="5" s="1"/>
  <c r="AS41" i="5"/>
  <c r="BE41" i="5" s="1"/>
  <c r="N6" i="5"/>
  <c r="L40" i="5"/>
  <c r="X40" i="5" s="1"/>
  <c r="AD40" i="5" s="1"/>
  <c r="AJ61" i="5" s="1"/>
  <c r="AS37" i="5"/>
  <c r="BE37" i="5" s="1"/>
  <c r="O24" i="5"/>
  <c r="H24" i="5"/>
  <c r="K39" i="5"/>
  <c r="BH42" i="5"/>
  <c r="BH62" i="5" s="1"/>
  <c r="BN42" i="5"/>
  <c r="AO38" i="5"/>
  <c r="BA38" i="5" s="1"/>
  <c r="AU49" i="5" s="1"/>
  <c r="AP38" i="5"/>
  <c r="BB38" i="5" s="1"/>
  <c r="AQ38" i="5"/>
  <c r="BC38" i="5" s="1"/>
  <c r="AW49" i="5" s="1"/>
  <c r="AR38" i="5"/>
  <c r="BD38" i="5" s="1"/>
  <c r="AS38" i="5"/>
  <c r="BE38" i="5" s="1"/>
  <c r="AY49" i="5" s="1"/>
  <c r="BM42" i="5"/>
  <c r="K40" i="5"/>
  <c r="O40" i="5"/>
  <c r="N40" i="5"/>
  <c r="W39" i="5"/>
  <c r="W50" i="5" s="1"/>
  <c r="M40" i="5"/>
  <c r="W42" i="5"/>
  <c r="W53" i="5" s="1"/>
  <c r="O7" i="5"/>
  <c r="O21" i="5"/>
  <c r="K38" i="5"/>
  <c r="M39" i="5"/>
  <c r="L23" i="5"/>
  <c r="O22" i="5"/>
  <c r="K23" i="5"/>
  <c r="M38" i="5"/>
  <c r="O20" i="5"/>
  <c r="L26" i="5"/>
  <c r="N20" i="5"/>
  <c r="N37" i="5"/>
  <c r="L38" i="5"/>
  <c r="L6" i="5"/>
  <c r="O38" i="5"/>
  <c r="N38" i="5"/>
  <c r="L21" i="5"/>
  <c r="L41" i="5"/>
  <c r="L42" i="5"/>
  <c r="N42" i="5"/>
  <c r="M42" i="5"/>
  <c r="N39" i="5"/>
  <c r="O39" i="5"/>
  <c r="K41" i="5"/>
  <c r="O41" i="5"/>
  <c r="N41" i="5"/>
  <c r="M41" i="5"/>
  <c r="K20" i="5"/>
  <c r="K26" i="5"/>
  <c r="L24" i="5"/>
  <c r="O26" i="5"/>
  <c r="L20" i="5"/>
  <c r="N24" i="5"/>
  <c r="O23" i="5"/>
  <c r="N26" i="5"/>
  <c r="K21" i="5"/>
  <c r="N22" i="5"/>
  <c r="M26" i="5"/>
  <c r="L22" i="5"/>
  <c r="K22" i="5"/>
  <c r="M24" i="5"/>
  <c r="M22" i="5"/>
  <c r="M20" i="5"/>
  <c r="O19" i="5"/>
  <c r="O25" i="5"/>
  <c r="N23" i="5"/>
  <c r="N21" i="5"/>
  <c r="N19" i="5"/>
  <c r="K19" i="5"/>
  <c r="N25" i="5"/>
  <c r="M23" i="5"/>
  <c r="M21" i="5"/>
  <c r="M19" i="5"/>
  <c r="K25" i="5"/>
  <c r="M25" i="5"/>
  <c r="K24" i="5"/>
  <c r="AJ224" i="4"/>
  <c r="AK307" i="4"/>
  <c r="AK306" i="4"/>
  <c r="AJ276" i="4"/>
  <c r="AI306" i="4"/>
  <c r="AQ262" i="4"/>
  <c r="AP287" i="4"/>
  <c r="AQ287" i="4"/>
  <c r="AR287" i="4" s="1"/>
  <c r="AI312" i="4"/>
  <c r="AJ312" i="4"/>
  <c r="AR285" i="4"/>
  <c r="AR286" i="4"/>
  <c r="BJ277" i="4"/>
  <c r="BJ278" i="4"/>
  <c r="BJ279" i="4"/>
  <c r="BJ276" i="4"/>
  <c r="BJ269" i="4"/>
  <c r="BJ270" i="4"/>
  <c r="BJ271" i="4"/>
  <c r="BI268" i="4"/>
  <c r="AI344" i="4" s="1"/>
  <c r="AK344" i="4" s="1"/>
  <c r="AM344" i="4" s="1"/>
  <c r="BJ268" i="4"/>
  <c r="AJ344" i="4" s="1"/>
  <c r="BJ259" i="4"/>
  <c r="BJ260" i="4"/>
  <c r="BJ261" i="4"/>
  <c r="BJ262" i="4"/>
  <c r="BJ258" i="4"/>
  <c r="BJ251" i="4"/>
  <c r="BJ252" i="4"/>
  <c r="BJ253" i="4"/>
  <c r="BJ250" i="4"/>
  <c r="AJ342" i="4" s="1"/>
  <c r="BJ243" i="4"/>
  <c r="BJ244" i="4"/>
  <c r="BJ245" i="4"/>
  <c r="BJ242" i="4"/>
  <c r="BJ234" i="4"/>
  <c r="BJ235" i="4"/>
  <c r="BJ236" i="4"/>
  <c r="BJ233" i="4"/>
  <c r="BJ225" i="4"/>
  <c r="BJ226" i="4"/>
  <c r="BJ227" i="4"/>
  <c r="BJ224" i="4"/>
  <c r="AJ339" i="4" s="1"/>
  <c r="BJ285" i="4"/>
  <c r="BJ286" i="4"/>
  <c r="BJ287" i="4"/>
  <c r="BD285" i="4"/>
  <c r="BD286" i="4"/>
  <c r="BD287" i="4"/>
  <c r="BD277" i="4"/>
  <c r="BD278" i="4"/>
  <c r="BD279" i="4"/>
  <c r="BD276" i="4"/>
  <c r="AJ334" i="4" s="1"/>
  <c r="BD269" i="4"/>
  <c r="BD270" i="4"/>
  <c r="BD271" i="4"/>
  <c r="BD268" i="4"/>
  <c r="BD259" i="4"/>
  <c r="BD260" i="4"/>
  <c r="BD261" i="4"/>
  <c r="BD262" i="4"/>
  <c r="AJ332" i="4" s="1"/>
  <c r="BD258" i="4"/>
  <c r="BD251" i="4"/>
  <c r="BD252" i="4"/>
  <c r="BD253" i="4"/>
  <c r="BD250" i="4"/>
  <c r="BD243" i="4"/>
  <c r="BD244" i="4"/>
  <c r="BD245" i="4"/>
  <c r="BD242" i="4"/>
  <c r="AJ341" i="4" s="1"/>
  <c r="BC251" i="4"/>
  <c r="BD234" i="4"/>
  <c r="BD235" i="4"/>
  <c r="BD236" i="4"/>
  <c r="BD233" i="4"/>
  <c r="BD225" i="4"/>
  <c r="BD226" i="4"/>
  <c r="BD227" i="4"/>
  <c r="BD224" i="4"/>
  <c r="AX285" i="4"/>
  <c r="AX286" i="4"/>
  <c r="AX287" i="4"/>
  <c r="AX277" i="4"/>
  <c r="AX278" i="4"/>
  <c r="AX279" i="4"/>
  <c r="AX276" i="4"/>
  <c r="AX269" i="4"/>
  <c r="AX270" i="4"/>
  <c r="AX271" i="4"/>
  <c r="AX268" i="4"/>
  <c r="AJ322" i="4" s="1"/>
  <c r="AX259" i="4"/>
  <c r="AX260" i="4"/>
  <c r="AX261" i="4"/>
  <c r="AX262" i="4"/>
  <c r="AX258" i="4"/>
  <c r="AJ321" i="4" s="1"/>
  <c r="AK345" i="4" s="1"/>
  <c r="AX251" i="4"/>
  <c r="AX252" i="4"/>
  <c r="AX253" i="4"/>
  <c r="AX250" i="4"/>
  <c r="AX243" i="4"/>
  <c r="AX244" i="4"/>
  <c r="AX245" i="4"/>
  <c r="AX242" i="4"/>
  <c r="AJ319" i="4" s="1"/>
  <c r="AX234" i="4"/>
  <c r="AX235" i="4"/>
  <c r="AX236" i="4"/>
  <c r="AX233" i="4"/>
  <c r="AX225" i="4"/>
  <c r="AX226" i="4"/>
  <c r="AX227" i="4"/>
  <c r="AX224" i="4"/>
  <c r="AJ317" i="4" s="1"/>
  <c r="AR277" i="4"/>
  <c r="AR278" i="4"/>
  <c r="AR279" i="4"/>
  <c r="AR276" i="4"/>
  <c r="AR269" i="4"/>
  <c r="AR270" i="4"/>
  <c r="AR271" i="4"/>
  <c r="AR268" i="4"/>
  <c r="AJ311" i="4" s="1"/>
  <c r="AR259" i="4"/>
  <c r="AR260" i="4"/>
  <c r="AR261" i="4"/>
  <c r="AR262" i="4"/>
  <c r="AR258" i="4"/>
  <c r="AR251" i="4"/>
  <c r="AR252" i="4"/>
  <c r="AR253" i="4"/>
  <c r="AR250" i="4"/>
  <c r="AJ309" i="4" s="1"/>
  <c r="AR243" i="4"/>
  <c r="AR244" i="4"/>
  <c r="AR245" i="4"/>
  <c r="AR242" i="4"/>
  <c r="AR234" i="4"/>
  <c r="AR235" i="4"/>
  <c r="AR236" i="4"/>
  <c r="AR233" i="4"/>
  <c r="AR225" i="4"/>
  <c r="AR226" i="4"/>
  <c r="AR227" i="4"/>
  <c r="AR224" i="4"/>
  <c r="AK285" i="4"/>
  <c r="AK286" i="4"/>
  <c r="AK287" i="4"/>
  <c r="AK277" i="4"/>
  <c r="AK278" i="4"/>
  <c r="AK279" i="4"/>
  <c r="AK276" i="4"/>
  <c r="AK269" i="4"/>
  <c r="AK270" i="4"/>
  <c r="AK271" i="4"/>
  <c r="AK268" i="4"/>
  <c r="AK259" i="4"/>
  <c r="AK260" i="4"/>
  <c r="AK261" i="4"/>
  <c r="AK262" i="4"/>
  <c r="AK258" i="4"/>
  <c r="AK251" i="4"/>
  <c r="AJ297" i="4" s="1"/>
  <c r="AK252" i="4"/>
  <c r="AK253" i="4"/>
  <c r="AK250" i="4"/>
  <c r="AK225" i="4"/>
  <c r="AK226" i="4"/>
  <c r="AK227" i="4"/>
  <c r="AJ234" i="4"/>
  <c r="AI234" i="4"/>
  <c r="AK234" i="4"/>
  <c r="AK235" i="4"/>
  <c r="AK236" i="4"/>
  <c r="AK233" i="4"/>
  <c r="AK243" i="4"/>
  <c r="AK244" i="4"/>
  <c r="AK245" i="4"/>
  <c r="AK242" i="4"/>
  <c r="D70" i="2"/>
  <c r="AO301" i="4"/>
  <c r="AO298" i="4"/>
  <c r="AO324" i="4"/>
  <c r="AO321" i="4"/>
  <c r="AO313" i="4"/>
  <c r="AO310" i="4"/>
  <c r="AO346" i="4"/>
  <c r="AO343" i="4"/>
  <c r="AM345" i="4"/>
  <c r="AL345" i="4"/>
  <c r="AN345" i="4" s="1"/>
  <c r="AN344" i="4"/>
  <c r="AL344" i="4"/>
  <c r="AN343" i="4"/>
  <c r="AM343" i="4"/>
  <c r="AL343" i="4"/>
  <c r="AP342" i="4"/>
  <c r="AM342" i="4" s="1"/>
  <c r="AN342" i="4"/>
  <c r="AL342" i="4"/>
  <c r="AN341" i="4"/>
  <c r="AM341" i="4"/>
  <c r="AL341" i="4"/>
  <c r="AP340" i="4"/>
  <c r="AN340" i="4" s="1"/>
  <c r="AM340" i="4"/>
  <c r="AL340" i="4"/>
  <c r="AM339" i="4"/>
  <c r="AL339" i="4"/>
  <c r="AN339" i="4" s="1"/>
  <c r="AO335" i="4"/>
  <c r="AN334" i="4"/>
  <c r="AM334" i="4"/>
  <c r="AL334" i="4"/>
  <c r="AN333" i="4"/>
  <c r="AM333" i="4"/>
  <c r="AL333" i="4"/>
  <c r="AO332" i="4"/>
  <c r="AN332" i="4"/>
  <c r="AM332" i="4"/>
  <c r="AL332" i="4"/>
  <c r="AP331" i="4"/>
  <c r="AN331" i="4"/>
  <c r="AL331" i="4"/>
  <c r="AM330" i="4"/>
  <c r="AL330" i="4"/>
  <c r="AN330" i="4" s="1"/>
  <c r="AP329" i="4"/>
  <c r="AM329" i="4"/>
  <c r="AL329" i="4"/>
  <c r="AN329" i="4" s="1"/>
  <c r="AM328" i="4"/>
  <c r="AL328" i="4"/>
  <c r="AN328" i="4" s="1"/>
  <c r="AM323" i="4"/>
  <c r="AL323" i="4"/>
  <c r="AN323" i="4" s="1"/>
  <c r="AN322" i="4"/>
  <c r="AM322" i="4"/>
  <c r="AL322" i="4"/>
  <c r="AN321" i="4"/>
  <c r="AM321" i="4"/>
  <c r="AL321" i="4"/>
  <c r="AP320" i="4"/>
  <c r="AN320" i="4"/>
  <c r="AM320" i="4"/>
  <c r="AL320" i="4"/>
  <c r="AM319" i="4"/>
  <c r="AL319" i="4"/>
  <c r="AN319" i="4" s="1"/>
  <c r="AP318" i="4"/>
  <c r="AN318" i="4"/>
  <c r="AM318" i="4"/>
  <c r="AL318" i="4"/>
  <c r="AM317" i="4"/>
  <c r="AL317" i="4"/>
  <c r="AN317" i="4" s="1"/>
  <c r="AL312" i="4"/>
  <c r="AN312" i="4" s="1"/>
  <c r="AN311" i="4"/>
  <c r="AM311" i="4"/>
  <c r="AL311" i="4"/>
  <c r="AN310" i="4"/>
  <c r="AM310" i="4"/>
  <c r="AL310" i="4"/>
  <c r="AP309" i="4"/>
  <c r="AM309" i="4" s="1"/>
  <c r="AN309" i="4"/>
  <c r="AL309" i="4"/>
  <c r="AN308" i="4"/>
  <c r="AM308" i="4"/>
  <c r="AL308" i="4"/>
  <c r="AP307" i="4"/>
  <c r="AN307" i="4"/>
  <c r="AM307" i="4"/>
  <c r="AL307" i="4"/>
  <c r="AL306" i="4"/>
  <c r="AN306" i="4" s="1"/>
  <c r="AN295" i="4"/>
  <c r="AN296" i="4"/>
  <c r="AN297" i="4"/>
  <c r="AN298" i="4"/>
  <c r="AN299" i="4"/>
  <c r="AN300" i="4"/>
  <c r="AM295" i="4"/>
  <c r="AM296" i="4"/>
  <c r="AM297" i="4"/>
  <c r="AM298" i="4"/>
  <c r="AM299" i="4"/>
  <c r="AP297" i="4"/>
  <c r="AP295" i="4"/>
  <c r="AL295" i="4"/>
  <c r="AL296" i="4"/>
  <c r="AL297" i="4"/>
  <c r="AL298" i="4"/>
  <c r="AL299" i="4"/>
  <c r="AL300" i="4"/>
  <c r="AI345" i="4"/>
  <c r="AJ345" i="4"/>
  <c r="AI343" i="4"/>
  <c r="AJ343" i="4"/>
  <c r="AI342" i="4"/>
  <c r="AI341" i="4"/>
  <c r="AI340" i="4"/>
  <c r="AJ340" i="4"/>
  <c r="AI339" i="4"/>
  <c r="AK339" i="4" s="1"/>
  <c r="AH345" i="4"/>
  <c r="AH344" i="4"/>
  <c r="AH343" i="4"/>
  <c r="AH342" i="4"/>
  <c r="AH341" i="4"/>
  <c r="AH340" i="4"/>
  <c r="AH339" i="4"/>
  <c r="AI334" i="4"/>
  <c r="AI333" i="4"/>
  <c r="AJ333" i="4"/>
  <c r="AI332" i="4"/>
  <c r="AK332" i="4" s="1"/>
  <c r="AI330" i="4"/>
  <c r="AJ330" i="4"/>
  <c r="AI329" i="4"/>
  <c r="AJ329" i="4"/>
  <c r="AH335" i="4"/>
  <c r="AL335" i="4" s="1"/>
  <c r="AN335" i="4" s="1"/>
  <c r="AH334" i="4"/>
  <c r="AH333" i="4"/>
  <c r="AH332" i="4"/>
  <c r="AH331" i="4"/>
  <c r="AH330" i="4"/>
  <c r="AH329" i="4"/>
  <c r="AK329" i="4"/>
  <c r="AK330" i="4"/>
  <c r="AK333" i="4"/>
  <c r="AK334" i="4"/>
  <c r="AI328" i="4"/>
  <c r="AJ328" i="4"/>
  <c r="AH328" i="4"/>
  <c r="AK328" i="4"/>
  <c r="AI323" i="4"/>
  <c r="AJ323" i="4"/>
  <c r="AI322" i="4"/>
  <c r="AI321" i="4"/>
  <c r="AK321" i="4" s="1"/>
  <c r="AI320" i="4"/>
  <c r="AJ320" i="4"/>
  <c r="AI319" i="4"/>
  <c r="AI318" i="4"/>
  <c r="AJ318" i="4"/>
  <c r="AI317" i="4"/>
  <c r="AH323" i="4"/>
  <c r="AH322" i="4"/>
  <c r="AH321" i="4"/>
  <c r="AH320" i="4"/>
  <c r="AH319" i="4"/>
  <c r="AH318" i="4"/>
  <c r="AH317" i="4"/>
  <c r="AH313" i="4"/>
  <c r="AL313" i="4" s="1"/>
  <c r="AN313" i="4" s="1"/>
  <c r="AH312" i="4"/>
  <c r="AP269" i="4"/>
  <c r="AI311" i="4"/>
  <c r="AK311" i="4" s="1"/>
  <c r="AH311" i="4"/>
  <c r="AQ242" i="4"/>
  <c r="AM306" i="4" s="1"/>
  <c r="AI307" i="4"/>
  <c r="AI309" i="4"/>
  <c r="AK309" i="4" s="1"/>
  <c r="AH309" i="4"/>
  <c r="AI310" i="4"/>
  <c r="AI308" i="4"/>
  <c r="AK308" i="4" s="1"/>
  <c r="AH308" i="4"/>
  <c r="AJ307" i="4"/>
  <c r="AH307" i="4"/>
  <c r="AH306" i="4"/>
  <c r="AK343" i="4"/>
  <c r="AK342" i="4"/>
  <c r="AK340" i="4"/>
  <c r="AK323" i="4"/>
  <c r="AK322" i="4"/>
  <c r="AK320" i="4"/>
  <c r="AK319" i="4"/>
  <c r="AK318" i="4"/>
  <c r="AK317" i="4"/>
  <c r="AK310" i="4"/>
  <c r="AI297" i="4"/>
  <c r="AI296" i="4"/>
  <c r="AK296" i="4" s="1"/>
  <c r="AH297" i="4"/>
  <c r="AH296" i="4"/>
  <c r="AI300" i="4"/>
  <c r="AJ300" i="4"/>
  <c r="AH300" i="4"/>
  <c r="AI299" i="4"/>
  <c r="AH299" i="4"/>
  <c r="AI298" i="4"/>
  <c r="AK298" i="4" s="1"/>
  <c r="AS203" i="4"/>
  <c r="AI295" i="4"/>
  <c r="AJ295" i="4"/>
  <c r="AH295" i="4"/>
  <c r="AK297" i="4"/>
  <c r="AK299" i="4"/>
  <c r="AK300" i="4"/>
  <c r="AM300" i="4" s="1"/>
  <c r="AJ296" i="4"/>
  <c r="AK295" i="4"/>
  <c r="AI294" i="4"/>
  <c r="AK294" i="4" s="1"/>
  <c r="AM294" i="4" s="1"/>
  <c r="AT203" i="4"/>
  <c r="BI284" i="4"/>
  <c r="BH284" i="4"/>
  <c r="AH346" i="4" s="1"/>
  <c r="AL346" i="4" s="1"/>
  <c r="AN346" i="4" s="1"/>
  <c r="BC284" i="4"/>
  <c r="AW284" i="4"/>
  <c r="BB284" i="4"/>
  <c r="AV284" i="4"/>
  <c r="AH324" i="4" s="1"/>
  <c r="AL324" i="4" s="1"/>
  <c r="AN324" i="4" s="1"/>
  <c r="AQ284" i="4"/>
  <c r="AI313" i="4" s="1"/>
  <c r="AK313" i="4" s="1"/>
  <c r="AM313" i="4" s="1"/>
  <c r="AP284" i="4"/>
  <c r="AJ284" i="4"/>
  <c r="AI301" i="4" s="1"/>
  <c r="AK301" i="4" s="1"/>
  <c r="AM301" i="4" s="1"/>
  <c r="AI284" i="4"/>
  <c r="AH301" i="4" s="1"/>
  <c r="AL301" i="4" s="1"/>
  <c r="AN301" i="4" s="1"/>
  <c r="BI276" i="4"/>
  <c r="BC276" i="4"/>
  <c r="AW276" i="4"/>
  <c r="AQ276" i="4"/>
  <c r="BC268" i="4"/>
  <c r="AW268" i="4"/>
  <c r="AQ268" i="4"/>
  <c r="AJ268" i="4"/>
  <c r="AJ262" i="4"/>
  <c r="AI262" i="4"/>
  <c r="BC262" i="4"/>
  <c r="BB262" i="4"/>
  <c r="BC227" i="4"/>
  <c r="BC226" i="4"/>
  <c r="BB227" i="4"/>
  <c r="BB226" i="4"/>
  <c r="AW262" i="4"/>
  <c r="AV262" i="4"/>
  <c r="AV227" i="4"/>
  <c r="AV226" i="4"/>
  <c r="AW226" i="4" s="1"/>
  <c r="AP262" i="4"/>
  <c r="AQ227" i="4"/>
  <c r="AQ226" i="4"/>
  <c r="AP227" i="4"/>
  <c r="AP226" i="4"/>
  <c r="AV209" i="4"/>
  <c r="BH277" i="4" s="1"/>
  <c r="AV204" i="4"/>
  <c r="BB234" i="4" s="1"/>
  <c r="AV205" i="4"/>
  <c r="BH243" i="4" s="1"/>
  <c r="AV206" i="4"/>
  <c r="BH251" i="4" s="1"/>
  <c r="AV207" i="4"/>
  <c r="AI259" i="4" s="1"/>
  <c r="AV208" i="4"/>
  <c r="BB269" i="4" s="1"/>
  <c r="AV203" i="4"/>
  <c r="BB225" i="4" s="1"/>
  <c r="AU204" i="4"/>
  <c r="BH233" i="4" s="1"/>
  <c r="AU205" i="4"/>
  <c r="AI242" i="4" s="1"/>
  <c r="AU206" i="4"/>
  <c r="BH250" i="4" s="1"/>
  <c r="AU207" i="4"/>
  <c r="AI258" i="4" s="1"/>
  <c r="AH298" i="4" s="1"/>
  <c r="AU208" i="4"/>
  <c r="AP268" i="4" s="1"/>
  <c r="AU209" i="4"/>
  <c r="BH276" i="4" s="1"/>
  <c r="AU203" i="4"/>
  <c r="AV224" i="4" s="1"/>
  <c r="AT204" i="4"/>
  <c r="BI234" i="4" s="1"/>
  <c r="AT205" i="4"/>
  <c r="BI243" i="4" s="1"/>
  <c r="AT206" i="4"/>
  <c r="AW251" i="4" s="1"/>
  <c r="BI259" i="4"/>
  <c r="AT208" i="4"/>
  <c r="BI269" i="4" s="1"/>
  <c r="AT209" i="4"/>
  <c r="BI277" i="4" s="1"/>
  <c r="BC225" i="4"/>
  <c r="AS204" i="4"/>
  <c r="AJ233" i="4" s="1"/>
  <c r="AS205" i="4"/>
  <c r="BI242" i="4" s="1"/>
  <c r="AS206" i="4"/>
  <c r="AW250" i="4" s="1"/>
  <c r="AS207" i="4"/>
  <c r="BI258" i="4" s="1"/>
  <c r="AS208" i="4"/>
  <c r="AS209" i="4"/>
  <c r="BC250" i="4"/>
  <c r="AI331" i="4" s="1"/>
  <c r="AK331" i="4" s="1"/>
  <c r="AM331" i="4" s="1"/>
  <c r="AI236" i="4"/>
  <c r="AI235" i="4"/>
  <c r="AI226" i="4"/>
  <c r="AJ227" i="4"/>
  <c r="AJ226" i="4"/>
  <c r="AI227" i="4"/>
  <c r="AH217" i="4"/>
  <c r="AO204" i="4"/>
  <c r="AL204" i="4"/>
  <c r="AK199" i="4"/>
  <c r="AK197" i="4" s="1"/>
  <c r="AH199" i="4"/>
  <c r="AH198" i="4" s="1"/>
  <c r="AN198" i="4"/>
  <c r="AM198" i="4"/>
  <c r="AL198" i="4"/>
  <c r="AK198" i="4"/>
  <c r="AJ198" i="4"/>
  <c r="AI198" i="4"/>
  <c r="AN197" i="4"/>
  <c r="AM197" i="4"/>
  <c r="AL197" i="4"/>
  <c r="AJ197" i="4"/>
  <c r="AI197" i="4"/>
  <c r="AH197" i="4"/>
  <c r="AO196" i="4"/>
  <c r="AO198" i="4" s="1"/>
  <c r="AC226" i="4"/>
  <c r="AC218" i="4"/>
  <c r="AC219" i="4" s="1"/>
  <c r="AC197" i="4"/>
  <c r="AC196" i="4"/>
  <c r="AC204" i="4"/>
  <c r="AC203" i="4"/>
  <c r="AC212" i="4"/>
  <c r="AC211" i="4"/>
  <c r="AA187" i="4"/>
  <c r="AG187" i="4"/>
  <c r="AE187" i="4"/>
  <c r="AC187" i="4"/>
  <c r="AU44" i="4"/>
  <c r="AQ44" i="4"/>
  <c r="AS32" i="4"/>
  <c r="AS30" i="4"/>
  <c r="AS26" i="4"/>
  <c r="AS24" i="4"/>
  <c r="AS22" i="4"/>
  <c r="AS18" i="4"/>
  <c r="AS16" i="4"/>
  <c r="AS14" i="4"/>
  <c r="AS10" i="4"/>
  <c r="AS8" i="4"/>
  <c r="AS4" i="4"/>
  <c r="Y74" i="4"/>
  <c r="AD74" i="4"/>
  <c r="AC74" i="4"/>
  <c r="AL84" i="4"/>
  <c r="N34" i="3"/>
  <c r="N33" i="3"/>
  <c r="N32" i="3"/>
  <c r="G15" i="3"/>
  <c r="G16" i="3"/>
  <c r="G17" i="3"/>
  <c r="G14" i="3"/>
  <c r="F59" i="2"/>
  <c r="G59" i="2"/>
  <c r="H59" i="2"/>
  <c r="I59" i="2"/>
  <c r="J59" i="2"/>
  <c r="K59" i="2"/>
  <c r="E59" i="2"/>
  <c r="F47" i="2"/>
  <c r="G47" i="2"/>
  <c r="H47" i="2"/>
  <c r="I47" i="2"/>
  <c r="J47" i="2"/>
  <c r="K47" i="2"/>
  <c r="E47" i="2"/>
  <c r="F60" i="2"/>
  <c r="G60" i="2"/>
  <c r="H60" i="2"/>
  <c r="I60" i="2"/>
  <c r="J60" i="2"/>
  <c r="K60" i="2"/>
  <c r="E60" i="2"/>
  <c r="J48" i="2"/>
  <c r="K48" i="2"/>
  <c r="F48" i="2"/>
  <c r="G48" i="2"/>
  <c r="H48" i="2"/>
  <c r="I48" i="2"/>
  <c r="E48" i="2"/>
  <c r="F56" i="2"/>
  <c r="G56" i="2"/>
  <c r="I56" i="2"/>
  <c r="I57" i="2" s="1"/>
  <c r="J56" i="2"/>
  <c r="K56" i="2"/>
  <c r="L56" i="2"/>
  <c r="L57" i="2" s="1"/>
  <c r="F44" i="2"/>
  <c r="G44" i="2"/>
  <c r="I44" i="2"/>
  <c r="J44" i="2"/>
  <c r="J45" i="2" s="1"/>
  <c r="K44" i="2"/>
  <c r="L44" i="2"/>
  <c r="L45" i="2" s="1"/>
  <c r="L31" i="2"/>
  <c r="L32" i="2" s="1"/>
  <c r="L63" i="2"/>
  <c r="I63" i="2"/>
  <c r="L51" i="2"/>
  <c r="I51" i="2"/>
  <c r="L27" i="2"/>
  <c r="I27" i="2"/>
  <c r="L39" i="2"/>
  <c r="I39" i="2"/>
  <c r="F20" i="2"/>
  <c r="G20" i="2"/>
  <c r="I20" i="2"/>
  <c r="J20" i="2"/>
  <c r="K20" i="2"/>
  <c r="M32" i="3"/>
  <c r="M33" i="3"/>
  <c r="M34" i="3"/>
  <c r="M31" i="3"/>
  <c r="F15" i="3"/>
  <c r="F16" i="3"/>
  <c r="F17" i="3"/>
  <c r="F14" i="3"/>
  <c r="D15" i="3"/>
  <c r="D16" i="3"/>
  <c r="D17" i="3"/>
  <c r="D14" i="3"/>
  <c r="C15" i="3"/>
  <c r="C16" i="3"/>
  <c r="C17" i="3"/>
  <c r="C14" i="3"/>
  <c r="E15" i="3"/>
  <c r="E16" i="3"/>
  <c r="E17" i="3"/>
  <c r="E14" i="3"/>
  <c r="F32" i="2"/>
  <c r="G32" i="2"/>
  <c r="I32" i="2"/>
  <c r="J32" i="2"/>
  <c r="K32" i="2"/>
  <c r="F21" i="2"/>
  <c r="G21" i="2"/>
  <c r="I21" i="2"/>
  <c r="J21" i="2"/>
  <c r="K21" i="2"/>
  <c r="L19" i="2"/>
  <c r="L21" i="2" s="1"/>
  <c r="F33" i="2"/>
  <c r="I33" i="2"/>
  <c r="J33" i="2"/>
  <c r="K33" i="2"/>
  <c r="R24" i="3"/>
  <c r="R23" i="3"/>
  <c r="U23" i="3"/>
  <c r="D88" i="2"/>
  <c r="D96" i="2" s="1"/>
  <c r="D89" i="2"/>
  <c r="D97" i="2" s="1"/>
  <c r="D90" i="2"/>
  <c r="D98" i="2" s="1"/>
  <c r="D87" i="2"/>
  <c r="D95" i="2" s="1"/>
  <c r="D80" i="2"/>
  <c r="D81" i="2"/>
  <c r="D82" i="2"/>
  <c r="D79" i="2"/>
  <c r="D71" i="2"/>
  <c r="D72" i="2"/>
  <c r="D73" i="2"/>
  <c r="Y25" i="3"/>
  <c r="Y26" i="3"/>
  <c r="X24" i="3"/>
  <c r="Y24" i="3" s="1"/>
  <c r="X25" i="3"/>
  <c r="X26" i="3"/>
  <c r="X23" i="3"/>
  <c r="Y23" i="3" s="1"/>
  <c r="V23" i="3"/>
  <c r="V24" i="3"/>
  <c r="V25" i="3"/>
  <c r="V26" i="3"/>
  <c r="W23" i="3"/>
  <c r="W24" i="3"/>
  <c r="W25" i="3"/>
  <c r="W26" i="3"/>
  <c r="R26" i="3"/>
  <c r="R25" i="3"/>
  <c r="U25" i="3" s="1"/>
  <c r="J17" i="3"/>
  <c r="BN37" i="5" l="1"/>
  <c r="BJ57" i="5"/>
  <c r="BH57" i="5"/>
  <c r="BI42" i="5"/>
  <c r="BI62" i="5" s="1"/>
  <c r="AS51" i="5"/>
  <c r="AY51" i="5" s="1"/>
  <c r="BE51" i="5" s="1"/>
  <c r="BK51" i="5" s="1"/>
  <c r="AA51" i="5"/>
  <c r="AR52" i="5"/>
  <c r="AX52" i="5" s="1"/>
  <c r="BD52" i="5" s="1"/>
  <c r="BJ52" i="5" s="1"/>
  <c r="X48" i="5"/>
  <c r="AP48" i="5"/>
  <c r="AV48" i="5" s="1"/>
  <c r="BB48" i="5" s="1"/>
  <c r="BH48" i="5" s="1"/>
  <c r="AQ52" i="5"/>
  <c r="AW52" i="5" s="1"/>
  <c r="Y52" i="5"/>
  <c r="AV49" i="5"/>
  <c r="AS48" i="5"/>
  <c r="AY48" i="5" s="1"/>
  <c r="AR50" i="5"/>
  <c r="AX50" i="5" s="1"/>
  <c r="BD50" i="5" s="1"/>
  <c r="BJ50" i="5" s="1"/>
  <c r="AP51" i="5"/>
  <c r="AV51" i="5" s="1"/>
  <c r="X51" i="5"/>
  <c r="AD51" i="5" s="1"/>
  <c r="AJ51" i="5" s="1"/>
  <c r="AA50" i="5"/>
  <c r="AS50" i="5"/>
  <c r="AY50" i="5" s="1"/>
  <c r="BE50" i="5" s="1"/>
  <c r="BK50" i="5" s="1"/>
  <c r="AR51" i="5"/>
  <c r="AX51" i="5" s="1"/>
  <c r="AQ51" i="5"/>
  <c r="AW51" i="5" s="1"/>
  <c r="AP50" i="5"/>
  <c r="AV50" i="5" s="1"/>
  <c r="BP37" i="5"/>
  <c r="AR48" i="5"/>
  <c r="AX48" i="5" s="1"/>
  <c r="BD48" i="5" s="1"/>
  <c r="BJ48" i="5" s="1"/>
  <c r="AQ50" i="5"/>
  <c r="AW50" i="5" s="1"/>
  <c r="AQ48" i="5"/>
  <c r="AW48" i="5" s="1"/>
  <c r="AX49" i="5"/>
  <c r="AA52" i="5"/>
  <c r="AS52" i="5"/>
  <c r="AY52" i="5" s="1"/>
  <c r="AP52" i="5"/>
  <c r="AV52" i="5" s="1"/>
  <c r="BB52" i="5" s="1"/>
  <c r="BH52" i="5" s="1"/>
  <c r="AI42" i="5"/>
  <c r="AA42" i="5"/>
  <c r="BJ38" i="5"/>
  <c r="BJ58" i="5" s="1"/>
  <c r="BP38" i="5"/>
  <c r="BG41" i="5"/>
  <c r="BG61" i="5" s="1"/>
  <c r="BM41" i="5"/>
  <c r="BK40" i="5"/>
  <c r="BK60" i="5" s="1"/>
  <c r="BQ40" i="5"/>
  <c r="BK42" i="5"/>
  <c r="BK62" i="5" s="1"/>
  <c r="BQ42" i="5"/>
  <c r="BJ40" i="5"/>
  <c r="BJ60" i="5" s="1"/>
  <c r="BP40" i="5"/>
  <c r="BI38" i="5"/>
  <c r="BI58" i="5" s="1"/>
  <c r="BO38" i="5"/>
  <c r="BK37" i="5"/>
  <c r="BK57" i="5" s="1"/>
  <c r="BQ37" i="5"/>
  <c r="BM39" i="5"/>
  <c r="BG39" i="5"/>
  <c r="BG59" i="5" s="1"/>
  <c r="BG40" i="5"/>
  <c r="BG60" i="5" s="1"/>
  <c r="BM40" i="5"/>
  <c r="BK38" i="5"/>
  <c r="BK58" i="5" s="1"/>
  <c r="BQ38" i="5"/>
  <c r="BH41" i="5"/>
  <c r="BH61" i="5" s="1"/>
  <c r="BN41" i="5"/>
  <c r="BH38" i="5"/>
  <c r="BH58" i="5" s="1"/>
  <c r="BN38" i="5"/>
  <c r="BH39" i="5"/>
  <c r="BH59" i="5" s="1"/>
  <c r="BN39" i="5"/>
  <c r="BI40" i="5"/>
  <c r="BI60" i="5" s="1"/>
  <c r="BO40" i="5"/>
  <c r="BG38" i="5"/>
  <c r="BG58" i="5" s="1"/>
  <c r="BM38" i="5"/>
  <c r="BK39" i="5"/>
  <c r="BK59" i="5" s="1"/>
  <c r="BQ39" i="5"/>
  <c r="BH40" i="5"/>
  <c r="BH60" i="5" s="1"/>
  <c r="BN40" i="5"/>
  <c r="BK41" i="5"/>
  <c r="BK61" i="5" s="1"/>
  <c r="BQ41" i="5"/>
  <c r="BJ39" i="5"/>
  <c r="BJ59" i="5" s="1"/>
  <c r="BP39" i="5"/>
  <c r="BJ41" i="5"/>
  <c r="BJ61" i="5" s="1"/>
  <c r="BP41" i="5"/>
  <c r="BI39" i="5"/>
  <c r="BI59" i="5" s="1"/>
  <c r="BO39" i="5"/>
  <c r="BI41" i="5"/>
  <c r="BI61" i="5" s="1"/>
  <c r="BO41" i="5"/>
  <c r="BI37" i="5"/>
  <c r="BO37" i="5"/>
  <c r="BJ42" i="5"/>
  <c r="BJ62" i="5" s="1"/>
  <c r="BP42" i="5"/>
  <c r="BJ284" i="4"/>
  <c r="AJ346" i="4" s="1"/>
  <c r="AX284" i="4"/>
  <c r="AJ324" i="4" s="1"/>
  <c r="BD284" i="4"/>
  <c r="AJ335" i="4" s="1"/>
  <c r="AI346" i="4"/>
  <c r="AI335" i="4"/>
  <c r="AK335" i="4" s="1"/>
  <c r="AM335" i="4" s="1"/>
  <c r="AR284" i="4"/>
  <c r="AJ313" i="4" s="1"/>
  <c r="AI324" i="4"/>
  <c r="AJ40" i="5"/>
  <c r="AC39" i="5"/>
  <c r="AI60" i="5" s="1"/>
  <c r="AI39" i="5"/>
  <c r="W38" i="5"/>
  <c r="AC42" i="5"/>
  <c r="AI63" i="5" s="1"/>
  <c r="AD37" i="5"/>
  <c r="AA38" i="5"/>
  <c r="X42" i="5"/>
  <c r="X41" i="5"/>
  <c r="AJ41" i="5" s="1"/>
  <c r="W41" i="5"/>
  <c r="AI41" i="5" s="1"/>
  <c r="Z41" i="5"/>
  <c r="AL41" i="5" s="1"/>
  <c r="X38" i="5"/>
  <c r="AA40" i="5"/>
  <c r="AM40" i="5" s="1"/>
  <c r="AA41" i="5"/>
  <c r="AM41" i="5" s="1"/>
  <c r="AK37" i="5"/>
  <c r="Z37" i="5"/>
  <c r="AL37" i="5" s="1"/>
  <c r="Y39" i="5"/>
  <c r="AK39" i="5" s="1"/>
  <c r="Y40" i="5"/>
  <c r="AK40" i="5" s="1"/>
  <c r="AA37" i="5"/>
  <c r="AM37" i="5" s="1"/>
  <c r="X39" i="5"/>
  <c r="AJ39" i="5" s="1"/>
  <c r="W40" i="5"/>
  <c r="AA39" i="5"/>
  <c r="AM39" i="5" s="1"/>
  <c r="Z42" i="5"/>
  <c r="Z40" i="5"/>
  <c r="AL40" i="5" s="1"/>
  <c r="Y41" i="5"/>
  <c r="AK41" i="5" s="1"/>
  <c r="Z39" i="5"/>
  <c r="AL39" i="5" s="1"/>
  <c r="Z38" i="5"/>
  <c r="Y42" i="5"/>
  <c r="Y38" i="5"/>
  <c r="AJ299" i="4"/>
  <c r="AK312" i="4" s="1"/>
  <c r="AM312" i="4" s="1"/>
  <c r="G45" i="2"/>
  <c r="K57" i="2"/>
  <c r="F45" i="2"/>
  <c r="K45" i="2"/>
  <c r="F57" i="2"/>
  <c r="J57" i="2"/>
  <c r="AK346" i="4"/>
  <c r="AM346" i="4" s="1"/>
  <c r="BB258" i="4"/>
  <c r="BI224" i="4"/>
  <c r="AP250" i="4"/>
  <c r="AJ258" i="4"/>
  <c r="BH258" i="4"/>
  <c r="AJ269" i="4"/>
  <c r="AQ269" i="4"/>
  <c r="AW269" i="4"/>
  <c r="BC269" i="4"/>
  <c r="AJ277" i="4"/>
  <c r="AQ277" i="4"/>
  <c r="AW277" i="4"/>
  <c r="BC277" i="4"/>
  <c r="BI250" i="4"/>
  <c r="AV250" i="4"/>
  <c r="AP258" i="4"/>
  <c r="AH310" i="4" s="1"/>
  <c r="AI268" i="4"/>
  <c r="AV268" i="4"/>
  <c r="BB268" i="4"/>
  <c r="BH268" i="4"/>
  <c r="AI276" i="4"/>
  <c r="AP276" i="4"/>
  <c r="AV276" i="4"/>
  <c r="BB276" i="4"/>
  <c r="AI250" i="4"/>
  <c r="BH269" i="4"/>
  <c r="BB250" i="4"/>
  <c r="AV258" i="4"/>
  <c r="AI269" i="4"/>
  <c r="AV269" i="4"/>
  <c r="AI277" i="4"/>
  <c r="AP277" i="4"/>
  <c r="AV277" i="4"/>
  <c r="BB277" i="4"/>
  <c r="AQ224" i="4"/>
  <c r="AI251" i="4"/>
  <c r="AP251" i="4"/>
  <c r="AV251" i="4"/>
  <c r="BB251" i="4"/>
  <c r="BI251" i="4"/>
  <c r="AJ259" i="4"/>
  <c r="AP259" i="4"/>
  <c r="AV259" i="4"/>
  <c r="BB259" i="4"/>
  <c r="BH259" i="4"/>
  <c r="AJ250" i="4"/>
  <c r="AQ250" i="4"/>
  <c r="AQ258" i="4"/>
  <c r="AW258" i="4"/>
  <c r="BC258" i="4"/>
  <c r="AJ251" i="4"/>
  <c r="AQ251" i="4"/>
  <c r="AQ259" i="4"/>
  <c r="AW259" i="4"/>
  <c r="BC259" i="4"/>
  <c r="AP242" i="4"/>
  <c r="AW225" i="4"/>
  <c r="BI225" i="4"/>
  <c r="AP224" i="4"/>
  <c r="AJ242" i="4"/>
  <c r="AI225" i="4"/>
  <c r="AP234" i="4"/>
  <c r="AV242" i="4"/>
  <c r="AJ225" i="4"/>
  <c r="BH234" i="4"/>
  <c r="BB242" i="4"/>
  <c r="AI243" i="4"/>
  <c r="BB224" i="4"/>
  <c r="BC224" i="4"/>
  <c r="BH225" i="4"/>
  <c r="AV234" i="4"/>
  <c r="AP243" i="4"/>
  <c r="BH242" i="4"/>
  <c r="AP233" i="4"/>
  <c r="AV225" i="4"/>
  <c r="AQ233" i="4"/>
  <c r="AW233" i="4"/>
  <c r="BC234" i="4"/>
  <c r="BI233" i="4"/>
  <c r="AV243" i="4"/>
  <c r="BB243" i="4"/>
  <c r="AW227" i="4"/>
  <c r="AI224" i="4"/>
  <c r="AW224" i="4"/>
  <c r="BH224" i="4"/>
  <c r="AP225" i="4"/>
  <c r="AI233" i="4"/>
  <c r="AQ234" i="4"/>
  <c r="AW234" i="4"/>
  <c r="BB233" i="4"/>
  <c r="AJ243" i="4"/>
  <c r="AQ243" i="4"/>
  <c r="AW242" i="4"/>
  <c r="BC242" i="4"/>
  <c r="BC233" i="4"/>
  <c r="AQ225" i="4"/>
  <c r="AV233" i="4"/>
  <c r="AW243" i="4"/>
  <c r="BC243" i="4"/>
  <c r="AO197" i="4"/>
  <c r="L20" i="2"/>
  <c r="G57" i="2"/>
  <c r="I45" i="2"/>
  <c r="L33" i="2"/>
  <c r="Y48" i="5" l="1"/>
  <c r="W52" i="5"/>
  <c r="X50" i="5"/>
  <c r="BC52" i="5"/>
  <c r="BI52" i="5" s="1"/>
  <c r="BB50" i="5"/>
  <c r="BH50" i="5" s="1"/>
  <c r="BB51" i="5"/>
  <c r="BH51" i="5" s="1"/>
  <c r="BA50" i="5"/>
  <c r="BG50" i="5" s="1"/>
  <c r="Y51" i="5"/>
  <c r="AE51" i="5" s="1"/>
  <c r="AK51" i="5" s="1"/>
  <c r="AC50" i="5"/>
  <c r="AI50" i="5" s="1"/>
  <c r="BA51" i="5"/>
  <c r="BG51" i="5" s="1"/>
  <c r="Y50" i="5"/>
  <c r="BC51" i="5"/>
  <c r="BI51" i="5" s="1"/>
  <c r="Z50" i="5"/>
  <c r="AJ58" i="5"/>
  <c r="AD48" i="5"/>
  <c r="AJ48" i="5" s="1"/>
  <c r="BI57" i="5"/>
  <c r="BC48" i="5"/>
  <c r="BI48" i="5" s="1"/>
  <c r="X52" i="5"/>
  <c r="BC50" i="5"/>
  <c r="BI50" i="5" s="1"/>
  <c r="BD51" i="5"/>
  <c r="BJ51" i="5" s="1"/>
  <c r="AA48" i="5"/>
  <c r="AI40" i="5"/>
  <c r="W51" i="5"/>
  <c r="AC51" i="5" s="1"/>
  <c r="AI51" i="5" s="1"/>
  <c r="BE52" i="5"/>
  <c r="BK52" i="5" s="1"/>
  <c r="Z48" i="5"/>
  <c r="Z51" i="5"/>
  <c r="BE48" i="5"/>
  <c r="BK48" i="5" s="1"/>
  <c r="Z52" i="5"/>
  <c r="AG52" i="5"/>
  <c r="AM52" i="5" s="1"/>
  <c r="AG51" i="5"/>
  <c r="AM51" i="5" s="1"/>
  <c r="AK42" i="5"/>
  <c r="Y53" i="5"/>
  <c r="AJ42" i="5"/>
  <c r="X53" i="5"/>
  <c r="AM42" i="5"/>
  <c r="AA53" i="5"/>
  <c r="AL42" i="5"/>
  <c r="Z53" i="5"/>
  <c r="AC53" i="5"/>
  <c r="AI53" i="5" s="1"/>
  <c r="AM38" i="5"/>
  <c r="AA49" i="5"/>
  <c r="BA49" i="5"/>
  <c r="BG49" i="5" s="1"/>
  <c r="AK38" i="5"/>
  <c r="Y49" i="5"/>
  <c r="BB49" i="5"/>
  <c r="BH49" i="5" s="1"/>
  <c r="AJ38" i="5"/>
  <c r="X49" i="5"/>
  <c r="BC49" i="5"/>
  <c r="BI49" i="5" s="1"/>
  <c r="AL38" i="5"/>
  <c r="Z49" i="5"/>
  <c r="AI38" i="5"/>
  <c r="W49" i="5"/>
  <c r="BD49" i="5"/>
  <c r="BJ49" i="5" s="1"/>
  <c r="BE49" i="5"/>
  <c r="BK49" i="5" s="1"/>
  <c r="AG42" i="5"/>
  <c r="AM63" i="5" s="1"/>
  <c r="AC37" i="5"/>
  <c r="AC38" i="5"/>
  <c r="AI59" i="5" s="1"/>
  <c r="AC40" i="5"/>
  <c r="AI61" i="5" s="1"/>
  <c r="AD38" i="5"/>
  <c r="AJ59" i="5" s="1"/>
  <c r="AC41" i="5"/>
  <c r="AI62" i="5" s="1"/>
  <c r="AF42" i="5"/>
  <c r="AL63" i="5" s="1"/>
  <c r="AG38" i="5"/>
  <c r="AM59" i="5" s="1"/>
  <c r="AG39" i="5"/>
  <c r="AM60" i="5" s="1"/>
  <c r="AG41" i="5"/>
  <c r="AM62" i="5" s="1"/>
  <c r="AE38" i="5"/>
  <c r="AK59" i="5" s="1"/>
  <c r="AG40" i="5"/>
  <c r="AM61" i="5" s="1"/>
  <c r="AE42" i="5"/>
  <c r="AK63" i="5" s="1"/>
  <c r="AD39" i="5"/>
  <c r="AJ60" i="5" s="1"/>
  <c r="AF38" i="5"/>
  <c r="AL59" i="5" s="1"/>
  <c r="AF41" i="5"/>
  <c r="AL62" i="5" s="1"/>
  <c r="AF39" i="5"/>
  <c r="AL60" i="5" s="1"/>
  <c r="AE40" i="5"/>
  <c r="AK61" i="5" s="1"/>
  <c r="AE41" i="5"/>
  <c r="AE39" i="5"/>
  <c r="AK60" i="5" s="1"/>
  <c r="AD41" i="5"/>
  <c r="AJ62" i="5" s="1"/>
  <c r="AF40" i="5"/>
  <c r="AL61" i="5" s="1"/>
  <c r="AD42" i="5"/>
  <c r="AJ63" i="5" s="1"/>
  <c r="AG37" i="5"/>
  <c r="AM58" i="5" s="1"/>
  <c r="AF37" i="5"/>
  <c r="AE37" i="5"/>
  <c r="AK224" i="4"/>
  <c r="AJ294" i="4" s="1"/>
  <c r="AH294" i="4"/>
  <c r="AL294" i="4" s="1"/>
  <c r="AN294" i="4" s="1"/>
  <c r="AJ331" i="4"/>
  <c r="AJ308" i="4"/>
  <c r="AJ306" i="4"/>
  <c r="AJ310" i="4"/>
  <c r="AJ298" i="4"/>
  <c r="AK341" i="4" s="1"/>
  <c r="AD49" i="5" l="1"/>
  <c r="AJ49" i="5" s="1"/>
  <c r="AG50" i="5"/>
  <c r="AM50" i="5" s="1"/>
  <c r="AG48" i="5"/>
  <c r="AM48" i="5" s="1"/>
  <c r="AF50" i="5"/>
  <c r="AL50" i="5" s="1"/>
  <c r="AF52" i="5"/>
  <c r="AL52" i="5" s="1"/>
  <c r="AL58" i="5"/>
  <c r="AF48" i="5"/>
  <c r="AL48" i="5" s="1"/>
  <c r="AK62" i="5"/>
  <c r="AE52" i="5"/>
  <c r="AK52" i="5" s="1"/>
  <c r="AE50" i="5"/>
  <c r="AK50" i="5" s="1"/>
  <c r="AD50" i="5"/>
  <c r="AJ50" i="5" s="1"/>
  <c r="AE48" i="5"/>
  <c r="AK48" i="5" s="1"/>
  <c r="AK58" i="5"/>
  <c r="AI58" i="5"/>
  <c r="AC48" i="5"/>
  <c r="AI48" i="5" s="1"/>
  <c r="AF51" i="5"/>
  <c r="AL51" i="5" s="1"/>
  <c r="AD52" i="5"/>
  <c r="AJ52" i="5" s="1"/>
  <c r="AC52" i="5"/>
  <c r="AI52" i="5" s="1"/>
  <c r="AG53" i="5"/>
  <c r="AM53" i="5" s="1"/>
  <c r="AF53" i="5"/>
  <c r="AL53" i="5" s="1"/>
  <c r="AD53" i="5"/>
  <c r="AJ53" i="5" s="1"/>
  <c r="AE53" i="5"/>
  <c r="AK53" i="5" s="1"/>
  <c r="AE49" i="5"/>
  <c r="AK49" i="5" s="1"/>
  <c r="AC49" i="5"/>
  <c r="AI49" i="5" s="1"/>
  <c r="AG49" i="5"/>
  <c r="AM49" i="5" s="1"/>
  <c r="AF49" i="5"/>
  <c r="AL49" i="5" s="1"/>
  <c r="AK324" i="4"/>
  <c r="AM324" i="4" s="1"/>
  <c r="H58" i="2" l="1"/>
  <c r="H56" i="2" s="1"/>
  <c r="H57" i="2" s="1"/>
  <c r="E58" i="2"/>
  <c r="E56" i="2" s="1"/>
  <c r="E57" i="2" s="1"/>
  <c r="H46" i="2"/>
  <c r="H44" i="2" s="1"/>
  <c r="H45" i="2" s="1"/>
  <c r="E46" i="2"/>
  <c r="E44" i="2" s="1"/>
  <c r="E45" i="2" s="1"/>
  <c r="H34" i="2"/>
  <c r="E34" i="2"/>
  <c r="E32" i="2" s="1"/>
  <c r="H22" i="2"/>
  <c r="E22" i="2"/>
  <c r="H20" i="2" l="1"/>
  <c r="H21" i="2"/>
  <c r="H33" i="2"/>
  <c r="H32" i="2"/>
  <c r="E20" i="2"/>
  <c r="E21" i="2"/>
  <c r="D27" i="1"/>
  <c r="B27" i="1"/>
  <c r="C37" i="1"/>
  <c r="C38" i="1"/>
  <c r="C36" i="1"/>
  <c r="C30" i="1"/>
  <c r="C27" i="1"/>
  <c r="D19" i="1"/>
  <c r="D38" i="1" s="1"/>
  <c r="C19" i="1"/>
  <c r="B11" i="1"/>
  <c r="B30" i="1" s="1"/>
  <c r="F19" i="1"/>
  <c r="D18" i="1"/>
  <c r="B18" i="1" s="1"/>
  <c r="B37" i="1" s="1"/>
  <c r="D17" i="1"/>
  <c r="B17" i="1" s="1"/>
  <c r="B36" i="1" s="1"/>
  <c r="D13" i="1"/>
  <c r="D32" i="1" s="1"/>
  <c r="D12" i="1"/>
  <c r="D31" i="1" s="1"/>
  <c r="D11" i="1"/>
  <c r="D30" i="1" s="1"/>
  <c r="C18" i="1"/>
  <c r="C13" i="1"/>
  <c r="C32" i="1" s="1"/>
  <c r="C12" i="1"/>
  <c r="C31" i="1" s="1"/>
  <c r="C89" i="1"/>
  <c r="C84" i="1"/>
  <c r="D37" i="1" l="1"/>
  <c r="D36" i="1"/>
  <c r="B19" i="1"/>
  <c r="B38" i="1" s="1"/>
  <c r="B13" i="1"/>
  <c r="B32" i="1" s="1"/>
  <c r="B12" i="1"/>
  <c r="B31" i="1" s="1"/>
</calcChain>
</file>

<file path=xl/sharedStrings.xml><?xml version="1.0" encoding="utf-8"?>
<sst xmlns="http://schemas.openxmlformats.org/spreadsheetml/2006/main" count="2183" uniqueCount="595">
  <si>
    <t>22nm</t>
  </si>
  <si>
    <t xml:space="preserve">SRAM </t>
  </si>
  <si>
    <t>time (ns)</t>
  </si>
  <si>
    <t>area(mm2)</t>
  </si>
  <si>
    <t>data array energy(nJ)</t>
  </si>
  <si>
    <t>Mux(22nm)</t>
  </si>
  <si>
    <t>delay(s)</t>
  </si>
  <si>
    <t>area (mm2)</t>
  </si>
  <si>
    <t>energy(pJ)</t>
  </si>
  <si>
    <t xml:space="preserve">energy/bit </t>
  </si>
  <si>
    <t>16 to 8</t>
  </si>
  <si>
    <t xml:space="preserve">total power </t>
  </si>
  <si>
    <t>256 to 8</t>
  </si>
  <si>
    <t>256 to 32</t>
  </si>
  <si>
    <t xml:space="preserve">Demux (22nm) </t>
  </si>
  <si>
    <t>Energy/bit(pJ)</t>
  </si>
  <si>
    <t>Cacti at 22nm</t>
  </si>
  <si>
    <t>8_to_32</t>
  </si>
  <si>
    <t>8 to 256</t>
  </si>
  <si>
    <t>256_to_1024</t>
  </si>
  <si>
    <t>11nm</t>
  </si>
  <si>
    <t>Mux(11nm)</t>
  </si>
  <si>
    <t>time(s)</t>
  </si>
  <si>
    <t>dsent 22nm</t>
  </si>
  <si>
    <t>Mux</t>
  </si>
  <si>
    <t xml:space="preserve"> 256_to 8</t>
  </si>
  <si>
    <t xml:space="preserve">Demux </t>
  </si>
  <si>
    <t>Energy(pJ)</t>
  </si>
  <si>
    <t>CNN1</t>
  </si>
  <si>
    <t>DRISA 3T-1C</t>
  </si>
  <si>
    <t>DRISA 1T-1C-NOR</t>
  </si>
  <si>
    <t>DRISA 1T-1C-MIXED</t>
  </si>
  <si>
    <t>DRISA 1T-1C adder</t>
  </si>
  <si>
    <t>SCOPE</t>
  </si>
  <si>
    <t>Lacc</t>
  </si>
  <si>
    <t>Neural Cache</t>
  </si>
  <si>
    <t xml:space="preserve">ODIN </t>
  </si>
  <si>
    <t>Performance (fps)</t>
  </si>
  <si>
    <t>Efficiency (fps/J/mm2)</t>
  </si>
  <si>
    <t>Performance/Area (fps/mm2)</t>
  </si>
  <si>
    <t>Overhead Area (mm2)</t>
  </si>
  <si>
    <t xml:space="preserve">Scheme </t>
  </si>
  <si>
    <t xml:space="preserve">Addition </t>
  </si>
  <si>
    <t>Multiplication</t>
  </si>
  <si>
    <t>power (W)</t>
  </si>
  <si>
    <t xml:space="preserve">Delay </t>
  </si>
  <si>
    <t xml:space="preserve">Accuracy </t>
  </si>
  <si>
    <t>Accuracy</t>
  </si>
  <si>
    <t>Energy (J)</t>
  </si>
  <si>
    <t xml:space="preserve">Neural Cache-like Case </t>
  </si>
  <si>
    <t>Device Technology</t>
  </si>
  <si>
    <t>DRAM</t>
  </si>
  <si>
    <t xml:space="preserve">DRAM </t>
  </si>
  <si>
    <t>SRAM</t>
  </si>
  <si>
    <t>PCRAM</t>
  </si>
  <si>
    <t xml:space="preserve">SCOPE-like Case </t>
  </si>
  <si>
    <t>Capacity</t>
  </si>
  <si>
    <t>2GB</t>
  </si>
  <si>
    <t>8GB</t>
  </si>
  <si>
    <t>35MB</t>
  </si>
  <si>
    <t>16GB</t>
  </si>
  <si>
    <t xml:space="preserve">LUT-based Case </t>
  </si>
  <si>
    <t>DRISA</t>
  </si>
  <si>
    <t>lacc</t>
  </si>
  <si>
    <t>CNN2</t>
  </si>
  <si>
    <t>LaCC</t>
  </si>
  <si>
    <t>Effieciency (fps/J/mm2)</t>
  </si>
  <si>
    <t>power(W)</t>
  </si>
  <si>
    <t>VGG1</t>
  </si>
  <si>
    <t>VGG2</t>
  </si>
  <si>
    <t xml:space="preserve"> Write Cycles of  10E+12</t>
  </si>
  <si>
    <t>Endurance (Years)</t>
  </si>
  <si>
    <t>Wmax</t>
  </si>
  <si>
    <t>B</t>
  </si>
  <si>
    <t>Write Rate (per second)</t>
  </si>
  <si>
    <t>Y =(S.Wn)/(B*F*2^25)</t>
  </si>
  <si>
    <t xml:space="preserve"> Write Cycles of 10E8</t>
  </si>
  <si>
    <t>Without PISA</t>
  </si>
  <si>
    <t>With PISA</t>
  </si>
  <si>
    <t>Stages</t>
  </si>
  <si>
    <t>Read Binary Value</t>
  </si>
  <si>
    <t>LUT_SNG</t>
  </si>
  <si>
    <t>write 1st row</t>
  </si>
  <si>
    <t xml:space="preserve">Write 2nd row </t>
  </si>
  <si>
    <t>Activate 2 rows</t>
  </si>
  <si>
    <t>Selecting the Random ctrl bit</t>
  </si>
  <si>
    <t xml:space="preserve">Logical Anding </t>
  </si>
  <si>
    <t>MAC (32 operands)</t>
  </si>
  <si>
    <t>READ</t>
  </si>
  <si>
    <t xml:space="preserve">SNG </t>
  </si>
  <si>
    <t xml:space="preserve">Write </t>
  </si>
  <si>
    <t>5bit register+MUX</t>
  </si>
  <si>
    <t>S/A And Write</t>
  </si>
  <si>
    <t>1.54pJ</t>
  </si>
  <si>
    <t>0.175pJ</t>
  </si>
  <si>
    <t>4.454pJ</t>
  </si>
  <si>
    <t>Time</t>
  </si>
  <si>
    <t xml:space="preserve">time </t>
  </si>
  <si>
    <t>time</t>
  </si>
  <si>
    <t>48ns</t>
  </si>
  <si>
    <t>60ns</t>
  </si>
  <si>
    <t>10ps</t>
  </si>
  <si>
    <t>40ns</t>
  </si>
  <si>
    <t>Relu (J)</t>
  </si>
  <si>
    <t>Pooling(J)</t>
  </si>
  <si>
    <t>MAC(J)</t>
  </si>
  <si>
    <t>Total Energy(J)</t>
  </si>
  <si>
    <t>Average Power(W)</t>
  </si>
  <si>
    <t>For 32 operand MAC operation</t>
  </si>
  <si>
    <t>Total Write</t>
  </si>
  <si>
    <t>each MUX(pJ)</t>
  </si>
  <si>
    <t>each MUX(s)</t>
  </si>
  <si>
    <t>MAC operations</t>
  </si>
  <si>
    <t>Number of operations</t>
  </si>
  <si>
    <t>Time(s)</t>
  </si>
  <si>
    <t>Write Operations</t>
  </si>
  <si>
    <t>Write Rate</t>
  </si>
  <si>
    <t>Total Write Rate</t>
  </si>
  <si>
    <t>MAC</t>
  </si>
  <si>
    <t>RELU</t>
  </si>
  <si>
    <t>Pooling</t>
  </si>
  <si>
    <t>MAC(s)</t>
  </si>
  <si>
    <t>RELU(s)</t>
  </si>
  <si>
    <t>Pooling(s)</t>
  </si>
  <si>
    <t>MAC(per s)</t>
  </si>
  <si>
    <t>RELU(per s)</t>
  </si>
  <si>
    <t>Pooling(per s)</t>
  </si>
  <si>
    <t>Bytes/cycle</t>
  </si>
  <si>
    <t>Alexnet</t>
  </si>
  <si>
    <t>fps</t>
  </si>
  <si>
    <t>Size / Operation</t>
  </si>
  <si>
    <t>Filter</t>
  </si>
  <si>
    <t>Depth</t>
  </si>
  <si>
    <t>Stride</t>
  </si>
  <si>
    <t>Padding</t>
  </si>
  <si>
    <t>Number of Parameters</t>
  </si>
  <si>
    <t>Addition</t>
  </si>
  <si>
    <t>multiplication</t>
  </si>
  <si>
    <t>3*224*224</t>
  </si>
  <si>
    <t>cov3_64</t>
  </si>
  <si>
    <t>3*3</t>
  </si>
  <si>
    <t>(3*3*3+1)*64</t>
  </si>
  <si>
    <t>(3*3*3)*64*224*224</t>
  </si>
  <si>
    <t>(3*3*3-1)*64*224*224</t>
  </si>
  <si>
    <t>64*224*224</t>
  </si>
  <si>
    <t>maxpool</t>
  </si>
  <si>
    <t>2*2</t>
  </si>
  <si>
    <t>64*112*112</t>
  </si>
  <si>
    <t>convb3_128</t>
  </si>
  <si>
    <t>(3*3*64+1)*128</t>
  </si>
  <si>
    <t>(3*3*64)*128*112*112</t>
  </si>
  <si>
    <t>(3*3*64-1)*128*112*112</t>
  </si>
  <si>
    <t>128*112*112</t>
  </si>
  <si>
    <t>(3*3*128+1)*128</t>
  </si>
  <si>
    <t>(3*3*128)*128*112*112</t>
  </si>
  <si>
    <t>(3*3*128-1)*128*112*112</t>
  </si>
  <si>
    <t>128*56*56</t>
  </si>
  <si>
    <t>conv3_256</t>
  </si>
  <si>
    <t>(3*3*128+1)*256</t>
  </si>
  <si>
    <t>(3*3*128)*256*56*56</t>
  </si>
  <si>
    <t>(3*3*128-1)*256*56*56</t>
  </si>
  <si>
    <t>256*56*56</t>
  </si>
  <si>
    <t>(3*3*256+1)*256</t>
  </si>
  <si>
    <t>(3*3*256)*256*56*56</t>
  </si>
  <si>
    <t>(3*3*256-1)*256*56*56</t>
  </si>
  <si>
    <t>256*28*28</t>
  </si>
  <si>
    <t>conv_512</t>
  </si>
  <si>
    <t>(3*3*256+1)*512</t>
  </si>
  <si>
    <t>(3*3*256)*512*28*28</t>
  </si>
  <si>
    <t>(3*3*256-1)*512*28*28</t>
  </si>
  <si>
    <t>512*28*28</t>
  </si>
  <si>
    <t>(3*3*512+1)*512</t>
  </si>
  <si>
    <t>(3*3*512)*512*28*28</t>
  </si>
  <si>
    <t>(3*3*512-1)*512*28*28</t>
  </si>
  <si>
    <t>512*14*14</t>
  </si>
  <si>
    <t>conv3_512</t>
  </si>
  <si>
    <t>(3*3*512)*512*14*14</t>
  </si>
  <si>
    <t>(3*3*512-1)*512*14*14</t>
  </si>
  <si>
    <t>512*7*7</t>
  </si>
  <si>
    <t>fc</t>
  </si>
  <si>
    <t>512*7*7*4096</t>
  </si>
  <si>
    <t>4096*4096</t>
  </si>
  <si>
    <t>4096*1000</t>
  </si>
  <si>
    <t>MAC operation</t>
  </si>
  <si>
    <t>Forward Computation</t>
  </si>
  <si>
    <t>relu/Pooling</t>
  </si>
  <si>
    <t xml:space="preserve">  (features): Sequential(</t>
  </si>
  <si>
    <t>3* 227 * 227</t>
  </si>
  <si>
    <t>ReLU-2</t>
  </si>
  <si>
    <t>[-1,</t>
  </si>
  <si>
    <t>64,</t>
  </si>
  <si>
    <t>224,</t>
  </si>
  <si>
    <t>224]</t>
  </si>
  <si>
    <t xml:space="preserve">    (0): Conv2d(3, 64, kernel_size=(3, 3), stride=(1, 1), padding=(1, 1))</t>
  </si>
  <si>
    <t>Conv1 + Relu</t>
  </si>
  <si>
    <t>11 * 11</t>
  </si>
  <si>
    <t>(11*11*3 + 1) * 96=34944</t>
  </si>
  <si>
    <t>(11*11*3 ) * 96 * 55 * 55=105705600</t>
  </si>
  <si>
    <t>(11*11*3 - 1) * 96 * 55 * 55=105705600</t>
  </si>
  <si>
    <t>(11*11*3 + 1) * 96 * 55 * 55=105705600</t>
  </si>
  <si>
    <t>Conv2d-3</t>
  </si>
  <si>
    <t xml:space="preserve">    (1): ReLU(inplace=True)</t>
  </si>
  <si>
    <t>96 * 55 * 55</t>
  </si>
  <si>
    <t>ReLU-4</t>
  </si>
  <si>
    <t xml:space="preserve">    (2): Conv2d(64, 64, kernel_size=(3, 3), stride=(1, 1), padding=(1, 1))</t>
  </si>
  <si>
    <t>Max Pooling</t>
  </si>
  <si>
    <t>3 * 3</t>
  </si>
  <si>
    <t>MaxPool2d-5</t>
  </si>
  <si>
    <t>112,</t>
  </si>
  <si>
    <t>112]</t>
  </si>
  <si>
    <t xml:space="preserve">    (3): ReLU(inplace=True)</t>
  </si>
  <si>
    <t>96 * 27 * 27</t>
  </si>
  <si>
    <t>Conv2d-6</t>
  </si>
  <si>
    <t>128,</t>
  </si>
  <si>
    <t xml:space="preserve">    (4): MaxPool2d(kernel_size=2, stride=2, padding=0, dilation=1, ceil_mode=False)</t>
  </si>
  <si>
    <t>Norm</t>
  </si>
  <si>
    <t>ReLU-7</t>
  </si>
  <si>
    <t xml:space="preserve">    (5): Conv2d(64, 128, kernel_size=(3, 3), stride=(1, 1), padding=(1, 1))</t>
  </si>
  <si>
    <t>Conv2 + Relu</t>
  </si>
  <si>
    <t>5 * 5</t>
  </si>
  <si>
    <t>(5 * 5 * 96 + 1) * 256=614656</t>
  </si>
  <si>
    <t>(5 * 5 * 96 ) * 256 * 27 * 27=448084224</t>
  </si>
  <si>
    <t>(5 * 5 * 96 - 1) * 256 * 27 * 27=448084224</t>
  </si>
  <si>
    <t>(5 * 5 * 96 + 1) * 256 * 27 * 27=448084224</t>
  </si>
  <si>
    <t>Conv2d-8</t>
  </si>
  <si>
    <t xml:space="preserve">    (6): ReLU(inplace=True)</t>
  </si>
  <si>
    <t>256 * 27 * 27</t>
  </si>
  <si>
    <t>ReLU-9</t>
  </si>
  <si>
    <t xml:space="preserve">    (7): Conv2d(128, 128, kernel_size=(3, 3), stride=(1, 1), padding=(1, 1))</t>
  </si>
  <si>
    <t>MaxPool2d-10</t>
  </si>
  <si>
    <t>56,</t>
  </si>
  <si>
    <t>56]</t>
  </si>
  <si>
    <t xml:space="preserve">    (8): ReLU(inplace=True)</t>
  </si>
  <si>
    <t>256 * 13 * 13</t>
  </si>
  <si>
    <t>Conv2d-11</t>
  </si>
  <si>
    <t>256,</t>
  </si>
  <si>
    <t xml:space="preserve">    (9): MaxPool2d(kernel_size=2, stride=2, padding=0, dilation=1, ceil_mode=False)</t>
  </si>
  <si>
    <t>ReLU-12</t>
  </si>
  <si>
    <t xml:space="preserve">    (10): Conv2d(128, 256, kernel_size=(3, 3), stride=(1, 1), padding=(1, 1))</t>
  </si>
  <si>
    <t>Conv3 + Relu</t>
  </si>
  <si>
    <t>(3 * 3 * 256 + 1) * 384=885120</t>
  </si>
  <si>
    <t>(3 * 3 * 256) * 384 * 13 * 13=149585280</t>
  </si>
  <si>
    <t>(3 * 3 * 256 -1) * 384 * 13 * 13=149585280</t>
  </si>
  <si>
    <t>(3 * 3 * 256 + 1) * 384 * 13 * 13=149585280</t>
  </si>
  <si>
    <t>Conv2d-13</t>
  </si>
  <si>
    <t xml:space="preserve">    (11): ReLU(inplace=True)</t>
  </si>
  <si>
    <t>384 * 13 * 13</t>
  </si>
  <si>
    <t>ReLU-14</t>
  </si>
  <si>
    <t xml:space="preserve">    (12): Conv2d(256, 256, kernel_size=(3, 3), stride=(1, 1), padding=(1, 1))</t>
  </si>
  <si>
    <t>Conv4 + Relu</t>
  </si>
  <si>
    <t>(3 * 3 * 384 + 1) * 384=1327488</t>
  </si>
  <si>
    <t>(3 * 3 * 384) * 384 * 13 * 13=224345472</t>
  </si>
  <si>
    <t>(3 * 3 * 384 - 1) * 384 * 13 * 13=224345472</t>
  </si>
  <si>
    <t>(3 * 3 * 384 + 1) * 384 * 13 * 13=224345472</t>
  </si>
  <si>
    <t>Conv2d-15</t>
  </si>
  <si>
    <t xml:space="preserve">    (13): ReLU(inplace=True)</t>
  </si>
  <si>
    <t>ReLU-16</t>
  </si>
  <si>
    <t xml:space="preserve">    (14): Conv2d(256, 256, kernel_size=(3, 3), stride=(1, 1), padding=(1, 1))</t>
  </si>
  <si>
    <t>Conv5 + Relu</t>
  </si>
  <si>
    <t>(3 * 3 * 384 + 1) * 256=884992</t>
  </si>
  <si>
    <t>(3 * 3 * 384) * 256 * 13 * 13=149563648</t>
  </si>
  <si>
    <t>(3 * 3 * 384 - 1) * 256 * 13 * 13=149563648</t>
  </si>
  <si>
    <t>(3 * 3 * 384 + 1) * 256 * 13 * 13=149563648</t>
  </si>
  <si>
    <t>MaxPool2d-17</t>
  </si>
  <si>
    <t>28,</t>
  </si>
  <si>
    <t>28]</t>
  </si>
  <si>
    <t xml:space="preserve">    (15): ReLU(inplace=True)</t>
  </si>
  <si>
    <t>Conv2d-18</t>
  </si>
  <si>
    <t>512,</t>
  </si>
  <si>
    <t xml:space="preserve">    (16): MaxPool2d(kernel_size=2, stride=2, padding=0, dilation=1, ceil_mode=False)</t>
  </si>
  <si>
    <t>ReLU-19</t>
  </si>
  <si>
    <t xml:space="preserve">    (17): Conv2d(256, 512, kernel_size=(3, 3), stride=(1, 1), padding=(1, 1))</t>
  </si>
  <si>
    <t>256 * 6 * 6</t>
  </si>
  <si>
    <t>Conv2d-20</t>
  </si>
  <si>
    <t xml:space="preserve">    (18): ReLU(inplace=True)</t>
  </si>
  <si>
    <t>Dropout (rate 0.5)</t>
  </si>
  <si>
    <t>ReLU-21</t>
  </si>
  <si>
    <t xml:space="preserve">    (19): Conv2d(512, 512, kernel_size=(3, 3), stride=(1, 1), padding=(1, 1))</t>
  </si>
  <si>
    <t>FC6 + Relu</t>
  </si>
  <si>
    <t>256 * 6 * 6 * 4096=37748736</t>
  </si>
  <si>
    <t>Conv2d-22</t>
  </si>
  <si>
    <t xml:space="preserve">    (20): ReLU(inplace=True)</t>
  </si>
  <si>
    <t>ReLU-23</t>
  </si>
  <si>
    <t xml:space="preserve">    (21): Conv2d(512, 512, kernel_size=(3, 3), stride=(1, 1), padding=(1, 1))</t>
  </si>
  <si>
    <t>MaxPool2d-24</t>
  </si>
  <si>
    <t>14,</t>
  </si>
  <si>
    <t>14]</t>
  </si>
  <si>
    <t xml:space="preserve">    (22): ReLU(inplace=True)</t>
  </si>
  <si>
    <t>FC7 + Relu</t>
  </si>
  <si>
    <t>4096 * 4096=16777216</t>
  </si>
  <si>
    <t>Conv2d-25</t>
  </si>
  <si>
    <t xml:space="preserve">    (23): MaxPool2d(kernel_size=2, stride=2, padding=0, dilation=1, ceil_mode=False)</t>
  </si>
  <si>
    <t>ReLU-26</t>
  </si>
  <si>
    <t xml:space="preserve">    (24): Conv2d(512, 512, kernel_size=(3, 3), stride=(1, 1), padding=(1, 1))</t>
  </si>
  <si>
    <t>FC8 + Relu</t>
  </si>
  <si>
    <t>4096 * 1000=4096000</t>
  </si>
  <si>
    <t>Conv2d-27</t>
  </si>
  <si>
    <t xml:space="preserve">    (25): ReLU(inplace=True)</t>
  </si>
  <si>
    <t>1000 classes</t>
  </si>
  <si>
    <t>ReLU-28</t>
  </si>
  <si>
    <t xml:space="preserve">    (26): Conv2d(512, 512, kernel_size=(3, 3), stride=(1, 1), padding=(1, 1))</t>
  </si>
  <si>
    <t>Overall</t>
  </si>
  <si>
    <t xml:space="preserve">62369152=62.3 million </t>
  </si>
  <si>
    <t>1135906176=1.1 billion</t>
  </si>
  <si>
    <t>Conv2d-29</t>
  </si>
  <si>
    <t xml:space="preserve">    (27): ReLU(inplace=True)</t>
  </si>
  <si>
    <t>Conv VS FC</t>
  </si>
  <si>
    <t>Conv:3.7million (6%) , FC: 58.6 million  (94% )</t>
  </si>
  <si>
    <t>Conv: 1.08 billion (95%) , FC: 58.6 million (5%)</t>
  </si>
  <si>
    <t>ReLU-30</t>
  </si>
  <si>
    <t xml:space="preserve">    (28): Conv2d(512, 512, kernel_size=(3, 3), stride=(1, 1), padding=(1, 1))</t>
  </si>
  <si>
    <t>MaxPool2d-31</t>
  </si>
  <si>
    <t>7,</t>
  </si>
  <si>
    <t>7]</t>
  </si>
  <si>
    <t xml:space="preserve">    (29): ReLU(inplace=True)</t>
  </si>
  <si>
    <t xml:space="preserve">    (30): MaxPool2d(kernel_size=2, stride=2, padding=0, dilation=1, ceil_mode=False)</t>
  </si>
  <si>
    <t>Linear-33</t>
  </si>
  <si>
    <t>4096]</t>
  </si>
  <si>
    <t xml:space="preserve">  )</t>
  </si>
  <si>
    <t>ReLU-34</t>
  </si>
  <si>
    <t xml:space="preserve">  (avgpool): AdaptiveAvgPool2d(output_size=(7, 7))</t>
  </si>
  <si>
    <t>Linear-36</t>
  </si>
  <si>
    <t xml:space="preserve">    (0): Linear(in_features=25088, out_features=4096, bias=True)</t>
  </si>
  <si>
    <t>ReLU-37</t>
  </si>
  <si>
    <t>percentage</t>
  </si>
  <si>
    <t>Linear-39</t>
  </si>
  <si>
    <t>1000]</t>
  </si>
  <si>
    <t xml:space="preserve">    (3): Linear(in_features=4096, out_features=4096, bias=True)</t>
  </si>
  <si>
    <t>Conv= 0.948362354356387 (1076634144)</t>
  </si>
  <si>
    <t>Conv= 0.946409871272131(1035272640)</t>
  </si>
  <si>
    <t xml:space="preserve">    (4): ReLU(inplace=True)</t>
  </si>
  <si>
    <t>FC= 0.0516376456436134 (58621952)</t>
  </si>
  <si>
    <t>FC= 0.0535901287278692 (58621952)</t>
  </si>
  <si>
    <t xml:space="preserve">    (5): Dropout(p=0.5, inplace=False)</t>
  </si>
  <si>
    <t xml:space="preserve">    (6): Linear(in_features=4096, out_features=1000, bias=True)</t>
  </si>
  <si>
    <t xml:space="preserve"> </t>
  </si>
  <si>
    <t>input size: torch.Size(</t>
  </si>
  <si>
    <t>Model: "sequential"</t>
  </si>
  <si>
    <t>after conv2d: torch.Size(</t>
  </si>
  <si>
    <t>_________________________________________________________________</t>
  </si>
  <si>
    <t>after pooling: torch.Size(</t>
  </si>
  <si>
    <t xml:space="preserve">Layer (type)                 Output Shape              Param #   </t>
  </si>
  <si>
    <t>flattening: torch.Size(</t>
  </si>
  <si>
    <t>=================================================================</t>
  </si>
  <si>
    <t>after fc1: torch.Size(</t>
  </si>
  <si>
    <t xml:space="preserve">conv2d (Conv2D)              (None, 30, 30, 32)        896       </t>
  </si>
  <si>
    <t>after fc2: torch.Size(</t>
  </si>
  <si>
    <t>fc2 weights_size is : torch.Size(</t>
  </si>
  <si>
    <t xml:space="preserve">max_pooling2d (MaxPooling2D) (None, 15, 15, 32)        0         </t>
  </si>
  <si>
    <t>after fc3: torch.Size(</t>
  </si>
  <si>
    <t>fc3 weights_size is : torch.Size(</t>
  </si>
  <si>
    <t xml:space="preserve">conv2d_1 (Conv2D)            (None, 13, 13, 64)        18496     </t>
  </si>
  <si>
    <t xml:space="preserve">max_pooling2d_1 (MaxPooling2 (None, 6, 6, 64)          0         </t>
  </si>
  <si>
    <t xml:space="preserve">conv2d_2 (Conv2D)            (None, 4, 4, 64)          36928     </t>
  </si>
  <si>
    <t xml:space="preserve">flatten (Flatten)            (None, 1024)              0         </t>
  </si>
  <si>
    <t xml:space="preserve">dense (Dense)                (None, 64)                65600     </t>
  </si>
  <si>
    <t xml:space="preserve">dense_1 (Dense)              (None, 10)                650       </t>
  </si>
  <si>
    <t>Total params: 122,570</t>
  </si>
  <si>
    <t>Trainable params: 122,570</t>
  </si>
  <si>
    <t>Non-trainable params: 0</t>
  </si>
  <si>
    <t xml:space="preserve">Total Multipilcation </t>
  </si>
  <si>
    <t>Total Mac</t>
  </si>
  <si>
    <t>Total Addition</t>
  </si>
  <si>
    <t>Total Relu</t>
  </si>
  <si>
    <t xml:space="preserve">Total Max pooling </t>
  </si>
  <si>
    <t>512*56*56</t>
  </si>
  <si>
    <t>Relu</t>
  </si>
  <si>
    <t>pooling</t>
  </si>
  <si>
    <t>Efficiency (fp/J/mm2)</t>
  </si>
  <si>
    <t>pop</t>
  </si>
  <si>
    <t>multiplication(latency (s))</t>
  </si>
  <si>
    <t xml:space="preserve">Addition (s) </t>
  </si>
  <si>
    <t>multiplication(J)</t>
  </si>
  <si>
    <t>Addition(J)</t>
  </si>
  <si>
    <t>Drisa_Mixed</t>
  </si>
  <si>
    <t>Drisa_1T_IC_NOR</t>
  </si>
  <si>
    <t xml:space="preserve">pop </t>
  </si>
  <si>
    <t>Drisa_1T_IC_Adder</t>
  </si>
  <si>
    <t>Drisa_3T_1C</t>
  </si>
  <si>
    <t>Scope(H2D)</t>
  </si>
  <si>
    <t>ODIN (32 operand MAC operation)</t>
  </si>
  <si>
    <t>cifar</t>
  </si>
  <si>
    <t>Imagenet</t>
  </si>
  <si>
    <t>Energy(J)</t>
  </si>
  <si>
    <t>Max pool</t>
  </si>
  <si>
    <t>latency</t>
  </si>
  <si>
    <t>pop Counter</t>
  </si>
  <si>
    <t>Drisa_1t_NOR</t>
  </si>
  <si>
    <t>multiplication(latency (ns))</t>
  </si>
  <si>
    <t xml:space="preserve">Addition (ns) </t>
  </si>
  <si>
    <t>multiplication(pJ)</t>
  </si>
  <si>
    <t>Addition(pJ)</t>
  </si>
  <si>
    <t>Drisa_1t_Adder</t>
  </si>
  <si>
    <t>Drisa_3t_1C</t>
  </si>
  <si>
    <t>stochastic counter (245 FA)</t>
  </si>
  <si>
    <t>6.8355pJ</t>
  </si>
  <si>
    <t>time (27 stage with each FA require 80ns)</t>
  </si>
  <si>
    <t>2160ns</t>
  </si>
  <si>
    <t>Pop Counter</t>
  </si>
  <si>
    <t>ODIN</t>
  </si>
  <si>
    <t>energy(J)</t>
  </si>
  <si>
    <t>fp/J</t>
  </si>
  <si>
    <t>fps/mm2</t>
  </si>
  <si>
    <t>FP/J/mm2</t>
  </si>
  <si>
    <t>DRISA_Mixed</t>
  </si>
  <si>
    <t>DRISA_1t_NOR</t>
  </si>
  <si>
    <t>DRISA_1t_Adder</t>
  </si>
  <si>
    <t>ODIN-PCRAM (32 operand MAC operation)</t>
  </si>
  <si>
    <t>ODIN-DRAM (32 operand MAC operation)</t>
  </si>
  <si>
    <t>MAC latency (ns)</t>
  </si>
  <si>
    <t>MUL Energy (pJ)</t>
  </si>
  <si>
    <t>ADD Energy (pJ)</t>
  </si>
  <si>
    <t>MAC Energy (pJ)</t>
  </si>
  <si>
    <t># PE</t>
  </si>
  <si>
    <t>batch size</t>
  </si>
  <si>
    <t>MUL latency (s)</t>
  </si>
  <si>
    <t>ADD latency (s)</t>
  </si>
  <si>
    <t>LeNet 5</t>
  </si>
  <si>
    <t>AlexNet</t>
  </si>
  <si>
    <t>VGG 16</t>
  </si>
  <si>
    <t>GoogleNet</t>
  </si>
  <si>
    <t>ResNet</t>
  </si>
  <si>
    <t>#MACs</t>
  </si>
  <si>
    <t>Single Frame Performance</t>
  </si>
  <si>
    <t>Data Delay (ns)</t>
  </si>
  <si>
    <t>Data Energy (pJ)</t>
  </si>
  <si>
    <t>Data Movement Overhead</t>
  </si>
  <si>
    <t>Latency (s)</t>
  </si>
  <si>
    <t>LACC</t>
  </si>
  <si>
    <t>DRISA_1T1C_NOR*</t>
  </si>
  <si>
    <t>DRISA_3T1C*</t>
  </si>
  <si>
    <t xml:space="preserve">* for 8-bit operations </t>
  </si>
  <si>
    <t>** estimated for multiplication by breaking into series of additions</t>
  </si>
  <si>
    <t>tRC (ns)</t>
  </si>
  <si>
    <t>MAC Latency (ns)</t>
  </si>
  <si>
    <t xml:space="preserve">#Weights </t>
  </si>
  <si>
    <t>POP (in #ACs)</t>
  </si>
  <si>
    <t>MUL (in #ACs')</t>
  </si>
  <si>
    <t>ADD (in #ACs')</t>
  </si>
  <si>
    <t xml:space="preserve">  ' AC means activation cycles </t>
  </si>
  <si>
    <t>Weight memory capacity (Mb)(stochastic)</t>
  </si>
  <si>
    <t>Weight memory capacity (Mb)(Binary)</t>
  </si>
  <si>
    <t>#PE</t>
  </si>
  <si>
    <t>SCOPE (H2D)</t>
  </si>
  <si>
    <t>data move lat. (ns)</t>
  </si>
  <si>
    <t>Area (mm2)</t>
  </si>
  <si>
    <t>SCOPE (vanilla)</t>
  </si>
  <si>
    <t># Neurons</t>
  </si>
  <si>
    <t>32ns</t>
  </si>
  <si>
    <t>From DRISA paper snippet</t>
  </si>
  <si>
    <t>Dyphase Paper reference</t>
  </si>
  <si>
    <t>75.75pJ</t>
  </si>
  <si>
    <t>64pJ</t>
  </si>
  <si>
    <t>Total Energy(pJ)</t>
  </si>
  <si>
    <t>Time(ns)</t>
  </si>
  <si>
    <t>Reference Case</t>
  </si>
  <si>
    <t>Consider the each MAC unit is mapped to 64 operands means 2 cycles delay for ODIN and 64 cycle delay for other designs</t>
  </si>
  <si>
    <t>Drisa experinmental setup</t>
  </si>
  <si>
    <t>(bank*subarray*mat) - this is actually calculated differently for different DRAM architectures</t>
  </si>
  <si>
    <t>Processing Latency (s) - Batch size 1</t>
  </si>
  <si>
    <t xml:space="preserve"> Bottleneck Latency (s) - Batch size 1</t>
  </si>
  <si>
    <t>Total Latency (s) - Batch size 1</t>
  </si>
  <si>
    <t>fr./s - Batch size 1</t>
  </si>
  <si>
    <t>memory bottleneck ratio - Batch size 1</t>
  </si>
  <si>
    <t xml:space="preserve">Batch Size </t>
  </si>
  <si>
    <t>Processing Latency (s) - Batch size 64</t>
  </si>
  <si>
    <t>Batch size 1</t>
  </si>
  <si>
    <t>Bottleneck Latency (s) - Batch size 64</t>
  </si>
  <si>
    <t>Total  Latency (s) - Batch size 64</t>
  </si>
  <si>
    <t>Performance fr./s - Batch size 64</t>
  </si>
  <si>
    <t>Bottleneck Ratio - Batch size 64</t>
  </si>
  <si>
    <t>row access EPB (pJ/bit)</t>
  </si>
  <si>
    <t>Power (W)</t>
  </si>
  <si>
    <t># per AC Ene (pJ)</t>
  </si>
  <si>
    <t>data move Energy   (pJ)</t>
  </si>
  <si>
    <t xml:space="preserve">Power (W) </t>
  </si>
  <si>
    <t xml:space="preserve">Processing Energy (J) </t>
  </si>
  <si>
    <t>BottleNeck Energy (J)</t>
  </si>
  <si>
    <t>Power Efficiency (FPS/W)</t>
  </si>
  <si>
    <t>Processing Energy (J)</t>
  </si>
  <si>
    <t>Batch Size - 64</t>
  </si>
  <si>
    <t xml:space="preserve"> Power (W)</t>
  </si>
  <si>
    <t>32:1 MUX</t>
  </si>
  <si>
    <t>Delay (CLK_Cycles)</t>
  </si>
  <si>
    <t>Delay (ns)</t>
  </si>
  <si>
    <t>Energy (pJ)</t>
  </si>
  <si>
    <t>Leakage (mW)</t>
  </si>
  <si>
    <t>16:1 MUX</t>
  </si>
  <si>
    <t>PCRAM Read</t>
  </si>
  <si>
    <t>PCRAM Write</t>
  </si>
  <si>
    <t>DRAM Read</t>
  </si>
  <si>
    <t>Energy (pJ/bit)</t>
  </si>
  <si>
    <t>Latency (ns)</t>
  </si>
  <si>
    <t>DRAM Write</t>
  </si>
  <si>
    <t>tRC time for DRAM Access</t>
  </si>
  <si>
    <t>Pulse width for PCRAM</t>
  </si>
  <si>
    <t>MUX</t>
  </si>
  <si>
    <t>ns</t>
  </si>
  <si>
    <t>pJ</t>
  </si>
  <si>
    <t>WRITE</t>
  </si>
  <si>
    <t>SRAM LUT</t>
  </si>
  <si>
    <t xml:space="preserve">for MAC, this latency is already part of READ </t>
  </si>
  <si>
    <t>Double activaiton and S/A ANDing + 3ns PALP</t>
  </si>
  <si>
    <t>write back the result (for filter sizes of 7x7 and 11x11, as well as fully connected layer)</t>
  </si>
  <si>
    <t>pass on to the FEB of the corresponding partition controller</t>
  </si>
  <si>
    <t>S-to-B counter</t>
  </si>
  <si>
    <t>B-to-S based on LUT</t>
  </si>
  <si>
    <t>run through FSMs to pass on to the target partition queue of the target bank conroller</t>
  </si>
  <si>
    <t>pass on to the bank controller through local queue</t>
  </si>
  <si>
    <t>WRITE in the target partition</t>
  </si>
  <si>
    <t>total delay of 32 MACs</t>
  </si>
  <si>
    <t>total delay of 1 MAC</t>
  </si>
  <si>
    <t>activation RelU</t>
  </si>
  <si>
    <t>total peripherals delay (HIDDEN; DO NOT INCLUDE IN LATENCY CALCULATIONS)</t>
  </si>
  <si>
    <t>data movement latency</t>
  </si>
  <si>
    <t xml:space="preserve">data movement energy </t>
  </si>
  <si>
    <t>total energy 32 MACs</t>
  </si>
  <si>
    <t>total energy per MAC</t>
  </si>
  <si>
    <t>COUNT THIS ENERGY as PART of COMPUTE ENERGY</t>
  </si>
  <si>
    <t>5-bit D Latch</t>
  </si>
  <si>
    <t>256 5-bit Random Select Bit Latches + setup interconnect energy</t>
  </si>
  <si>
    <t>ODIN
PCRAM</t>
  </si>
  <si>
    <t>area overhead (mm2)</t>
  </si>
  <si>
    <t>256 5-bit D latches in each PE; use the values at the top of this worksheet</t>
  </si>
  <si>
    <t xml:space="preserve">pooling </t>
  </si>
  <si>
    <t>relu</t>
  </si>
  <si>
    <t>version 1</t>
  </si>
  <si>
    <t>ODIN
DRAM</t>
  </si>
  <si>
    <t>Setup of Random Select Bit Latches from bank controller</t>
  </si>
  <si>
    <t>pass on to the FEB of the corresponding bank controller</t>
  </si>
  <si>
    <t>RESET CP</t>
  </si>
  <si>
    <t>SET CP</t>
  </si>
  <si>
    <t>READ CP</t>
  </si>
  <si>
    <r>
      <t xml:space="preserve">1. </t>
    </r>
    <r>
      <rPr>
        <b/>
        <sz val="11"/>
        <color theme="1"/>
        <rFont val="Calibri"/>
        <family val="2"/>
        <scheme val="minor"/>
      </rPr>
      <t>VERSION 1</t>
    </r>
    <r>
      <rPr>
        <sz val="11"/>
        <color theme="1"/>
        <rFont val="Calibri"/>
        <family val="2"/>
        <scheme val="minor"/>
      </rPr>
      <t xml:space="preserve">: 128 Gb (16 GB) capacity, 4 ranks, 8 chips per rank, 16 banks per chip, 8 partitions per bank --&gt; 1024 PEs --&gt; baseline area at 11 nm per 256 Mb PCRAM bank is 0.75 mm2 + 0.6 mm2 for peripherals [see 2012-ISSCC paper from samsung] --&gt; total area becomes 691.2 mm2 (?? Yes, it's huge) + overheads
2. total 512 banks can provide 1024 PEs, as in each bank 2 partitions can e read in parallel with only 3cycle (3ns) delay for PALP (see bullet 3 below); so you only have 512 copies of overheads and peripherals, with 1024 copies required for only charge pumps (one set of charge pumps will need 256 individual CPs as read/write width is 256)
3. utilize partition level parallelism (PALP) as much as possible to hide data movement latency; no need to output data off chip, so only 3 cycle (3ns) performance penalty per parallel access for partition setup time [see PALP paper]
4. MUX is already a part of PCRAM, but MUX is shared among all partitions, so no PALP available for computing, avialble only for data movement 
5. overhead would be to add 256 5-bit random select codes for 256 MUXs; 256 5-bit latches
6. Hieararchical controllers --&gt; 16 bank-level controllers per rank (govern inter-partition intra-bank data movement, intra-partition data movement, and in-RAM and in-peripherals feature extraction computing) + one rank-level controller per rank (govern inter-bank data movement); each bank level controller contains a feature extraction block (FEB) that implements S-to-B, pooling, activation, and B-to-S, as well as partition-wise input and output queues and FSMs; rank-level controllers implement bank-wise input-output queues and FSMs  
7. B-to-S --&gt; all parameters (weights and activation values) can be stored in memory in stochastic domain to begin with, so at the beginning store all wieghts and input activation values in the stochastic domain
8. S-to-B --&gt; for each output activation value, the corresponding stochastic inner product result gets coverted to binary, then pooling and activation is carried out, and then it is converted to stochastic, and then it is passed on to the bank-level controller. </t>
    </r>
  </si>
  <si>
    <t>total charge pumps (CPs) (Huge!!)</t>
  </si>
  <si>
    <t xml:space="preserve">4-bit D latch </t>
  </si>
  <si>
    <t>512 4-bit D latches in each PE; use the values at the top of this worksheet</t>
  </si>
  <si>
    <t xml:space="preserve">Setup of Random Select Bit Latches </t>
  </si>
  <si>
    <t>triple activaiton for MUL (AND)</t>
  </si>
  <si>
    <t>COPY</t>
  </si>
  <si>
    <t>run through FSMs to pass on to the target subarray queue of the target bank conroller</t>
  </si>
  <si>
    <t>WRITE in the target subarray</t>
  </si>
  <si>
    <t>total delay of 16 MACs</t>
  </si>
  <si>
    <t>512 4-bit Random Select Bit Latches + setup interconnect energy</t>
  </si>
  <si>
    <t>512 MUXs</t>
  </si>
  <si>
    <t>before triple activaiton, copy two operands</t>
  </si>
  <si>
    <t>total energy 16 MACs</t>
  </si>
  <si>
    <t>ODIN DRAM</t>
  </si>
  <si>
    <t>ODIN PCRAM</t>
  </si>
  <si>
    <t>Pooling+SRAM LUT+Relu area per PE (mm2)</t>
  </si>
  <si>
    <t>FPS/mm2</t>
  </si>
  <si>
    <t>FPS/W/mm2</t>
  </si>
  <si>
    <t>Batch size 64</t>
  </si>
  <si>
    <t>Batch 64</t>
  </si>
  <si>
    <t>Batch 1</t>
  </si>
  <si>
    <t xml:space="preserve">Total Latency (s) </t>
  </si>
  <si>
    <t>FPS/W</t>
  </si>
  <si>
    <t>Memory Bottleneck Ratio</t>
  </si>
  <si>
    <t>FPS</t>
  </si>
  <si>
    <t>DRISA_1T1C_NOR</t>
  </si>
  <si>
    <t>DRISA_3T1C</t>
  </si>
  <si>
    <t>SRAM LUT (512x256)</t>
  </si>
  <si>
    <t>LUT Relu</t>
  </si>
  <si>
    <t>LUT SNG</t>
  </si>
  <si>
    <t>ACC MUXes</t>
  </si>
  <si>
    <t>??</t>
  </si>
  <si>
    <r>
      <t xml:space="preserve">1. </t>
    </r>
    <r>
      <rPr>
        <b/>
        <sz val="11"/>
        <color theme="1"/>
        <rFont val="Calibri"/>
        <family val="2"/>
        <scheme val="minor"/>
      </rPr>
      <t>VERSION 1</t>
    </r>
    <r>
      <rPr>
        <sz val="11"/>
        <color theme="1"/>
        <rFont val="Calibri"/>
        <family val="2"/>
        <scheme val="minor"/>
      </rPr>
      <t xml:space="preserve">: 8 Gb (1 GB) capacity, 1 ranks, 8 chips per rank, 8 banks per chip, 64 subarrays per bank --&gt; 4096 PEs --&gt; total area becomes 66 mm2 + overheads
2. 
3. Design small tile size with only 256 cells per bitline
4. MUX is already a part of PCRAM, but MUX is shared among all partitions, so no PALP available for computing, avialble only for data movement 
5. overhead would be to add 512 4-bit random select codes for 512 MUXs; 512 4-bit latches
6. Hieararchical controllers --&gt; subarray level controllers + bank level controllers + rank level controllers; subarray level controllers govern intra-subarray data movement, and in-RAM and in-peripherals feature extraction computing; bank-level controller govern inter-subarray data movement; each subarray level controller contains a feature extraction block (FEB) that implements S-to-B, pooling, activation, and B-to-S, as well as input and output queues and FSMs for time control; bank-level controllers implement subarray wise input-output queues and FSMs for control 
7. B-to-S --&gt; all parameters (weights and activation values) can be stored in memory in stochastic domain to begin with, so at the beginning store all wieghts and input activation values in the stochastic domain
8. S-to-B --&gt; for each output activation value, the corresponding stochastic inner product result gets coverted to binary, then pooling and activation is carried out, and then it is converted to stochastic, and then it is passed on to the bank-level controller. </t>
    </r>
  </si>
  <si>
    <t xml:space="preserve">(Normalized)Total Latency (s) </t>
  </si>
  <si>
    <t>FPS/W/mm2 (Normalized)</t>
  </si>
  <si>
    <t>Batch Size 64</t>
  </si>
  <si>
    <t>Batch Size 1</t>
  </si>
  <si>
    <t>GM</t>
  </si>
  <si>
    <t>ODIN_DRAM</t>
  </si>
  <si>
    <t>ResNET</t>
  </si>
  <si>
    <t>SCOPE(H2D)</t>
  </si>
  <si>
    <t>VGG16</t>
  </si>
  <si>
    <t>GoogLeNet</t>
  </si>
  <si>
    <t>ERROR</t>
  </si>
  <si>
    <t>Golden</t>
  </si>
  <si>
    <t>Training</t>
  </si>
  <si>
    <t xml:space="preserve">Training </t>
  </si>
  <si>
    <t>On an average, the accuracy loss is 3% less for SCOPE compared to the Reference design. Similarly, the accuracy loss of ODIN is 2.75% less than the Reference design</t>
  </si>
  <si>
    <t>gm</t>
  </si>
  <si>
    <t>ATRIA</t>
  </si>
  <si>
    <t>Year 1</t>
  </si>
  <si>
    <t>Year 2</t>
  </si>
  <si>
    <t>Year 3</t>
  </si>
  <si>
    <t>Year 4</t>
  </si>
  <si>
    <t>Year 5</t>
  </si>
  <si>
    <t>Year 6</t>
  </si>
  <si>
    <t>Year 7</t>
  </si>
  <si>
    <t>Year 8</t>
  </si>
  <si>
    <t>Year 9</t>
  </si>
  <si>
    <t>Year 10</t>
  </si>
  <si>
    <t>Year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</si>
</sst>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34" x14ac:knownFonts="1">
    <font>
      <sz val="11"/>
      <color theme="1"/>
      <name val="Calibri"/>
      <family val="2"/>
      <scheme val="minor"/>
    </font>
    <font>
      <sz val="11"/>
      <color rgb="FF006100"/>
      <name val="Calibri"/>
      <family val="2"/>
      <scheme val="minor"/>
    </font>
    <font>
      <sz val="11"/>
      <color rgb="FF3F3F76"/>
      <name val="Calibri"/>
      <family val="2"/>
      <scheme val="minor"/>
    </font>
    <font>
      <b/>
      <sz val="11"/>
      <color theme="1"/>
      <name val="Calibri"/>
      <family val="2"/>
      <scheme val="minor"/>
    </font>
    <font>
      <b/>
      <sz val="11"/>
      <color rgb="FF006100"/>
      <name val="Calibri"/>
      <family val="2"/>
      <scheme val="minor"/>
    </font>
    <font>
      <b/>
      <sz val="11"/>
      <color rgb="FFC00000"/>
      <name val="Bookman Old Style"/>
      <family val="1"/>
    </font>
    <font>
      <sz val="11"/>
      <color theme="1"/>
      <name val="Bookman Old Style"/>
      <family val="1"/>
    </font>
    <font>
      <sz val="11"/>
      <color rgb="FFFF0000"/>
      <name val="Bookman Old Style"/>
      <family val="1"/>
    </font>
    <font>
      <b/>
      <sz val="11"/>
      <color theme="1"/>
      <name val="Bookman Old Style"/>
      <family val="1"/>
    </font>
    <font>
      <sz val="11"/>
      <name val="Bookman Old Style"/>
      <family val="1"/>
    </font>
    <font>
      <b/>
      <sz val="9"/>
      <color rgb="FFC00000"/>
      <name val="Bookman Old Style"/>
      <family val="1"/>
    </font>
    <font>
      <sz val="11"/>
      <color rgb="FFC00000"/>
      <name val="Bookman Old Style"/>
      <family val="1"/>
    </font>
    <font>
      <sz val="11"/>
      <color rgb="FF37474F"/>
      <name val="Roboto Mono"/>
      <family val="3"/>
    </font>
    <font>
      <sz val="11"/>
      <color theme="1"/>
      <name val="Calibri"/>
      <family val="2"/>
      <scheme val="minor"/>
    </font>
    <font>
      <sz val="11"/>
      <color rgb="FFFF0000"/>
      <name val="Calibri"/>
      <family val="2"/>
      <scheme val="minor"/>
    </font>
    <font>
      <b/>
      <sz val="11"/>
      <color rgb="FFFF0000"/>
      <name val="Calibri"/>
      <family val="2"/>
      <scheme val="minor"/>
    </font>
    <font>
      <b/>
      <sz val="14"/>
      <color theme="1"/>
      <name val="Calibri"/>
      <family val="2"/>
      <scheme val="minor"/>
    </font>
    <font>
      <b/>
      <sz val="16"/>
      <color rgb="FF00B050"/>
      <name val="Calibri"/>
      <family val="2"/>
      <scheme val="minor"/>
    </font>
    <font>
      <sz val="11"/>
      <color rgb="FF00B0F0"/>
      <name val="Calibri"/>
      <family val="2"/>
      <scheme val="minor"/>
    </font>
    <font>
      <sz val="11"/>
      <color rgb="FF7030A0"/>
      <name val="Calibri"/>
      <family val="2"/>
      <scheme val="minor"/>
    </font>
    <font>
      <sz val="11"/>
      <color theme="5"/>
      <name val="Calibri"/>
      <family val="2"/>
      <scheme val="minor"/>
    </font>
    <font>
      <b/>
      <sz val="14"/>
      <color rgb="FF00B0F0"/>
      <name val="Calibri"/>
      <family val="2"/>
      <scheme val="minor"/>
    </font>
    <font>
      <b/>
      <sz val="14"/>
      <color theme="5"/>
      <name val="Calibri"/>
      <family val="2"/>
      <scheme val="minor"/>
    </font>
    <font>
      <b/>
      <sz val="16"/>
      <color theme="5"/>
      <name val="Calibri"/>
      <family val="2"/>
      <scheme val="minor"/>
    </font>
    <font>
      <sz val="10"/>
      <name val="Arial"/>
      <family val="2"/>
    </font>
    <font>
      <i/>
      <sz val="10"/>
      <name val="Arial"/>
      <family val="2"/>
    </font>
    <font>
      <b/>
      <sz val="10"/>
      <name val="Arial"/>
      <family val="2"/>
    </font>
    <font>
      <b/>
      <i/>
      <sz val="10"/>
      <color rgb="FF0000FF"/>
      <name val="Arial"/>
      <family val="2"/>
    </font>
    <font>
      <b/>
      <sz val="16"/>
      <color rgb="FFFF0000"/>
      <name val="Calibri"/>
      <family val="2"/>
      <scheme val="minor"/>
    </font>
    <font>
      <sz val="8"/>
      <color theme="1"/>
      <name val="Times New Roman"/>
      <family val="1"/>
    </font>
    <font>
      <b/>
      <sz val="16"/>
      <color theme="1"/>
      <name val="Calibri"/>
      <family val="2"/>
      <scheme val="minor"/>
    </font>
    <font>
      <b/>
      <sz val="18"/>
      <color theme="1"/>
      <name val="Calibri"/>
      <family val="2"/>
      <scheme val="minor"/>
    </font>
    <font>
      <sz val="12"/>
      <color theme="1"/>
      <name val="Aldhabi"/>
    </font>
    <font>
      <sz val="8"/>
      <name val="Calibri"/>
      <family val="2"/>
      <scheme val="minor"/>
    </font>
  </fonts>
  <fills count="8">
    <fill>
      <patternFill patternType="none"/>
    </fill>
    <fill>
      <patternFill patternType="gray125"/>
    </fill>
    <fill>
      <patternFill patternType="solid">
        <fgColor rgb="FFC6EFCE"/>
      </patternFill>
    </fill>
    <fill>
      <patternFill patternType="solid">
        <fgColor rgb="FFFFCC99"/>
      </patternFill>
    </fill>
    <fill>
      <patternFill patternType="solid">
        <fgColor theme="9" tint="0.59999389629810485"/>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style="thin">
        <color rgb="FFFF0000"/>
      </right>
      <top style="thin">
        <color rgb="FFFF0000"/>
      </top>
      <bottom/>
      <diagonal/>
    </border>
    <border>
      <left/>
      <right/>
      <top style="thin">
        <color rgb="FFFF0000"/>
      </top>
      <bottom/>
      <diagonal/>
    </border>
    <border>
      <left/>
      <right style="thin">
        <color rgb="FFFF0000"/>
      </right>
      <top/>
      <bottom/>
      <diagonal/>
    </border>
    <border>
      <left/>
      <right/>
      <top/>
      <bottom style="thin">
        <color rgb="FFFF0000"/>
      </bottom>
      <diagonal/>
    </border>
    <border>
      <left style="thin">
        <color rgb="FFFF0000"/>
      </left>
      <right/>
      <top style="thin">
        <color rgb="FFFF0000"/>
      </top>
      <bottom/>
      <diagonal/>
    </border>
    <border>
      <left style="thin">
        <color rgb="FFFF0000"/>
      </left>
      <right style="thin">
        <color rgb="FFFF0000"/>
      </right>
      <top/>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9" fontId="13" fillId="0" borderId="0" applyFont="0" applyFill="0" applyBorder="0" applyAlignment="0" applyProtection="0"/>
  </cellStyleXfs>
  <cellXfs count="145">
    <xf numFmtId="0" fontId="0" fillId="0" borderId="0" xfId="0"/>
    <xf numFmtId="0" fontId="4" fillId="2" borderId="2" xfId="1" applyFont="1" applyBorder="1"/>
    <xf numFmtId="0" fontId="3" fillId="0" borderId="0" xfId="0" applyFont="1"/>
    <xf numFmtId="0" fontId="0" fillId="0" borderId="2" xfId="0" applyBorder="1"/>
    <xf numFmtId="0" fontId="4" fillId="2" borderId="3" xfId="1" applyFont="1" applyBorder="1"/>
    <xf numFmtId="11" fontId="0" fillId="0" borderId="0" xfId="0" applyNumberFormat="1"/>
    <xf numFmtId="11" fontId="0" fillId="0" borderId="2" xfId="0" applyNumberFormat="1" applyBorder="1"/>
    <xf numFmtId="0" fontId="4" fillId="2" borderId="2" xfId="1" applyNumberFormat="1" applyFont="1" applyBorder="1"/>
    <xf numFmtId="0" fontId="3" fillId="0" borderId="2" xfId="0" applyFont="1" applyBorder="1"/>
    <xf numFmtId="9" fontId="0" fillId="0" borderId="2" xfId="0" applyNumberFormat="1" applyBorder="1"/>
    <xf numFmtId="10" fontId="0" fillId="0" borderId="2" xfId="0" applyNumberFormat="1" applyBorder="1"/>
    <xf numFmtId="0" fontId="0" fillId="0" borderId="0" xfId="0" applyAlignment="1">
      <alignment horizontal="left"/>
    </xf>
    <xf numFmtId="0" fontId="0" fillId="0" borderId="2" xfId="0" applyBorder="1" applyAlignment="1">
      <alignment horizontal="left"/>
    </xf>
    <xf numFmtId="0" fontId="3" fillId="0" borderId="0" xfId="0" applyFont="1" applyAlignment="1">
      <alignment wrapText="1"/>
    </xf>
    <xf numFmtId="0" fontId="0" fillId="0" borderId="0" xfId="0" applyAlignment="1">
      <alignment wrapText="1"/>
    </xf>
    <xf numFmtId="0" fontId="0" fillId="0" borderId="2" xfId="0" applyBorder="1" applyAlignment="1">
      <alignment wrapText="1"/>
    </xf>
    <xf numFmtId="0" fontId="3" fillId="0" borderId="2" xfId="0" applyFont="1" applyBorder="1" applyAlignment="1">
      <alignment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xf>
    <xf numFmtId="0" fontId="6" fillId="0" borderId="2" xfId="0"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5" fillId="0" borderId="2" xfId="0" applyFont="1" applyBorder="1" applyAlignment="1">
      <alignment horizontal="center" vertical="center"/>
    </xf>
    <xf numFmtId="0" fontId="11" fillId="0" borderId="2" xfId="0" applyFont="1" applyBorder="1" applyAlignment="1">
      <alignment horizontal="center" vertical="center"/>
    </xf>
    <xf numFmtId="0" fontId="3" fillId="0" borderId="9" xfId="0" applyFont="1" applyBorder="1"/>
    <xf numFmtId="0" fontId="3" fillId="0" borderId="2" xfId="0" applyFont="1" applyBorder="1" applyAlignment="1">
      <alignment horizontal="left"/>
    </xf>
    <xf numFmtId="3" fontId="0" fillId="0" borderId="0" xfId="0" applyNumberFormat="1"/>
    <xf numFmtId="3" fontId="3" fillId="0" borderId="0" xfId="0" applyNumberFormat="1" applyFont="1"/>
    <xf numFmtId="0" fontId="0" fillId="0" borderId="9"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6" xfId="0" applyBorder="1"/>
    <xf numFmtId="0" fontId="3" fillId="0" borderId="19" xfId="0" applyFont="1" applyBorder="1"/>
    <xf numFmtId="0" fontId="0" fillId="0" borderId="20" xfId="0" applyBorder="1"/>
    <xf numFmtId="0" fontId="0" fillId="0" borderId="21" xfId="0" applyBorder="1"/>
    <xf numFmtId="0" fontId="0" fillId="0" borderId="14"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5" xfId="0" applyBorder="1" applyAlignment="1">
      <alignment horizontal="left"/>
    </xf>
    <xf numFmtId="0" fontId="0" fillId="0" borderId="5" xfId="0" applyBorder="1"/>
    <xf numFmtId="0" fontId="3" fillId="0" borderId="0" xfId="0" applyFont="1" applyAlignment="1">
      <alignment horizontal="left"/>
    </xf>
    <xf numFmtId="0" fontId="0" fillId="0" borderId="20" xfId="0" applyBorder="1" applyAlignment="1">
      <alignment horizontal="left"/>
    </xf>
    <xf numFmtId="0" fontId="3" fillId="0" borderId="2" xfId="0" applyFont="1" applyBorder="1" applyAlignment="1">
      <alignment horizontal="left" wrapText="1"/>
    </xf>
    <xf numFmtId="0" fontId="0" fillId="0" borderId="2" xfId="0" applyBorder="1" applyAlignment="1">
      <alignment horizontal="left" wrapText="1"/>
    </xf>
    <xf numFmtId="0" fontId="12" fillId="0" borderId="0" xfId="0" applyFont="1" applyAlignment="1">
      <alignment horizontal="left" vertical="center" readingOrder="1"/>
    </xf>
    <xf numFmtId="0" fontId="0" fillId="4" borderId="0" xfId="0" applyFill="1"/>
    <xf numFmtId="0" fontId="3" fillId="0" borderId="6" xfId="0" applyFont="1" applyBorder="1"/>
    <xf numFmtId="0" fontId="3" fillId="5" borderId="2" xfId="0" applyFont="1" applyFill="1" applyBorder="1"/>
    <xf numFmtId="0" fontId="0" fillId="0" borderId="0" xfId="0" applyAlignment="1">
      <alignment horizontal="center"/>
    </xf>
    <xf numFmtId="0" fontId="0" fillId="0" borderId="0" xfId="0" quotePrefix="1"/>
    <xf numFmtId="0" fontId="14" fillId="0" borderId="0" xfId="0" applyFont="1"/>
    <xf numFmtId="164" fontId="0" fillId="0" borderId="0" xfId="3" applyNumberFormat="1" applyFont="1"/>
    <xf numFmtId="0" fontId="0" fillId="0" borderId="31" xfId="0" applyBorder="1"/>
    <xf numFmtId="0" fontId="15" fillId="0" borderId="25" xfId="0" applyFont="1" applyBorder="1" applyAlignment="1">
      <alignment horizontal="right"/>
    </xf>
    <xf numFmtId="0" fontId="15" fillId="0" borderId="0" xfId="0" applyFont="1" applyAlignment="1">
      <alignment wrapText="1"/>
    </xf>
    <xf numFmtId="0" fontId="15" fillId="0" borderId="28" xfId="0" applyFont="1" applyBorder="1"/>
    <xf numFmtId="0" fontId="15" fillId="0" borderId="26" xfId="0" applyFont="1" applyBorder="1"/>
    <xf numFmtId="0" fontId="15" fillId="0" borderId="27" xfId="0" applyFont="1" applyBorder="1"/>
    <xf numFmtId="0" fontId="0" fillId="6" borderId="0" xfId="0" applyFill="1"/>
    <xf numFmtId="0" fontId="0" fillId="6" borderId="0" xfId="0" applyFill="1" applyAlignment="1">
      <alignment wrapText="1"/>
    </xf>
    <xf numFmtId="0" fontId="3" fillId="6" borderId="0" xfId="0" applyFont="1" applyFill="1"/>
    <xf numFmtId="0" fontId="3" fillId="6" borderId="33" xfId="0" applyFont="1" applyFill="1" applyBorder="1"/>
    <xf numFmtId="0" fontId="3" fillId="6" borderId="30" xfId="0" applyFont="1" applyFill="1" applyBorder="1"/>
    <xf numFmtId="0" fontId="3" fillId="6" borderId="29" xfId="0" applyFont="1" applyFill="1" applyBorder="1" applyAlignment="1">
      <alignment wrapText="1"/>
    </xf>
    <xf numFmtId="0" fontId="14" fillId="6" borderId="25" xfId="0" applyFont="1" applyFill="1" applyBorder="1"/>
    <xf numFmtId="0" fontId="14" fillId="6" borderId="27" xfId="0" applyFont="1" applyFill="1" applyBorder="1"/>
    <xf numFmtId="0" fontId="14" fillId="6" borderId="34" xfId="0" applyFont="1" applyFill="1" applyBorder="1"/>
    <xf numFmtId="0" fontId="0" fillId="6" borderId="0" xfId="0" applyFill="1" applyAlignment="1">
      <alignment horizontal="right"/>
    </xf>
    <xf numFmtId="0" fontId="14" fillId="6" borderId="32" xfId="0" applyFont="1" applyFill="1" applyBorder="1"/>
    <xf numFmtId="0" fontId="15" fillId="6" borderId="25" xfId="0" applyFont="1" applyFill="1" applyBorder="1" applyAlignment="1">
      <alignment vertical="center"/>
    </xf>
    <xf numFmtId="0" fontId="15" fillId="6" borderId="25" xfId="0" applyFont="1" applyFill="1" applyBorder="1" applyAlignment="1">
      <alignment horizontal="center" wrapText="1"/>
    </xf>
    <xf numFmtId="0" fontId="17" fillId="0" borderId="0" xfId="0" applyFont="1" applyAlignment="1">
      <alignment wrapText="1"/>
    </xf>
    <xf numFmtId="0" fontId="0" fillId="0" borderId="0" xfId="0" applyAlignment="1">
      <alignment horizontal="center" wrapText="1"/>
    </xf>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11" fontId="0" fillId="6" borderId="0" xfId="0" applyNumberFormat="1" applyFill="1"/>
    <xf numFmtId="0" fontId="15" fillId="0" borderId="0" xfId="0" applyFont="1"/>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25" fillId="0" borderId="0" xfId="0" applyFont="1" applyAlignment="1">
      <alignment horizontal="left"/>
    </xf>
    <xf numFmtId="0" fontId="26" fillId="0" borderId="2" xfId="0" applyFont="1" applyBorder="1" applyAlignment="1">
      <alignment horizontal="center"/>
    </xf>
    <xf numFmtId="0" fontId="27" fillId="0" borderId="2" xfId="0" applyFont="1" applyBorder="1" applyAlignment="1">
      <alignment horizontal="left"/>
    </xf>
    <xf numFmtId="0" fontId="26" fillId="0" borderId="2" xfId="0" applyFont="1" applyBorder="1" applyAlignment="1">
      <alignment horizontal="left"/>
    </xf>
    <xf numFmtId="0" fontId="26" fillId="0" borderId="35" xfId="0" applyFont="1" applyBorder="1" applyAlignment="1">
      <alignment horizontal="left"/>
    </xf>
    <xf numFmtId="0" fontId="3" fillId="0" borderId="7" xfId="0" applyFont="1" applyBorder="1"/>
    <xf numFmtId="164" fontId="0" fillId="0" borderId="2" xfId="3" applyNumberFormat="1" applyFont="1" applyBorder="1"/>
    <xf numFmtId="0" fontId="28" fillId="0" borderId="0" xfId="0" applyFont="1"/>
    <xf numFmtId="165" fontId="0" fillId="0" borderId="2" xfId="0" applyNumberFormat="1" applyBorder="1"/>
    <xf numFmtId="165" fontId="24" fillId="0" borderId="2" xfId="0" applyNumberFormat="1" applyFont="1" applyBorder="1"/>
    <xf numFmtId="165" fontId="0" fillId="0" borderId="35" xfId="0" applyNumberFormat="1" applyBorder="1"/>
    <xf numFmtId="165" fontId="24" fillId="0" borderId="35" xfId="0" applyNumberFormat="1" applyFont="1" applyBorder="1"/>
    <xf numFmtId="0" fontId="3" fillId="0" borderId="8" xfId="0" applyFont="1" applyBorder="1"/>
    <xf numFmtId="0" fontId="3" fillId="0" borderId="9" xfId="0" applyFont="1" applyBorder="1" applyAlignment="1">
      <alignment horizontal="left"/>
    </xf>
    <xf numFmtId="9" fontId="0" fillId="0" borderId="2" xfId="3" applyFont="1" applyBorder="1"/>
    <xf numFmtId="0" fontId="29" fillId="0" borderId="0" xfId="0" applyFont="1" applyAlignment="1">
      <alignment horizontal="center" vertical="center" wrapText="1"/>
    </xf>
    <xf numFmtId="0" fontId="0" fillId="7" borderId="0" xfId="0" applyFill="1"/>
    <xf numFmtId="0" fontId="32" fillId="0" borderId="0" xfId="0" applyFont="1"/>
    <xf numFmtId="165" fontId="0" fillId="0" borderId="9" xfId="0" applyNumberFormat="1" applyBorder="1"/>
    <xf numFmtId="0" fontId="2" fillId="3" borderId="1" xfId="2" applyAlignment="1">
      <alignment horizontal="center"/>
    </xf>
    <xf numFmtId="0" fontId="3" fillId="0" borderId="2" xfId="0" applyFont="1" applyBorder="1" applyAlignment="1">
      <alignment horizontal="center"/>
    </xf>
    <xf numFmtId="0" fontId="3" fillId="0" borderId="2" xfId="0" applyFont="1" applyBorder="1" applyAlignment="1">
      <alignment horizontal="center" textRotation="45"/>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4" xfId="0" applyFont="1" applyBorder="1" applyAlignment="1">
      <alignment horizontal="center" wrapText="1"/>
    </xf>
    <xf numFmtId="0" fontId="3" fillId="0" borderId="5" xfId="0" applyFont="1" applyBorder="1" applyAlignment="1">
      <alignment horizontal="center" wrapText="1"/>
    </xf>
    <xf numFmtId="0" fontId="6" fillId="0" borderId="4" xfId="0" applyFont="1" applyBorder="1" applyAlignment="1">
      <alignment horizontal="center" vertical="center" textRotation="90" wrapText="1"/>
    </xf>
    <xf numFmtId="0" fontId="6" fillId="0" borderId="9" xfId="0" applyFont="1" applyBorder="1" applyAlignment="1">
      <alignment horizontal="center" vertical="center" textRotation="90" wrapText="1"/>
    </xf>
    <xf numFmtId="0" fontId="6" fillId="0" borderId="5" xfId="0" applyFont="1" applyBorder="1" applyAlignment="1">
      <alignment horizontal="center" vertical="center" textRotation="90" wrapText="1"/>
    </xf>
    <xf numFmtId="0" fontId="3" fillId="0" borderId="0" xfId="0" applyFont="1" applyAlignment="1">
      <alignment horizontal="center"/>
    </xf>
    <xf numFmtId="0" fontId="0" fillId="5" borderId="2" xfId="0" applyFill="1"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3" fillId="0" borderId="22" xfId="0" applyFont="1" applyBorder="1" applyAlignment="1">
      <alignment horizontal="center" wrapText="1"/>
    </xf>
    <xf numFmtId="0" fontId="3" fillId="0" borderId="23" xfId="0" applyFont="1" applyBorder="1" applyAlignment="1">
      <alignment horizontal="center" wrapText="1"/>
    </xf>
    <xf numFmtId="0" fontId="3" fillId="0" borderId="10" xfId="0" applyFont="1" applyBorder="1" applyAlignment="1">
      <alignment horizontal="center" wrapText="1"/>
    </xf>
    <xf numFmtId="0" fontId="3" fillId="0" borderId="24" xfId="0" applyFont="1" applyBorder="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6" borderId="0" xfId="0" applyFill="1" applyAlignment="1">
      <alignment horizontal="center"/>
    </xf>
    <xf numFmtId="164" fontId="3" fillId="0" borderId="0" xfId="3" applyNumberFormat="1" applyFont="1" applyAlignment="1">
      <alignment horizontal="center"/>
    </xf>
    <xf numFmtId="164" fontId="0" fillId="0" borderId="0" xfId="3" applyNumberFormat="1" applyFont="1" applyAlignment="1">
      <alignment horizontal="center"/>
    </xf>
    <xf numFmtId="0" fontId="16" fillId="0" borderId="0" xfId="0" applyFont="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1" fillId="0" borderId="2" xfId="0" applyFont="1" applyBorder="1" applyAlignment="1">
      <alignment horizontal="center"/>
    </xf>
    <xf numFmtId="0" fontId="30" fillId="0" borderId="2" xfId="0" applyFont="1" applyBorder="1" applyAlignment="1">
      <alignment horizontal="center"/>
    </xf>
    <xf numFmtId="0" fontId="3" fillId="0" borderId="3" xfId="0" applyFont="1" applyBorder="1" applyAlignment="1">
      <alignment horizontal="center"/>
    </xf>
    <xf numFmtId="0" fontId="3" fillId="0" borderId="36" xfId="0" applyFont="1" applyBorder="1" applyAlignment="1">
      <alignment horizontal="center"/>
    </xf>
    <xf numFmtId="0" fontId="3" fillId="0" borderId="2" xfId="0" applyFont="1" applyBorder="1" applyAlignment="1">
      <alignment horizontal="center" wrapText="1"/>
    </xf>
    <xf numFmtId="0" fontId="3" fillId="0" borderId="37" xfId="0" applyFont="1" applyBorder="1" applyAlignment="1">
      <alignment horizontal="center"/>
    </xf>
  </cellXfs>
  <cellStyles count="4">
    <cellStyle name="Good" xfId="1" builtinId="26"/>
    <cellStyle name="Input" xfId="2" builtinId="20"/>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475596038300089"/>
          <c:y val="0.14454825823862277"/>
          <c:w val="0.8621670461923967"/>
          <c:h val="0.64433161246466752"/>
        </c:manualLayout>
      </c:layout>
      <c:barChart>
        <c:barDir val="col"/>
        <c:grouping val="clustered"/>
        <c:varyColors val="0"/>
        <c:ser>
          <c:idx val="0"/>
          <c:order val="0"/>
          <c:tx>
            <c:strRef>
              <c:f>Graphs!$B$111</c:f>
              <c:strCache>
                <c:ptCount val="1"/>
                <c:pt idx="0">
                  <c:v>DRISA_1T1C_NOR</c:v>
                </c:pt>
              </c:strCache>
            </c:strRef>
          </c:tx>
          <c:spPr>
            <a:solidFill>
              <a:schemeClr val="accent1"/>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('Final Calculations'!$AJ$37:$AM$37,'Final Calculations'!$BN$37:$BQ$37)</c:f>
              <c:numCache>
                <c:formatCode>0.0%</c:formatCode>
                <c:ptCount val="8"/>
                <c:pt idx="0">
                  <c:v>0.13532526814881815</c:v>
                </c:pt>
                <c:pt idx="1">
                  <c:v>0.12630297822633924</c:v>
                </c:pt>
                <c:pt idx="2">
                  <c:v>0.2446424583481108</c:v>
                </c:pt>
                <c:pt idx="3">
                  <c:v>0.27016803695284775</c:v>
                </c:pt>
                <c:pt idx="4">
                  <c:v>9.4478627289995745E-2</c:v>
                </c:pt>
                <c:pt idx="5">
                  <c:v>8.7902779777656842E-2</c:v>
                </c:pt>
                <c:pt idx="6">
                  <c:v>0.17757583518648762</c:v>
                </c:pt>
                <c:pt idx="7">
                  <c:v>0.19793748524453122</c:v>
                </c:pt>
              </c:numCache>
            </c:numRef>
          </c:val>
          <c:extLst>
            <c:ext xmlns:c16="http://schemas.microsoft.com/office/drawing/2014/chart" uri="{C3380CC4-5D6E-409C-BE32-E72D297353CC}">
              <c16:uniqueId val="{00000000-77EC-4C9B-97E4-68C9E1856B39}"/>
            </c:ext>
          </c:extLst>
        </c:ser>
        <c:ser>
          <c:idx val="1"/>
          <c:order val="1"/>
          <c:tx>
            <c:strRef>
              <c:f>Graphs!$B$112</c:f>
              <c:strCache>
                <c:ptCount val="1"/>
                <c:pt idx="0">
                  <c:v>DRISA_3T1C</c:v>
                </c:pt>
              </c:strCache>
            </c:strRef>
          </c:tx>
          <c:spPr>
            <a:solidFill>
              <a:schemeClr val="accent2"/>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('Final Calculations'!$AJ$38:$AM$38,'Final Calculations'!$BN$38:$BQ$38)</c:f>
              <c:numCache>
                <c:formatCode>0.0%</c:formatCode>
                <c:ptCount val="8"/>
                <c:pt idx="0">
                  <c:v>0.14684327570977904</c:v>
                </c:pt>
                <c:pt idx="1">
                  <c:v>0.13717489228178184</c:v>
                </c:pt>
                <c:pt idx="2">
                  <c:v>0.26263870004203316</c:v>
                </c:pt>
                <c:pt idx="3">
                  <c:v>0.28932276610275542</c:v>
                </c:pt>
                <c:pt idx="4">
                  <c:v>0.10293390086821061</c:v>
                </c:pt>
                <c:pt idx="5">
                  <c:v>9.5831835421560554E-2</c:v>
                </c:pt>
                <c:pt idx="6">
                  <c:v>0.19189187780660599</c:v>
                </c:pt>
                <c:pt idx="7">
                  <c:v>0.21346899032075833</c:v>
                </c:pt>
              </c:numCache>
            </c:numRef>
          </c:val>
          <c:extLst>
            <c:ext xmlns:c16="http://schemas.microsoft.com/office/drawing/2014/chart" uri="{C3380CC4-5D6E-409C-BE32-E72D297353CC}">
              <c16:uniqueId val="{00000001-77EC-4C9B-97E4-68C9E1856B39}"/>
            </c:ext>
          </c:extLst>
        </c:ser>
        <c:ser>
          <c:idx val="2"/>
          <c:order val="2"/>
          <c:tx>
            <c:strRef>
              <c:f>Graphs!$B$113</c:f>
              <c:strCache>
                <c:ptCount val="1"/>
                <c:pt idx="0">
                  <c:v>LACC</c:v>
                </c:pt>
              </c:strCache>
            </c:strRef>
          </c:tx>
          <c:spPr>
            <a:solidFill>
              <a:schemeClr val="accent3"/>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('Final Calculations'!$AJ$39:$AM$39,'Final Calculations'!$BN$39:$BQ$39)</c:f>
              <c:numCache>
                <c:formatCode>0.0%</c:formatCode>
                <c:ptCount val="8"/>
                <c:pt idx="0">
                  <c:v>0.42812891758567795</c:v>
                </c:pt>
                <c:pt idx="1">
                  <c:v>0.40881478749741734</c:v>
                </c:pt>
                <c:pt idx="2">
                  <c:v>0.60773218511062477</c:v>
                </c:pt>
                <c:pt idx="3">
                  <c:v>0.6390890861785723</c:v>
                </c:pt>
                <c:pt idx="4">
                  <c:v>1.1562340012153166E-2</c:v>
                </c:pt>
                <c:pt idx="5">
                  <c:v>1.0689458288761012E-2</c:v>
                </c:pt>
                <c:pt idx="6">
                  <c:v>2.3635328528106844E-2</c:v>
                </c:pt>
                <c:pt idx="7">
                  <c:v>2.6923311770250591E-2</c:v>
                </c:pt>
              </c:numCache>
            </c:numRef>
          </c:val>
          <c:extLst>
            <c:ext xmlns:c16="http://schemas.microsoft.com/office/drawing/2014/chart" uri="{C3380CC4-5D6E-409C-BE32-E72D297353CC}">
              <c16:uniqueId val="{00000002-77EC-4C9B-97E4-68C9E1856B39}"/>
            </c:ext>
          </c:extLst>
        </c:ser>
        <c:ser>
          <c:idx val="3"/>
          <c:order val="3"/>
          <c:tx>
            <c:strRef>
              <c:f>Graphs!$B$114</c:f>
              <c:strCache>
                <c:ptCount val="1"/>
                <c:pt idx="0">
                  <c:v>SCOPE (vanilla)</c:v>
                </c:pt>
              </c:strCache>
            </c:strRef>
          </c:tx>
          <c:spPr>
            <a:solidFill>
              <a:schemeClr val="accent4"/>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('Final Calculations'!$AJ$40:$AM$40,'Final Calculations'!$BN$40:$BQ$40)</c:f>
              <c:numCache>
                <c:formatCode>0.0%</c:formatCode>
                <c:ptCount val="8"/>
                <c:pt idx="0">
                  <c:v>0.97914063389239547</c:v>
                </c:pt>
                <c:pt idx="1">
                  <c:v>0.97745621989985765</c:v>
                </c:pt>
                <c:pt idx="2">
                  <c:v>0.989810451663654</c:v>
                </c:pt>
                <c:pt idx="3">
                  <c:v>0.99107358702759862</c:v>
                </c:pt>
                <c:pt idx="4">
                  <c:v>0.42311208763669556</c:v>
                </c:pt>
                <c:pt idx="5">
                  <c:v>0.40386444784434833</c:v>
                </c:pt>
                <c:pt idx="6">
                  <c:v>0.60282928741487973</c:v>
                </c:pt>
                <c:pt idx="7">
                  <c:v>0.63434230184389462</c:v>
                </c:pt>
              </c:numCache>
            </c:numRef>
          </c:val>
          <c:extLst>
            <c:ext xmlns:c16="http://schemas.microsoft.com/office/drawing/2014/chart" uri="{C3380CC4-5D6E-409C-BE32-E72D297353CC}">
              <c16:uniqueId val="{00000003-77EC-4C9B-97E4-68C9E1856B39}"/>
            </c:ext>
          </c:extLst>
        </c:ser>
        <c:ser>
          <c:idx val="4"/>
          <c:order val="4"/>
          <c:tx>
            <c:strRef>
              <c:f>Graphs!$B$115</c:f>
              <c:strCache>
                <c:ptCount val="1"/>
                <c:pt idx="0">
                  <c:v>SCOPE (H2D)</c:v>
                </c:pt>
              </c:strCache>
            </c:strRef>
          </c:tx>
          <c:spPr>
            <a:solidFill>
              <a:schemeClr val="accent5"/>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('Final Calculations'!$AJ$41:$AM$41,'Final Calculations'!$BN$41:$BQ$41)</c:f>
              <c:numCache>
                <c:formatCode>0.0%</c:formatCode>
                <c:ptCount val="8"/>
                <c:pt idx="0">
                  <c:v>0.8924845089304434</c:v>
                </c:pt>
                <c:pt idx="1">
                  <c:v>0.88462705793437002</c:v>
                </c:pt>
                <c:pt idx="2">
                  <c:v>0.94498966605724466</c:v>
                </c:pt>
                <c:pt idx="3">
                  <c:v>0.95153691692895082</c:v>
                </c:pt>
                <c:pt idx="4">
                  <c:v>0.11481150982130812</c:v>
                </c:pt>
                <c:pt idx="5">
                  <c:v>0.10698767072777758</c:v>
                </c:pt>
                <c:pt idx="6">
                  <c:v>0.21161296705288082</c:v>
                </c:pt>
                <c:pt idx="7">
                  <c:v>0.23476338842529604</c:v>
                </c:pt>
              </c:numCache>
            </c:numRef>
          </c:val>
          <c:extLst>
            <c:ext xmlns:c16="http://schemas.microsoft.com/office/drawing/2014/chart" uri="{C3380CC4-5D6E-409C-BE32-E72D297353CC}">
              <c16:uniqueId val="{00000004-77EC-4C9B-97E4-68C9E1856B39}"/>
            </c:ext>
          </c:extLst>
        </c:ser>
        <c:ser>
          <c:idx val="5"/>
          <c:order val="5"/>
          <c:tx>
            <c:strRef>
              <c:f>Graphs!$B$116</c:f>
              <c:strCache>
                <c:ptCount val="1"/>
                <c:pt idx="0">
                  <c:v>ATRIA</c:v>
                </c:pt>
              </c:strCache>
            </c:strRef>
          </c:tx>
          <c:spPr>
            <a:solidFill>
              <a:schemeClr val="accent6"/>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('Final Calculations'!$AJ$42:$AM$42,'Final Calculations'!$BN$42:$BQ$42)</c:f>
              <c:numCache>
                <c:formatCode>0.0%</c:formatCode>
                <c:ptCount val="8"/>
                <c:pt idx="0">
                  <c:v>0.80467081868364465</c:v>
                </c:pt>
                <c:pt idx="1">
                  <c:v>0.79189220858441411</c:v>
                </c:pt>
                <c:pt idx="2">
                  <c:v>0.89501525852637531</c:v>
                </c:pt>
                <c:pt idx="3">
                  <c:v>0.90692456320536219</c:v>
                </c:pt>
                <c:pt idx="4">
                  <c:v>6.0475472544757013E-2</c:v>
                </c:pt>
                <c:pt idx="5">
                  <c:v>5.6119619126034206E-2</c:v>
                </c:pt>
                <c:pt idx="6">
                  <c:v>0.11754803098351103</c:v>
                </c:pt>
                <c:pt idx="7">
                  <c:v>0.13213246847387941</c:v>
                </c:pt>
              </c:numCache>
            </c:numRef>
          </c:val>
          <c:extLst>
            <c:ext xmlns:c16="http://schemas.microsoft.com/office/drawing/2014/chart" uri="{C3380CC4-5D6E-409C-BE32-E72D297353CC}">
              <c16:uniqueId val="{00000005-77EC-4C9B-97E4-68C9E1856B39}"/>
            </c:ext>
          </c:extLst>
        </c:ser>
        <c:dLbls>
          <c:showLegendKey val="0"/>
          <c:showVal val="0"/>
          <c:showCatName val="0"/>
          <c:showSerName val="0"/>
          <c:showPercent val="0"/>
          <c:showBubbleSize val="0"/>
        </c:dLbls>
        <c:gapWidth val="219"/>
        <c:overlap val="-27"/>
        <c:axId val="2013656847"/>
        <c:axId val="2013655599"/>
      </c:barChart>
      <c:catAx>
        <c:axId val="2013656847"/>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3655599"/>
        <c:crosses val="autoZero"/>
        <c:auto val="1"/>
        <c:lblAlgn val="ctr"/>
        <c:lblOffset val="50"/>
        <c:noMultiLvlLbl val="0"/>
      </c:catAx>
      <c:valAx>
        <c:axId val="201365559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Memory Bottleneck Ratio</a:t>
                </a:r>
              </a:p>
            </c:rich>
          </c:tx>
          <c:layout>
            <c:manualLayout>
              <c:xMode val="edge"/>
              <c:yMode val="edge"/>
              <c:x val="8.4274831499721089E-3"/>
              <c:y val="8.0752449106506877E-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56847"/>
        <c:crosses val="autoZero"/>
        <c:crossBetween val="between"/>
      </c:valAx>
      <c:spPr>
        <a:noFill/>
        <a:ln>
          <a:noFill/>
        </a:ln>
        <a:effectLst/>
      </c:spPr>
    </c:plotArea>
    <c:legend>
      <c:legendPos val="b"/>
      <c:layout>
        <c:manualLayout>
          <c:xMode val="edge"/>
          <c:yMode val="edge"/>
          <c:x val="5.0881679790026245E-2"/>
          <c:y val="1.7360017497812821E-2"/>
          <c:w val="0.94768104986876645"/>
          <c:h val="9.3751093613298364E-2"/>
        </c:manualLayout>
      </c:layout>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75596038300089"/>
          <c:y val="0.14454825823862277"/>
          <c:w val="0.8621670461923967"/>
          <c:h val="0.64433161246466752"/>
        </c:manualLayout>
      </c:layout>
      <c:barChart>
        <c:barDir val="col"/>
        <c:grouping val="clustered"/>
        <c:varyColors val="0"/>
        <c:ser>
          <c:idx val="0"/>
          <c:order val="0"/>
          <c:tx>
            <c:strRef>
              <c:f>Graphs!$B$111</c:f>
              <c:strCache>
                <c:ptCount val="1"/>
                <c:pt idx="0">
                  <c:v>DRISA_1T1C_NOR</c:v>
                </c:pt>
              </c:strCache>
            </c:strRef>
          </c:tx>
          <c:spPr>
            <a:solidFill>
              <a:schemeClr val="accent1"/>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Graphs!$C$111:$L$111</c:f>
              <c:numCache>
                <c:formatCode>0.0%</c:formatCode>
                <c:ptCount val="10"/>
                <c:pt idx="0">
                  <c:v>0.13532526814881815</c:v>
                </c:pt>
                <c:pt idx="1">
                  <c:v>0.12630297822633924</c:v>
                </c:pt>
                <c:pt idx="2">
                  <c:v>0.2446424583481108</c:v>
                </c:pt>
                <c:pt idx="3">
                  <c:v>0.27016803695284775</c:v>
                </c:pt>
                <c:pt idx="4" formatCode="0%">
                  <c:v>0.18333254688468431</c:v>
                </c:pt>
                <c:pt idx="5">
                  <c:v>9.4478627289995745E-2</c:v>
                </c:pt>
                <c:pt idx="6">
                  <c:v>8.7902779777656842E-2</c:v>
                </c:pt>
                <c:pt idx="7">
                  <c:v>0.17757583518648762</c:v>
                </c:pt>
                <c:pt idx="8">
                  <c:v>0.19793748524453122</c:v>
                </c:pt>
                <c:pt idx="9">
                  <c:v>0.13071096607828869</c:v>
                </c:pt>
              </c:numCache>
            </c:numRef>
          </c:val>
          <c:extLst>
            <c:ext xmlns:c16="http://schemas.microsoft.com/office/drawing/2014/chart" uri="{C3380CC4-5D6E-409C-BE32-E72D297353CC}">
              <c16:uniqueId val="{00000000-E63D-45AE-B5FA-C9061385B04B}"/>
            </c:ext>
          </c:extLst>
        </c:ser>
        <c:ser>
          <c:idx val="1"/>
          <c:order val="1"/>
          <c:tx>
            <c:strRef>
              <c:f>Graphs!$B$112</c:f>
              <c:strCache>
                <c:ptCount val="1"/>
                <c:pt idx="0">
                  <c:v>DRISA_3T1C</c:v>
                </c:pt>
              </c:strCache>
            </c:strRef>
          </c:tx>
          <c:spPr>
            <a:solidFill>
              <a:schemeClr val="accent2"/>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Graphs!$C$112:$L$112</c:f>
              <c:numCache>
                <c:formatCode>0.0%</c:formatCode>
                <c:ptCount val="10"/>
                <c:pt idx="0">
                  <c:v>0.14684327570977904</c:v>
                </c:pt>
                <c:pt idx="1">
                  <c:v>0.13717489228178184</c:v>
                </c:pt>
                <c:pt idx="2">
                  <c:v>0.26263870004203316</c:v>
                </c:pt>
                <c:pt idx="3">
                  <c:v>0.28932276610275542</c:v>
                </c:pt>
                <c:pt idx="4" formatCode="0%">
                  <c:v>0.19779600020640928</c:v>
                </c:pt>
                <c:pt idx="5">
                  <c:v>0.10293390086821061</c:v>
                </c:pt>
                <c:pt idx="6">
                  <c:v>9.5831835421560554E-2</c:v>
                </c:pt>
                <c:pt idx="7">
                  <c:v>0.19189187780660599</c:v>
                </c:pt>
                <c:pt idx="8">
                  <c:v>0.21346899032075833</c:v>
                </c:pt>
                <c:pt idx="9">
                  <c:v>0.1417799786317247</c:v>
                </c:pt>
              </c:numCache>
            </c:numRef>
          </c:val>
          <c:extLst>
            <c:ext xmlns:c16="http://schemas.microsoft.com/office/drawing/2014/chart" uri="{C3380CC4-5D6E-409C-BE32-E72D297353CC}">
              <c16:uniqueId val="{00000001-E63D-45AE-B5FA-C9061385B04B}"/>
            </c:ext>
          </c:extLst>
        </c:ser>
        <c:ser>
          <c:idx val="2"/>
          <c:order val="2"/>
          <c:tx>
            <c:strRef>
              <c:f>Graphs!$B$113</c:f>
              <c:strCache>
                <c:ptCount val="1"/>
                <c:pt idx="0">
                  <c:v>LACC</c:v>
                </c:pt>
              </c:strCache>
            </c:strRef>
          </c:tx>
          <c:spPr>
            <a:solidFill>
              <a:schemeClr val="accent3"/>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Graphs!$C$113:$L$113</c:f>
              <c:numCache>
                <c:formatCode>0.0%</c:formatCode>
                <c:ptCount val="10"/>
                <c:pt idx="0">
                  <c:v>0.42812891758567795</c:v>
                </c:pt>
                <c:pt idx="1">
                  <c:v>0.40881478749741734</c:v>
                </c:pt>
                <c:pt idx="2">
                  <c:v>0.60773218511062477</c:v>
                </c:pt>
                <c:pt idx="3">
                  <c:v>0.6390890861785723</c:v>
                </c:pt>
                <c:pt idx="4" formatCode="0%">
                  <c:v>0.51061515368952315</c:v>
                </c:pt>
                <c:pt idx="5">
                  <c:v>1.1562340012153166E-2</c:v>
                </c:pt>
                <c:pt idx="6">
                  <c:v>1.0689458288761012E-2</c:v>
                </c:pt>
                <c:pt idx="7">
                  <c:v>2.3635328528106844E-2</c:v>
                </c:pt>
                <c:pt idx="8">
                  <c:v>2.6923311770250591E-2</c:v>
                </c:pt>
                <c:pt idx="9">
                  <c:v>1.6746455095888086E-2</c:v>
                </c:pt>
              </c:numCache>
            </c:numRef>
          </c:val>
          <c:extLst>
            <c:ext xmlns:c16="http://schemas.microsoft.com/office/drawing/2014/chart" uri="{C3380CC4-5D6E-409C-BE32-E72D297353CC}">
              <c16:uniqueId val="{00000002-E63D-45AE-B5FA-C9061385B04B}"/>
            </c:ext>
          </c:extLst>
        </c:ser>
        <c:ser>
          <c:idx val="3"/>
          <c:order val="3"/>
          <c:tx>
            <c:strRef>
              <c:f>Graphs!$B$114</c:f>
              <c:strCache>
                <c:ptCount val="1"/>
                <c:pt idx="0">
                  <c:v>SCOPE (vanilla)</c:v>
                </c:pt>
              </c:strCache>
            </c:strRef>
          </c:tx>
          <c:spPr>
            <a:solidFill>
              <a:schemeClr val="accent4"/>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Graphs!$C$114:$L$114</c:f>
              <c:numCache>
                <c:formatCode>0.0%</c:formatCode>
                <c:ptCount val="10"/>
                <c:pt idx="0">
                  <c:v>0.97914063389239547</c:v>
                </c:pt>
                <c:pt idx="1">
                  <c:v>0.97745621989985765</c:v>
                </c:pt>
                <c:pt idx="2">
                  <c:v>0.989810451663654</c:v>
                </c:pt>
                <c:pt idx="3">
                  <c:v>0.99107358702759862</c:v>
                </c:pt>
                <c:pt idx="4" formatCode="0%">
                  <c:v>0.98435121445822971</c:v>
                </c:pt>
                <c:pt idx="5">
                  <c:v>0.42311208763669556</c:v>
                </c:pt>
                <c:pt idx="6">
                  <c:v>0.40386444784434833</c:v>
                </c:pt>
                <c:pt idx="7">
                  <c:v>0.60282928741487973</c:v>
                </c:pt>
                <c:pt idx="8">
                  <c:v>0.63434230184389462</c:v>
                </c:pt>
                <c:pt idx="9">
                  <c:v>0.50559441567081842</c:v>
                </c:pt>
              </c:numCache>
            </c:numRef>
          </c:val>
          <c:extLst>
            <c:ext xmlns:c16="http://schemas.microsoft.com/office/drawing/2014/chart" uri="{C3380CC4-5D6E-409C-BE32-E72D297353CC}">
              <c16:uniqueId val="{00000003-E63D-45AE-B5FA-C9061385B04B}"/>
            </c:ext>
          </c:extLst>
        </c:ser>
        <c:ser>
          <c:idx val="4"/>
          <c:order val="4"/>
          <c:tx>
            <c:strRef>
              <c:f>Graphs!$B$115</c:f>
              <c:strCache>
                <c:ptCount val="1"/>
                <c:pt idx="0">
                  <c:v>SCOPE (H2D)</c:v>
                </c:pt>
              </c:strCache>
            </c:strRef>
          </c:tx>
          <c:spPr>
            <a:solidFill>
              <a:schemeClr val="accent5"/>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Graphs!$C$115:$L$115</c:f>
              <c:numCache>
                <c:formatCode>0.0%</c:formatCode>
                <c:ptCount val="10"/>
                <c:pt idx="0">
                  <c:v>0.8924845089304434</c:v>
                </c:pt>
                <c:pt idx="1">
                  <c:v>0.88462705793437002</c:v>
                </c:pt>
                <c:pt idx="2">
                  <c:v>0.94498966605724466</c:v>
                </c:pt>
                <c:pt idx="3">
                  <c:v>0.95153691692895082</c:v>
                </c:pt>
                <c:pt idx="4" formatCode="0%">
                  <c:v>0.91791697604818312</c:v>
                </c:pt>
                <c:pt idx="5">
                  <c:v>0.11481150982130812</c:v>
                </c:pt>
                <c:pt idx="6">
                  <c:v>0.10698767072777758</c:v>
                </c:pt>
                <c:pt idx="7">
                  <c:v>0.21161296705288082</c:v>
                </c:pt>
                <c:pt idx="8">
                  <c:v>0.23476338842529604</c:v>
                </c:pt>
                <c:pt idx="9">
                  <c:v>0.15717119369050195</c:v>
                </c:pt>
              </c:numCache>
            </c:numRef>
          </c:val>
          <c:extLst>
            <c:ext xmlns:c16="http://schemas.microsoft.com/office/drawing/2014/chart" uri="{C3380CC4-5D6E-409C-BE32-E72D297353CC}">
              <c16:uniqueId val="{00000004-E63D-45AE-B5FA-C9061385B04B}"/>
            </c:ext>
          </c:extLst>
        </c:ser>
        <c:ser>
          <c:idx val="5"/>
          <c:order val="5"/>
          <c:tx>
            <c:strRef>
              <c:f>Graphs!$B$116</c:f>
              <c:strCache>
                <c:ptCount val="1"/>
                <c:pt idx="0">
                  <c:v>ATRIA</c:v>
                </c:pt>
              </c:strCache>
            </c:strRef>
          </c:tx>
          <c:spPr>
            <a:solidFill>
              <a:schemeClr val="accent6"/>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Graphs!$C$116:$L$116</c:f>
              <c:numCache>
                <c:formatCode>0.0%</c:formatCode>
                <c:ptCount val="10"/>
                <c:pt idx="0">
                  <c:v>0.80467081868364465</c:v>
                </c:pt>
                <c:pt idx="1">
                  <c:v>0.79189220858441411</c:v>
                </c:pt>
                <c:pt idx="2">
                  <c:v>0.89501525852637531</c:v>
                </c:pt>
                <c:pt idx="3">
                  <c:v>0.90692456320536219</c:v>
                </c:pt>
                <c:pt idx="4" formatCode="0%">
                  <c:v>0.84805004485239766</c:v>
                </c:pt>
                <c:pt idx="5">
                  <c:v>6.0475472544757013E-2</c:v>
                </c:pt>
                <c:pt idx="6">
                  <c:v>5.6119619126034206E-2</c:v>
                </c:pt>
                <c:pt idx="7">
                  <c:v>0.11754803098351103</c:v>
                </c:pt>
                <c:pt idx="8">
                  <c:v>0.13213246847387941</c:v>
                </c:pt>
                <c:pt idx="9">
                  <c:v>8.5207872763682385E-2</c:v>
                </c:pt>
              </c:numCache>
            </c:numRef>
          </c:val>
          <c:extLst>
            <c:ext xmlns:c16="http://schemas.microsoft.com/office/drawing/2014/chart" uri="{C3380CC4-5D6E-409C-BE32-E72D297353CC}">
              <c16:uniqueId val="{00000005-E63D-45AE-B5FA-C9061385B04B}"/>
            </c:ext>
          </c:extLst>
        </c:ser>
        <c:dLbls>
          <c:showLegendKey val="0"/>
          <c:showVal val="0"/>
          <c:showCatName val="0"/>
          <c:showSerName val="0"/>
          <c:showPercent val="0"/>
          <c:showBubbleSize val="0"/>
        </c:dLbls>
        <c:gapWidth val="219"/>
        <c:overlap val="-27"/>
        <c:axId val="2013656847"/>
        <c:axId val="2013655599"/>
      </c:barChart>
      <c:catAx>
        <c:axId val="2013656847"/>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3655599"/>
        <c:crosses val="autoZero"/>
        <c:auto val="1"/>
        <c:lblAlgn val="ctr"/>
        <c:lblOffset val="50"/>
        <c:noMultiLvlLbl val="0"/>
      </c:catAx>
      <c:valAx>
        <c:axId val="201365559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Memory Bottleneck Ratio</a:t>
                </a:r>
              </a:p>
            </c:rich>
          </c:tx>
          <c:layout>
            <c:manualLayout>
              <c:xMode val="edge"/>
              <c:yMode val="edge"/>
              <c:x val="8.4274831499721089E-3"/>
              <c:y val="8.0752449106506877E-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56847"/>
        <c:crosses val="autoZero"/>
        <c:crossBetween val="between"/>
      </c:valAx>
      <c:spPr>
        <a:noFill/>
        <a:ln>
          <a:noFill/>
        </a:ln>
        <a:effectLst/>
      </c:spPr>
    </c:plotArea>
    <c:legend>
      <c:legendPos val="b"/>
      <c:layout>
        <c:manualLayout>
          <c:xMode val="edge"/>
          <c:yMode val="edge"/>
          <c:x val="5.0881679790026245E-2"/>
          <c:y val="1.7360017497812821E-2"/>
          <c:w val="0.94768104986876645"/>
          <c:h val="9.3751093613298364E-2"/>
        </c:manualLayout>
      </c:layout>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94051868918315E-2"/>
          <c:y val="0.16879374453193352"/>
          <c:w val="0.88272611421964542"/>
          <c:h val="0.64129326691306443"/>
        </c:manualLayout>
      </c:layout>
      <c:barChart>
        <c:barDir val="col"/>
        <c:grouping val="clustered"/>
        <c:varyColors val="0"/>
        <c:ser>
          <c:idx val="0"/>
          <c:order val="0"/>
          <c:tx>
            <c:strRef>
              <c:f>Graphs!$B$87</c:f>
              <c:strCache>
                <c:ptCount val="1"/>
                <c:pt idx="0">
                  <c:v>DRISA_1T1C_NOR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Graphs!$C$87:$L$87</c:f>
              <c:numCache>
                <c:formatCode>General</c:formatCode>
                <c:ptCount val="10"/>
                <c:pt idx="0">
                  <c:v>22.135119757396321</c:v>
                </c:pt>
                <c:pt idx="1">
                  <c:v>1.0447125970471214</c:v>
                </c:pt>
                <c:pt idx="2">
                  <c:v>9.7900341442462349</c:v>
                </c:pt>
                <c:pt idx="3">
                  <c:v>3.4683741972863853</c:v>
                </c:pt>
                <c:pt idx="4">
                  <c:v>5.2935523840044016</c:v>
                </c:pt>
                <c:pt idx="5">
                  <c:v>23.180767622185552</c:v>
                </c:pt>
                <c:pt idx="6">
                  <c:v>1.0906291677217099</c:v>
                </c:pt>
                <c:pt idx="7">
                  <c:v>10.659270889080615</c:v>
                </c:pt>
                <c:pt idx="8">
                  <c:v>3.8116348305353283</c:v>
                </c:pt>
                <c:pt idx="9">
                  <c:v>5.6612316622737708</c:v>
                </c:pt>
              </c:numCache>
            </c:numRef>
          </c:val>
          <c:extLst>
            <c:ext xmlns:c16="http://schemas.microsoft.com/office/drawing/2014/chart" uri="{C3380CC4-5D6E-409C-BE32-E72D297353CC}">
              <c16:uniqueId val="{00000000-1897-469C-9461-02D1E1CD476F}"/>
            </c:ext>
          </c:extLst>
        </c:ser>
        <c:ser>
          <c:idx val="1"/>
          <c:order val="1"/>
          <c:tx>
            <c:strRef>
              <c:f>Graphs!$B$88</c:f>
              <c:strCache>
                <c:ptCount val="1"/>
                <c:pt idx="0">
                  <c:v>DRISA_3T1C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8575">
              <a:solidFill>
                <a:srgbClr val="C00000"/>
              </a:solid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Graphs!$C$88:$L$88</c:f>
              <c:numCache>
                <c:formatCode>General</c:formatCode>
                <c:ptCount val="10"/>
                <c:pt idx="0">
                  <c:v>9.1501399353060791</c:v>
                </c:pt>
                <c:pt idx="1">
                  <c:v>0.4322435885905912</c:v>
                </c:pt>
                <c:pt idx="2">
                  <c:v>4.0038867658208757</c:v>
                </c:pt>
                <c:pt idx="3">
                  <c:v>1.4149636408035551</c:v>
                </c:pt>
                <c:pt idx="4">
                  <c:v>2.1756841142477565</c:v>
                </c:pt>
                <c:pt idx="5">
                  <c:v>9.6210697338216065</c:v>
                </c:pt>
                <c:pt idx="6">
                  <c:v>0.45295493681251031</c:v>
                </c:pt>
                <c:pt idx="7">
                  <c:v>4.388043440830069</c:v>
                </c:pt>
                <c:pt idx="8">
                  <c:v>1.5659890706750146</c:v>
                </c:pt>
                <c:pt idx="9">
                  <c:v>2.3392923535273367</c:v>
                </c:pt>
              </c:numCache>
            </c:numRef>
          </c:val>
          <c:extLst>
            <c:ext xmlns:c16="http://schemas.microsoft.com/office/drawing/2014/chart" uri="{C3380CC4-5D6E-409C-BE32-E72D297353CC}">
              <c16:uniqueId val="{00000001-1897-469C-9461-02D1E1CD476F}"/>
            </c:ext>
          </c:extLst>
        </c:ser>
        <c:ser>
          <c:idx val="2"/>
          <c:order val="2"/>
          <c:tx>
            <c:strRef>
              <c:f>Graphs!$B$89</c:f>
              <c:strCache>
                <c:ptCount val="1"/>
                <c:pt idx="0">
                  <c:v>LACC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Graphs!$C$89:$L$89</c:f>
              <c:numCache>
                <c:formatCode>General</c:formatCode>
                <c:ptCount val="10"/>
                <c:pt idx="0">
                  <c:v>56.023150691661598</c:v>
                </c:pt>
                <c:pt idx="1">
                  <c:v>2.7052027710214532</c:v>
                </c:pt>
                <c:pt idx="2">
                  <c:v>19.456046617465933</c:v>
                </c:pt>
                <c:pt idx="3">
                  <c:v>6.5636190609948635</c:v>
                </c:pt>
                <c:pt idx="4">
                  <c:v>11.794820330825859</c:v>
                </c:pt>
                <c:pt idx="5">
                  <c:v>96.831949853153958</c:v>
                </c:pt>
                <c:pt idx="6">
                  <c:v>4.5269833585803489</c:v>
                </c:pt>
                <c:pt idx="7">
                  <c:v>48.426599998169998</c:v>
                </c:pt>
                <c:pt idx="8">
                  <c:v>17.696623887175281</c:v>
                </c:pt>
                <c:pt idx="9">
                  <c:v>24.757141198903938</c:v>
                </c:pt>
              </c:numCache>
            </c:numRef>
          </c:val>
          <c:extLst>
            <c:ext xmlns:c16="http://schemas.microsoft.com/office/drawing/2014/chart" uri="{C3380CC4-5D6E-409C-BE32-E72D297353CC}">
              <c16:uniqueId val="{00000002-1897-469C-9461-02D1E1CD476F}"/>
            </c:ext>
          </c:extLst>
        </c:ser>
        <c:ser>
          <c:idx val="3"/>
          <c:order val="3"/>
          <c:tx>
            <c:strRef>
              <c:f>Graphs!$B$90</c:f>
              <c:strCache>
                <c:ptCount val="1"/>
                <c:pt idx="0">
                  <c:v>SCOPE (vanilla)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Graphs!$C$90:$L$90</c:f>
              <c:numCache>
                <c:formatCode>General</c:formatCode>
                <c:ptCount val="10"/>
                <c:pt idx="0">
                  <c:v>33.71742840439935</c:v>
                </c:pt>
                <c:pt idx="1">
                  <c:v>1.7021073417545272</c:v>
                </c:pt>
                <c:pt idx="2">
                  <c:v>8.3389390580766012</c:v>
                </c:pt>
                <c:pt idx="3">
                  <c:v>2.6785778413887185</c:v>
                </c:pt>
                <c:pt idx="4">
                  <c:v>5.9836215164733186</c:v>
                </c:pt>
                <c:pt idx="5">
                  <c:v>932.49127428575162</c:v>
                </c:pt>
                <c:pt idx="6">
                  <c:v>45.009607771973258</c:v>
                </c:pt>
                <c:pt idx="7">
                  <c:v>325.03721053919139</c:v>
                </c:pt>
                <c:pt idx="8">
                  <c:v>109.72409755658664</c:v>
                </c:pt>
                <c:pt idx="9">
                  <c:v>196.6963387721635</c:v>
                </c:pt>
              </c:numCache>
            </c:numRef>
          </c:val>
          <c:extLst>
            <c:ext xmlns:c16="http://schemas.microsoft.com/office/drawing/2014/chart" uri="{C3380CC4-5D6E-409C-BE32-E72D297353CC}">
              <c16:uniqueId val="{00000003-1897-469C-9461-02D1E1CD476F}"/>
            </c:ext>
          </c:extLst>
        </c:ser>
        <c:ser>
          <c:idx val="4"/>
          <c:order val="4"/>
          <c:tx>
            <c:strRef>
              <c:f>Graphs!$B$91</c:f>
              <c:strCache>
                <c:ptCount val="1"/>
                <c:pt idx="0">
                  <c:v>SCOPE (H2D)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Graphs!$C$91:$L$91</c:f>
              <c:numCache>
                <c:formatCode>General</c:formatCode>
                <c:ptCount val="10"/>
                <c:pt idx="0">
                  <c:v>48.661154853138541</c:v>
                </c:pt>
                <c:pt idx="1">
                  <c:v>2.4390584294235889</c:v>
                </c:pt>
                <c:pt idx="2">
                  <c:v>12.605444913539904</c:v>
                </c:pt>
                <c:pt idx="3">
                  <c:v>4.0718930924926653</c:v>
                </c:pt>
                <c:pt idx="4">
                  <c:v>8.8346589834451592</c:v>
                </c:pt>
                <c:pt idx="5">
                  <c:v>400.63337632838915</c:v>
                </c:pt>
                <c:pt idx="6">
                  <c:v>18.87885677780141</c:v>
                </c:pt>
                <c:pt idx="7">
                  <c:v>180.65640766161678</c:v>
                </c:pt>
                <c:pt idx="8">
                  <c:v>64.295572533538206</c:v>
                </c:pt>
                <c:pt idx="9">
                  <c:v>96.814256418150265</c:v>
                </c:pt>
              </c:numCache>
            </c:numRef>
          </c:val>
          <c:extLst>
            <c:ext xmlns:c16="http://schemas.microsoft.com/office/drawing/2014/chart" uri="{C3380CC4-5D6E-409C-BE32-E72D297353CC}">
              <c16:uniqueId val="{00000004-1897-469C-9461-02D1E1CD476F}"/>
            </c:ext>
          </c:extLst>
        </c:ser>
        <c:ser>
          <c:idx val="5"/>
          <c:order val="5"/>
          <c:tx>
            <c:strRef>
              <c:f>Graphs!$B$92</c:f>
              <c:strCache>
                <c:ptCount val="1"/>
                <c:pt idx="0">
                  <c:v>ATRIA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Graphs!$C$92:$L$92</c:f>
              <c:numCache>
                <c:formatCode>General</c:formatCode>
                <c:ptCount val="10"/>
                <c:pt idx="0">
                  <c:v>210.59168246104284</c:v>
                </c:pt>
                <c:pt idx="1">
                  <c:v>10.480193293039278</c:v>
                </c:pt>
                <c:pt idx="2">
                  <c:v>57.306356384803721</c:v>
                </c:pt>
                <c:pt idx="3">
                  <c:v>18.628724785564149</c:v>
                </c:pt>
                <c:pt idx="4">
                  <c:v>39.178617549078332</c:v>
                </c:pt>
                <c:pt idx="5">
                  <c:v>1012.9364676431428</c:v>
                </c:pt>
                <c:pt idx="6">
                  <c:v>47.533294019311974</c:v>
                </c:pt>
                <c:pt idx="7">
                  <c:v>481.69006580480476</c:v>
                </c:pt>
                <c:pt idx="8">
                  <c:v>173.7006663831034</c:v>
                </c:pt>
                <c:pt idx="9">
                  <c:v>251.93431388195009</c:v>
                </c:pt>
              </c:numCache>
            </c:numRef>
          </c:val>
          <c:extLst>
            <c:ext xmlns:c16="http://schemas.microsoft.com/office/drawing/2014/chart" uri="{C3380CC4-5D6E-409C-BE32-E72D297353CC}">
              <c16:uniqueId val="{00000005-1897-469C-9461-02D1E1CD476F}"/>
            </c:ext>
          </c:extLst>
        </c:ser>
        <c:dLbls>
          <c:showLegendKey val="0"/>
          <c:showVal val="0"/>
          <c:showCatName val="0"/>
          <c:showSerName val="0"/>
          <c:showPercent val="0"/>
          <c:showBubbleSize val="0"/>
        </c:dLbls>
        <c:gapWidth val="100"/>
        <c:overlap val="-24"/>
        <c:axId val="1958898015"/>
        <c:axId val="1958898431"/>
      </c:barChart>
      <c:catAx>
        <c:axId val="1958898015"/>
        <c:scaling>
          <c:orientation val="minMax"/>
        </c:scaling>
        <c:delete val="0"/>
        <c:axPos val="b"/>
        <c:majorGridlines>
          <c:spPr>
            <a:ln w="6350" cap="flat" cmpd="sng" algn="ctr">
              <a:solidFill>
                <a:schemeClr val="tx1">
                  <a:alpha val="45000"/>
                </a:schemeClr>
              </a:solidFill>
              <a:prstDash val="solid"/>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8898431"/>
        <c:crosses val="autoZero"/>
        <c:auto val="1"/>
        <c:lblAlgn val="ctr"/>
        <c:lblOffset val="100"/>
        <c:noMultiLvlLbl val="0"/>
      </c:catAx>
      <c:valAx>
        <c:axId val="1958898431"/>
        <c:scaling>
          <c:logBase val="10"/>
          <c:orientation val="minMax"/>
          <c:max val="1100"/>
          <c:min val="1"/>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FPS</a:t>
                </a:r>
              </a:p>
            </c:rich>
          </c:tx>
          <c:layout>
            <c:manualLayout>
              <c:xMode val="edge"/>
              <c:yMode val="edge"/>
              <c:x val="6.4308681672025723E-3"/>
              <c:y val="0.4312760361745634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58898015"/>
        <c:crosses val="autoZero"/>
        <c:crossBetween val="between"/>
      </c:valAx>
      <c:spPr>
        <a:noFill/>
        <a:ln>
          <a:solidFill>
            <a:schemeClr val="accent1">
              <a:lumMod val="75000"/>
            </a:schemeClr>
          </a:solidFill>
        </a:ln>
        <a:effectLst/>
      </c:spPr>
    </c:plotArea>
    <c:legend>
      <c:legendPos val="b"/>
      <c:layout>
        <c:manualLayout>
          <c:xMode val="edge"/>
          <c:yMode val="edge"/>
          <c:x val="9.3013646606071351E-2"/>
          <c:y val="2.7837911300605461E-2"/>
          <c:w val="0.65603596608463688"/>
          <c:h val="9.183737747067331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944945866437188E-2"/>
          <c:y val="0.13422120524428621"/>
          <c:w val="0.90950442607750148"/>
          <c:h val="0.68836480542891132"/>
        </c:manualLayout>
      </c:layout>
      <c:barChart>
        <c:barDir val="col"/>
        <c:grouping val="clustered"/>
        <c:varyColors val="0"/>
        <c:ser>
          <c:idx val="0"/>
          <c:order val="0"/>
          <c:tx>
            <c:strRef>
              <c:f>Graphs!$M$36</c:f>
              <c:strCache>
                <c:ptCount val="1"/>
                <c:pt idx="0">
                  <c:v>DRISA_1T1C_NOR</c:v>
                </c:pt>
              </c:strCache>
            </c:strRef>
          </c:tx>
          <c:spPr>
            <a:solidFill>
              <a:schemeClr val="accent1"/>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Graphs!$N$36:$W$36</c:f>
              <c:numCache>
                <c:formatCode>General</c:formatCode>
                <c:ptCount val="10"/>
                <c:pt idx="0">
                  <c:v>9.5139165619682213</c:v>
                </c:pt>
                <c:pt idx="1">
                  <c:v>10.031652076046109</c:v>
                </c:pt>
                <c:pt idx="2">
                  <c:v>5.8535399918378843</c:v>
                </c:pt>
                <c:pt idx="3">
                  <c:v>5.3710250757081051</c:v>
                </c:pt>
                <c:pt idx="4">
                  <c:v>7.401195776859578</c:v>
                </c:pt>
                <c:pt idx="5">
                  <c:v>43.697278888801527</c:v>
                </c:pt>
                <c:pt idx="6">
                  <c:v>43.583369513771146</c:v>
                </c:pt>
                <c:pt idx="7">
                  <c:v>45.189776187998881</c:v>
                </c:pt>
                <c:pt idx="8">
                  <c:v>45.571171978903301</c:v>
                </c:pt>
                <c:pt idx="9">
                  <c:v>44.501678947503699</c:v>
                </c:pt>
              </c:numCache>
            </c:numRef>
          </c:val>
          <c:extLst>
            <c:ext xmlns:c16="http://schemas.microsoft.com/office/drawing/2014/chart" uri="{C3380CC4-5D6E-409C-BE32-E72D297353CC}">
              <c16:uniqueId val="{00000000-5779-4503-9136-16291F247B57}"/>
            </c:ext>
          </c:extLst>
        </c:ser>
        <c:ser>
          <c:idx val="1"/>
          <c:order val="1"/>
          <c:tx>
            <c:strRef>
              <c:f>Graphs!$M$37</c:f>
              <c:strCache>
                <c:ptCount val="1"/>
                <c:pt idx="0">
                  <c:v>DRISA_3T1C</c:v>
                </c:pt>
              </c:strCache>
            </c:strRef>
          </c:tx>
          <c:spPr>
            <a:solidFill>
              <a:schemeClr val="accent2"/>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A-5779-4503-9136-16291F247B57}"/>
                </c:ext>
              </c:extLst>
            </c:dLbl>
            <c:dLbl>
              <c:idx val="1"/>
              <c:delete val="1"/>
              <c:extLst>
                <c:ext xmlns:c15="http://schemas.microsoft.com/office/drawing/2012/chart" uri="{CE6537A1-D6FC-4f65-9D91-7224C49458BB}"/>
                <c:ext xmlns:c16="http://schemas.microsoft.com/office/drawing/2014/chart" uri="{C3380CC4-5D6E-409C-BE32-E72D297353CC}">
                  <c16:uniqueId val="{00000009-5779-4503-9136-16291F247B57}"/>
                </c:ext>
              </c:extLst>
            </c:dLbl>
            <c:dLbl>
              <c:idx val="2"/>
              <c:delete val="1"/>
              <c:extLst>
                <c:ext xmlns:c15="http://schemas.microsoft.com/office/drawing/2012/chart" uri="{CE6537A1-D6FC-4f65-9D91-7224C49458BB}"/>
                <c:ext xmlns:c16="http://schemas.microsoft.com/office/drawing/2014/chart" uri="{C3380CC4-5D6E-409C-BE32-E72D297353CC}">
                  <c16:uniqueId val="{00000007-5779-4503-9136-16291F247B57}"/>
                </c:ext>
              </c:extLst>
            </c:dLbl>
            <c:dLbl>
              <c:idx val="3"/>
              <c:delete val="1"/>
              <c:extLst>
                <c:ext xmlns:c15="http://schemas.microsoft.com/office/drawing/2012/chart" uri="{CE6537A1-D6FC-4f65-9D91-7224C49458BB}"/>
                <c:ext xmlns:c16="http://schemas.microsoft.com/office/drawing/2014/chart" uri="{C3380CC4-5D6E-409C-BE32-E72D297353CC}">
                  <c16:uniqueId val="{00000008-5779-4503-9136-16291F247B57}"/>
                </c:ext>
              </c:extLst>
            </c:dLbl>
            <c:numFmt formatCode="#,##0.00" sourceLinked="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ysClr val="windowText" lastClr="000000"/>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Graphs!$N$37:$W$37</c:f>
              <c:numCache>
                <c:formatCode>General</c:formatCode>
                <c:ptCount val="10"/>
                <c:pt idx="0">
                  <c:v>23.015132440594567</c:v>
                </c:pt>
                <c:pt idx="1">
                  <c:v>24.246035267317335</c:v>
                </c:pt>
                <c:pt idx="2">
                  <c:v>14.312681585802737</c:v>
                </c:pt>
                <c:pt idx="3">
                  <c:v>13.165514821981525</c:v>
                </c:pt>
                <c:pt idx="4">
                  <c:v>18.007493501704566</c:v>
                </c:pt>
                <c:pt idx="5">
                  <c:v>105.2831437321671</c:v>
                </c:pt>
                <c:pt idx="6">
                  <c:v>104.9404480582739</c:v>
                </c:pt>
                <c:pt idx="7">
                  <c:v>109.77331293549942</c:v>
                </c:pt>
                <c:pt idx="8">
                  <c:v>110.92073989266748</c:v>
                </c:pt>
                <c:pt idx="9">
                  <c:v>107.69680561818927</c:v>
                </c:pt>
              </c:numCache>
            </c:numRef>
          </c:val>
          <c:extLst>
            <c:ext xmlns:c16="http://schemas.microsoft.com/office/drawing/2014/chart" uri="{C3380CC4-5D6E-409C-BE32-E72D297353CC}">
              <c16:uniqueId val="{00000001-5779-4503-9136-16291F247B57}"/>
            </c:ext>
          </c:extLst>
        </c:ser>
        <c:ser>
          <c:idx val="2"/>
          <c:order val="2"/>
          <c:tx>
            <c:strRef>
              <c:f>Graphs!$M$38</c:f>
              <c:strCache>
                <c:ptCount val="1"/>
                <c:pt idx="0">
                  <c:v>LACC</c:v>
                </c:pt>
              </c:strCache>
            </c:strRef>
          </c:tx>
          <c:spPr>
            <a:solidFill>
              <a:schemeClr val="accent3"/>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Graphs!$N$38:$W$38</c:f>
              <c:numCache>
                <c:formatCode>General</c:formatCode>
                <c:ptCount val="10"/>
                <c:pt idx="0">
                  <c:v>3.759011763192158</c:v>
                </c:pt>
                <c:pt idx="1">
                  <c:v>3.8740878891980728</c:v>
                </c:pt>
                <c:pt idx="2">
                  <c:v>2.9454265561513968</c:v>
                </c:pt>
                <c:pt idx="3">
                  <c:v>2.8381788480485866</c:v>
                </c:pt>
                <c:pt idx="4">
                  <c:v>3.3216798942400758</c:v>
                </c:pt>
                <c:pt idx="5">
                  <c:v>10.460767021414574</c:v>
                </c:pt>
                <c:pt idx="6">
                  <c:v>10.499993097880152</c:v>
                </c:pt>
                <c:pt idx="7">
                  <c:v>9.9468074534038617</c:v>
                </c:pt>
                <c:pt idx="8">
                  <c:v>9.8154691816094939</c:v>
                </c:pt>
                <c:pt idx="9">
                  <c:v>10.176228016710745</c:v>
                </c:pt>
              </c:numCache>
            </c:numRef>
          </c:val>
          <c:extLst>
            <c:ext xmlns:c16="http://schemas.microsoft.com/office/drawing/2014/chart" uri="{C3380CC4-5D6E-409C-BE32-E72D297353CC}">
              <c16:uniqueId val="{00000002-5779-4503-9136-16291F247B57}"/>
            </c:ext>
          </c:extLst>
        </c:ser>
        <c:ser>
          <c:idx val="3"/>
          <c:order val="3"/>
          <c:tx>
            <c:strRef>
              <c:f>Graphs!$M$39</c:f>
              <c:strCache>
                <c:ptCount val="1"/>
                <c:pt idx="0">
                  <c:v>SCOPE (vanilla)</c:v>
                </c:pt>
              </c:strCache>
            </c:strRef>
          </c:tx>
          <c:spPr>
            <a:solidFill>
              <a:schemeClr val="accent4"/>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Graphs!$N$39:$W$39</c:f>
              <c:numCache>
                <c:formatCode>General</c:formatCode>
                <c:ptCount val="10"/>
                <c:pt idx="0">
                  <c:v>6.2457812599244802</c:v>
                </c:pt>
                <c:pt idx="1">
                  <c:v>6.1571870562736226</c:v>
                </c:pt>
                <c:pt idx="2">
                  <c:v>6.8721399671700665</c:v>
                </c:pt>
                <c:pt idx="3">
                  <c:v>6.9547072695509264</c:v>
                </c:pt>
                <c:pt idx="4">
                  <c:v>6.5476430020209211</c:v>
                </c:pt>
                <c:pt idx="5">
                  <c:v>1.0862691111174296</c:v>
                </c:pt>
                <c:pt idx="6">
                  <c:v>1.0560699453353195</c:v>
                </c:pt>
                <c:pt idx="7">
                  <c:v>1.481953604652674</c:v>
                </c:pt>
                <c:pt idx="8">
                  <c:v>1.5830676237143158</c:v>
                </c:pt>
                <c:pt idx="9">
                  <c:v>1.2808286898200458</c:v>
                </c:pt>
              </c:numCache>
            </c:numRef>
          </c:val>
          <c:extLst>
            <c:ext xmlns:c16="http://schemas.microsoft.com/office/drawing/2014/chart" uri="{C3380CC4-5D6E-409C-BE32-E72D297353CC}">
              <c16:uniqueId val="{00000003-5779-4503-9136-16291F247B57}"/>
            </c:ext>
          </c:extLst>
        </c:ser>
        <c:ser>
          <c:idx val="4"/>
          <c:order val="4"/>
          <c:tx>
            <c:strRef>
              <c:f>Graphs!$M$40</c:f>
              <c:strCache>
                <c:ptCount val="1"/>
                <c:pt idx="0">
                  <c:v>SCOPE (H2D)</c:v>
                </c:pt>
              </c:strCache>
            </c:strRef>
          </c:tx>
          <c:spPr>
            <a:solidFill>
              <a:schemeClr val="accent5"/>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Graphs!$N$40:$W$40</c:f>
              <c:numCache>
                <c:formatCode>General</c:formatCode>
                <c:ptCount val="10"/>
                <c:pt idx="0">
                  <c:v>4.3277164937128507</c:v>
                </c:pt>
                <c:pt idx="1">
                  <c:v>4.2968192834625993</c:v>
                </c:pt>
                <c:pt idx="2">
                  <c:v>4.546158963675226</c:v>
                </c:pt>
                <c:pt idx="3">
                  <c:v>4.5749542933506433</c:v>
                </c:pt>
                <c:pt idx="4">
                  <c:v>4.434649670405304</c:v>
                </c:pt>
                <c:pt idx="5">
                  <c:v>2.5283376959908206</c:v>
                </c:pt>
                <c:pt idx="6">
                  <c:v>2.5178057431530343</c:v>
                </c:pt>
                <c:pt idx="7">
                  <c:v>2.6663325814993897</c:v>
                </c:pt>
                <c:pt idx="8">
                  <c:v>2.7015960747918797</c:v>
                </c:pt>
                <c:pt idx="9">
                  <c:v>2.602243958718446</c:v>
                </c:pt>
              </c:numCache>
            </c:numRef>
          </c:val>
          <c:extLst>
            <c:ext xmlns:c16="http://schemas.microsoft.com/office/drawing/2014/chart" uri="{C3380CC4-5D6E-409C-BE32-E72D297353CC}">
              <c16:uniqueId val="{00000004-5779-4503-9136-16291F247B57}"/>
            </c:ext>
          </c:extLst>
        </c:ser>
        <c:ser>
          <c:idx val="5"/>
          <c:order val="5"/>
          <c:tx>
            <c:strRef>
              <c:f>Graphs!$M$41</c:f>
              <c:strCache>
                <c:ptCount val="1"/>
                <c:pt idx="0">
                  <c:v>ATRIA</c:v>
                </c:pt>
              </c:strCache>
            </c:strRef>
          </c:tx>
          <c:spPr>
            <a:solidFill>
              <a:schemeClr val="accent6"/>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Graphs!$N$41:$W$41</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5-5779-4503-9136-16291F247B57}"/>
            </c:ext>
          </c:extLst>
        </c:ser>
        <c:dLbls>
          <c:showLegendKey val="0"/>
          <c:showVal val="0"/>
          <c:showCatName val="0"/>
          <c:showSerName val="0"/>
          <c:showPercent val="0"/>
          <c:showBubbleSize val="0"/>
        </c:dLbls>
        <c:gapWidth val="219"/>
        <c:overlap val="-27"/>
        <c:axId val="2012519551"/>
        <c:axId val="2012509983"/>
      </c:barChart>
      <c:catAx>
        <c:axId val="2012519551"/>
        <c:scaling>
          <c:orientation val="minMax"/>
        </c:scaling>
        <c:delete val="0"/>
        <c:axPos val="b"/>
        <c:minorGridlines>
          <c:spPr>
            <a:ln w="9525" cap="flat" cmpd="sng" algn="ctr">
              <a:solidFill>
                <a:schemeClr val="tx1">
                  <a:alpha val="28000"/>
                </a:schemeClr>
              </a:solidFill>
              <a:prstDash val="solid"/>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12509983"/>
        <c:crosses val="autoZero"/>
        <c:auto val="1"/>
        <c:lblAlgn val="ctr"/>
        <c:lblOffset val="100"/>
        <c:noMultiLvlLbl val="0"/>
      </c:catAx>
      <c:valAx>
        <c:axId val="2012509983"/>
        <c:scaling>
          <c:orientation val="minMax"/>
          <c:max val="45"/>
        </c:scaling>
        <c:delete val="0"/>
        <c:axPos val="l"/>
        <c:majorGridlines>
          <c:spPr>
            <a:ln w="9525" cap="flat" cmpd="sng" algn="ctr">
              <a:solidFill>
                <a:schemeClr val="tx2">
                  <a:lumMod val="75000"/>
                  <a:alpha val="38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Latency(s)</a:t>
                </a:r>
                <a:r>
                  <a:rPr lang="en-US" b="1" baseline="0"/>
                  <a:t> </a:t>
                </a:r>
              </a:p>
              <a:p>
                <a:pPr>
                  <a:defRPr b="1"/>
                </a:pPr>
                <a:r>
                  <a:rPr lang="en-US" sz="800" b="1" baseline="0">
                    <a:solidFill>
                      <a:srgbClr val="C00000"/>
                    </a:solidFill>
                  </a:rPr>
                  <a:t>[Normalized w/H ODIN_DRAM</a:t>
                </a:r>
                <a:endParaRPr lang="en-US" sz="800" b="1">
                  <a:solidFill>
                    <a:srgbClr val="C00000"/>
                  </a:solidFill>
                </a:endParaRPr>
              </a:p>
            </c:rich>
          </c:tx>
          <c:layout>
            <c:manualLayout>
              <c:xMode val="edge"/>
              <c:yMode val="edge"/>
              <c:x val="0"/>
              <c:y val="0.1808300524934383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12519551"/>
        <c:crosses val="autoZero"/>
        <c:crossBetween val="between"/>
      </c:valAx>
      <c:spPr>
        <a:noFill/>
        <a:ln>
          <a:noFill/>
        </a:ln>
        <a:effectLst/>
      </c:spPr>
    </c:plotArea>
    <c:legend>
      <c:legendPos val="b"/>
      <c:layout>
        <c:manualLayout>
          <c:xMode val="edge"/>
          <c:yMode val="edge"/>
          <c:x val="0.17713300952433789"/>
          <c:y val="6.8237689414030961E-3"/>
          <c:w val="0.60131889471053446"/>
          <c:h val="8.57931020126635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937160905281076E-2"/>
          <c:y val="0.13888890946244506"/>
          <c:w val="0.90082784415119677"/>
          <c:h val="0.62032530742447811"/>
        </c:manualLayout>
      </c:layout>
      <c:barChart>
        <c:barDir val="col"/>
        <c:grouping val="clustered"/>
        <c:varyColors val="0"/>
        <c:ser>
          <c:idx val="0"/>
          <c:order val="0"/>
          <c:tx>
            <c:strRef>
              <c:f>Graphs!$M$6</c:f>
              <c:strCache>
                <c:ptCount val="1"/>
                <c:pt idx="0">
                  <c:v>DRISA_1T1C_NOR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accent1"/>
              </a:solid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Graphs!$N$6:$W$6</c:f>
              <c:numCache>
                <c:formatCode>0.00000</c:formatCode>
                <c:ptCount val="10"/>
                <c:pt idx="0">
                  <c:v>4.1017805533565509E-2</c:v>
                </c:pt>
                <c:pt idx="1">
                  <c:v>3.870545278526643E-2</c:v>
                </c:pt>
                <c:pt idx="2">
                  <c:v>6.9035072476392206E-2</c:v>
                </c:pt>
                <c:pt idx="3">
                  <c:v>7.5577108073311944E-2</c:v>
                </c:pt>
                <c:pt idx="4" formatCode="General">
                  <c:v>5.364770614499477E-2</c:v>
                </c:pt>
                <c:pt idx="5">
                  <c:v>6.9600470627405736E-3</c:v>
                </c:pt>
                <c:pt idx="6">
                  <c:v>6.912445643211574E-3</c:v>
                </c:pt>
                <c:pt idx="7">
                  <c:v>7.6253010768798472E-3</c:v>
                </c:pt>
                <c:pt idx="8">
                  <c:v>7.8087269125822339E-3</c:v>
                </c:pt>
                <c:pt idx="9" formatCode="General">
                  <c:v>7.3159425107022355E-3</c:v>
                </c:pt>
              </c:numCache>
            </c:numRef>
          </c:val>
          <c:extLst>
            <c:ext xmlns:c16="http://schemas.microsoft.com/office/drawing/2014/chart" uri="{C3380CC4-5D6E-409C-BE32-E72D297353CC}">
              <c16:uniqueId val="{00000000-5DCA-4186-BB04-0DA45C6285FE}"/>
            </c:ext>
          </c:extLst>
        </c:ser>
        <c:ser>
          <c:idx val="1"/>
          <c:order val="1"/>
          <c:tx>
            <c:strRef>
              <c:f>Graphs!$M$7</c:f>
              <c:strCache>
                <c:ptCount val="1"/>
                <c:pt idx="0">
                  <c:v>DRISA_3T1C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5875" cmpd="sng">
              <a:solidFill>
                <a:schemeClr val="accent4">
                  <a:lumMod val="50000"/>
                </a:schemeClr>
              </a:solid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Graphs!$N$7:$W$7</c:f>
              <c:numCache>
                <c:formatCode>0.00000</c:formatCode>
                <c:ptCount val="10"/>
                <c:pt idx="0">
                  <c:v>1.1454323207884474E-2</c:v>
                </c:pt>
                <c:pt idx="1">
                  <c:v>1.0759171619778626E-2</c:v>
                </c:pt>
                <c:pt idx="2">
                  <c:v>2.0414386083269419E-2</c:v>
                </c:pt>
                <c:pt idx="3">
                  <c:v>2.2660779142973479E-2</c:v>
                </c:pt>
                <c:pt idx="4" formatCode="General">
                  <c:v>1.5452183526707705E-2</c:v>
                </c:pt>
                <c:pt idx="5">
                  <c:v>1.8204483630311541E-3</c:v>
                </c:pt>
                <c:pt idx="6">
                  <c:v>1.8078377686408032E-3</c:v>
                </c:pt>
                <c:pt idx="7">
                  <c:v>1.9969218663646563E-3</c:v>
                </c:pt>
                <c:pt idx="8">
                  <c:v>2.0456566254440584E-3</c:v>
                </c:pt>
                <c:pt idx="9" formatCode="General">
                  <c:v>1.9148418352389189E-3</c:v>
                </c:pt>
              </c:numCache>
            </c:numRef>
          </c:val>
          <c:extLst>
            <c:ext xmlns:c16="http://schemas.microsoft.com/office/drawing/2014/chart" uri="{C3380CC4-5D6E-409C-BE32-E72D297353CC}">
              <c16:uniqueId val="{00000001-5DCA-4186-BB04-0DA45C6285FE}"/>
            </c:ext>
          </c:extLst>
        </c:ser>
        <c:ser>
          <c:idx val="2"/>
          <c:order val="2"/>
          <c:tx>
            <c:strRef>
              <c:f>Graphs!$M$8</c:f>
              <c:strCache>
                <c:ptCount val="1"/>
                <c:pt idx="0">
                  <c:v>LACC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dLbl>
              <c:idx val="3"/>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CA-4186-BB04-0DA45C6285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Graphs!$N$8:$W$8</c:f>
              <c:numCache>
                <c:formatCode>0.00000</c:formatCode>
                <c:ptCount val="10"/>
                <c:pt idx="0">
                  <c:v>1.0461813048896682</c:v>
                </c:pt>
                <c:pt idx="1">
                  <c:v>1.0114807203052369</c:v>
                </c:pt>
                <c:pt idx="2">
                  <c:v>1.3640841299282185</c:v>
                </c:pt>
                <c:pt idx="3">
                  <c:v>1.4187168005640962</c:v>
                </c:pt>
                <c:pt idx="4" formatCode="General">
                  <c:v>1.1962593851876111</c:v>
                </c:pt>
                <c:pt idx="5">
                  <c:v>0.27459068767621225</c:v>
                </c:pt>
                <c:pt idx="6">
                  <c:v>0.27292128186610815</c:v>
                </c:pt>
                <c:pt idx="7">
                  <c:v>0.29765727539059955</c:v>
                </c:pt>
                <c:pt idx="8">
                  <c:v>0.30393176765851931</c:v>
                </c:pt>
                <c:pt idx="9" formatCode="General">
                  <c:v>0.28694849500892922</c:v>
                </c:pt>
              </c:numCache>
            </c:numRef>
          </c:val>
          <c:extLst>
            <c:ext xmlns:c16="http://schemas.microsoft.com/office/drawing/2014/chart" uri="{C3380CC4-5D6E-409C-BE32-E72D297353CC}">
              <c16:uniqueId val="{00000002-5DCA-4186-BB04-0DA45C6285FE}"/>
            </c:ext>
          </c:extLst>
        </c:ser>
        <c:ser>
          <c:idx val="3"/>
          <c:order val="3"/>
          <c:tx>
            <c:strRef>
              <c:f>Graphs!$M$9</c:f>
              <c:strCache>
                <c:ptCount val="1"/>
                <c:pt idx="0">
                  <c:v>SCOPE (vanilla)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B050"/>
              </a:solid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Graphs!$N$9:$W$9</c:f>
              <c:numCache>
                <c:formatCode>0.00000</c:formatCode>
                <c:ptCount val="10"/>
                <c:pt idx="0">
                  <c:v>1.0298209614802573E-2</c:v>
                </c:pt>
                <c:pt idx="1">
                  <c:v>1.0333375212688534E-2</c:v>
                </c:pt>
                <c:pt idx="2">
                  <c:v>1.0065515249711002E-2</c:v>
                </c:pt>
                <c:pt idx="3">
                  <c:v>1.0036775192866922E-2</c:v>
                </c:pt>
                <c:pt idx="4" formatCode="General">
                  <c:v>1.0182596478502856E-2</c:v>
                </c:pt>
                <c:pt idx="5">
                  <c:v>1.4278062722262445E-2</c:v>
                </c:pt>
                <c:pt idx="6">
                  <c:v>1.4323973363185399E-2</c:v>
                </c:pt>
                <c:pt idx="7">
                  <c:v>1.3720908961169665E-2</c:v>
                </c:pt>
                <c:pt idx="8">
                  <c:v>1.3590577686561536E-2</c:v>
                </c:pt>
                <c:pt idx="9" formatCode="General">
                  <c:v>1.3974568202801711E-2</c:v>
                </c:pt>
              </c:numCache>
            </c:numRef>
          </c:val>
          <c:extLst>
            <c:ext xmlns:c16="http://schemas.microsoft.com/office/drawing/2014/chart" uri="{C3380CC4-5D6E-409C-BE32-E72D297353CC}">
              <c16:uniqueId val="{00000003-5DCA-4186-BB04-0DA45C6285FE}"/>
            </c:ext>
          </c:extLst>
        </c:ser>
        <c:ser>
          <c:idx val="4"/>
          <c:order val="4"/>
          <c:tx>
            <c:strRef>
              <c:f>Graphs!$M$10</c:f>
              <c:strCache>
                <c:ptCount val="1"/>
                <c:pt idx="0">
                  <c:v>SCOPE (H2D)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rgbClr val="FF0000"/>
              </a:solid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Graphs!$N$10:$W$10</c:f>
              <c:numCache>
                <c:formatCode>0.00000</c:formatCode>
                <c:ptCount val="10"/>
                <c:pt idx="0">
                  <c:v>1.9196675558603989E-2</c:v>
                </c:pt>
                <c:pt idx="1">
                  <c:v>1.8991949763004546E-2</c:v>
                </c:pt>
                <c:pt idx="2">
                  <c:v>2.0713482040042433E-2</c:v>
                </c:pt>
                <c:pt idx="3">
                  <c:v>2.0922988371052109E-2</c:v>
                </c:pt>
                <c:pt idx="4" formatCode="General">
                  <c:v>1.9937380662832089E-2</c:v>
                </c:pt>
                <c:pt idx="5">
                  <c:v>1.0195122846872904E-2</c:v>
                </c:pt>
                <c:pt idx="6">
                  <c:v>1.0155627792610995E-2</c:v>
                </c:pt>
                <c:pt idx="7">
                  <c:v>1.0723462631717463E-2</c:v>
                </c:pt>
                <c:pt idx="8">
                  <c:v>1.0861796156782601E-2</c:v>
                </c:pt>
                <c:pt idx="9" formatCode="General">
                  <c:v>1.0479341235415668E-2</c:v>
                </c:pt>
              </c:numCache>
            </c:numRef>
          </c:val>
          <c:extLst>
            <c:ext xmlns:c16="http://schemas.microsoft.com/office/drawing/2014/chart" uri="{C3380CC4-5D6E-409C-BE32-E72D297353CC}">
              <c16:uniqueId val="{00000004-5DCA-4186-BB04-0DA45C6285FE}"/>
            </c:ext>
          </c:extLst>
        </c:ser>
        <c:ser>
          <c:idx val="5"/>
          <c:order val="5"/>
          <c:tx>
            <c:strRef>
              <c:f>Graphs!$M$11</c:f>
              <c:strCache>
                <c:ptCount val="1"/>
                <c:pt idx="0">
                  <c:v>ATRIA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Graphs!$N$11:$W$11</c:f>
              <c:numCache>
                <c:formatCode>0.00000</c:formatCode>
                <c:ptCount val="10"/>
                <c:pt idx="0">
                  <c:v>1</c:v>
                </c:pt>
                <c:pt idx="1">
                  <c:v>1</c:v>
                </c:pt>
                <c:pt idx="2">
                  <c:v>1</c:v>
                </c:pt>
                <c:pt idx="3">
                  <c:v>1</c:v>
                </c:pt>
                <c:pt idx="4" formatCode="General">
                  <c:v>1</c:v>
                </c:pt>
                <c:pt idx="5">
                  <c:v>1</c:v>
                </c:pt>
                <c:pt idx="6">
                  <c:v>1</c:v>
                </c:pt>
                <c:pt idx="7">
                  <c:v>1</c:v>
                </c:pt>
                <c:pt idx="8">
                  <c:v>1</c:v>
                </c:pt>
                <c:pt idx="9" formatCode="General">
                  <c:v>1</c:v>
                </c:pt>
              </c:numCache>
            </c:numRef>
          </c:val>
          <c:extLst>
            <c:ext xmlns:c16="http://schemas.microsoft.com/office/drawing/2014/chart" uri="{C3380CC4-5D6E-409C-BE32-E72D297353CC}">
              <c16:uniqueId val="{00000005-5DCA-4186-BB04-0DA45C6285FE}"/>
            </c:ext>
          </c:extLst>
        </c:ser>
        <c:dLbls>
          <c:showLegendKey val="0"/>
          <c:showVal val="0"/>
          <c:showCatName val="0"/>
          <c:showSerName val="0"/>
          <c:showPercent val="0"/>
          <c:showBubbleSize val="0"/>
        </c:dLbls>
        <c:gapWidth val="100"/>
        <c:overlap val="-24"/>
        <c:axId val="1878685503"/>
        <c:axId val="1878683839"/>
      </c:barChart>
      <c:catAx>
        <c:axId val="1878685503"/>
        <c:scaling>
          <c:orientation val="minMax"/>
        </c:scaling>
        <c:delete val="0"/>
        <c:axPos val="b"/>
        <c:minorGridlines>
          <c:spPr>
            <a:ln>
              <a:solidFill>
                <a:schemeClr val="accent1"/>
              </a:solidFill>
              <a:prstDash val="dash"/>
            </a:ln>
            <a:effectLst/>
          </c:spPr>
        </c:min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8683839"/>
        <c:crosses val="autoZero"/>
        <c:auto val="1"/>
        <c:lblAlgn val="ctr"/>
        <c:lblOffset val="100"/>
        <c:noMultiLvlLbl val="0"/>
      </c:catAx>
      <c:valAx>
        <c:axId val="1878683839"/>
        <c:scaling>
          <c:orientation val="minMax"/>
          <c:max val="3.5"/>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Efficiency (FPS/W/mm2)</a:t>
                </a:r>
              </a:p>
              <a:p>
                <a:pPr>
                  <a:defRPr/>
                </a:pPr>
                <a:r>
                  <a:rPr lang="en-US" sz="700">
                    <a:solidFill>
                      <a:srgbClr val="C00000"/>
                    </a:solidFill>
                  </a:rPr>
                  <a:t>[Normalized</a:t>
                </a:r>
                <a:r>
                  <a:rPr lang="en-US" sz="700" baseline="0">
                    <a:solidFill>
                      <a:srgbClr val="C00000"/>
                    </a:solidFill>
                  </a:rPr>
                  <a:t> w/h ODIN_DRAM]</a:t>
                </a:r>
                <a:endParaRPr lang="en-US" sz="700">
                  <a:solidFill>
                    <a:srgbClr val="C00000"/>
                  </a:solidFill>
                </a:endParaRPr>
              </a:p>
            </c:rich>
          </c:tx>
          <c:layout>
            <c:manualLayout>
              <c:xMode val="edge"/>
              <c:yMode val="edge"/>
              <c:x val="1.2326602514911236E-2"/>
              <c:y val="0.1176023068520960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8685503"/>
        <c:crosses val="autoZero"/>
        <c:crossBetween val="between"/>
      </c:valAx>
      <c:spPr>
        <a:noFill/>
        <a:ln>
          <a:noFill/>
        </a:ln>
        <a:effectLst/>
      </c:spPr>
    </c:plotArea>
    <c:legend>
      <c:legendPos val="b"/>
      <c:layout>
        <c:manualLayout>
          <c:xMode val="edge"/>
          <c:yMode val="edge"/>
          <c:x val="0.12643830500625092"/>
          <c:y val="2.372630504520264E-2"/>
          <c:w val="0.57333685290322423"/>
          <c:h val="0.110315668537226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21014241823667E-2"/>
          <c:y val="0.13422120524428621"/>
          <c:w val="0.89702834857225666"/>
          <c:h val="0.61492345806342763"/>
        </c:manualLayout>
      </c:layout>
      <c:barChart>
        <c:barDir val="col"/>
        <c:grouping val="clustered"/>
        <c:varyColors val="0"/>
        <c:ser>
          <c:idx val="0"/>
          <c:order val="0"/>
          <c:tx>
            <c:strRef>
              <c:f>Graphs!$M$36</c:f>
              <c:strCache>
                <c:ptCount val="1"/>
                <c:pt idx="0">
                  <c:v>DRISA_1T1C_NOR</c:v>
                </c:pt>
              </c:strCache>
            </c:strRef>
          </c:tx>
          <c:spPr>
            <a:solidFill>
              <a:schemeClr val="accent1"/>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Graphs!$N$36:$W$36</c:f>
              <c:numCache>
                <c:formatCode>General</c:formatCode>
                <c:ptCount val="10"/>
                <c:pt idx="0">
                  <c:v>9.5139165619682213</c:v>
                </c:pt>
                <c:pt idx="1">
                  <c:v>10.031652076046109</c:v>
                </c:pt>
                <c:pt idx="2">
                  <c:v>5.8535399918378843</c:v>
                </c:pt>
                <c:pt idx="3">
                  <c:v>5.3710250757081051</c:v>
                </c:pt>
                <c:pt idx="4">
                  <c:v>7.401195776859578</c:v>
                </c:pt>
                <c:pt idx="5">
                  <c:v>43.697278888801527</c:v>
                </c:pt>
                <c:pt idx="6">
                  <c:v>43.583369513771146</c:v>
                </c:pt>
                <c:pt idx="7">
                  <c:v>45.189776187998881</c:v>
                </c:pt>
                <c:pt idx="8">
                  <c:v>45.571171978903301</c:v>
                </c:pt>
                <c:pt idx="9">
                  <c:v>44.501678947503699</c:v>
                </c:pt>
              </c:numCache>
            </c:numRef>
          </c:val>
          <c:extLst>
            <c:ext xmlns:c16="http://schemas.microsoft.com/office/drawing/2014/chart" uri="{C3380CC4-5D6E-409C-BE32-E72D297353CC}">
              <c16:uniqueId val="{00000000-5D1C-4BCF-A297-96F40C8B542B}"/>
            </c:ext>
          </c:extLst>
        </c:ser>
        <c:ser>
          <c:idx val="1"/>
          <c:order val="1"/>
          <c:tx>
            <c:strRef>
              <c:f>Graphs!$M$37</c:f>
              <c:strCache>
                <c:ptCount val="1"/>
                <c:pt idx="0">
                  <c:v>DRISA_3T1C</c:v>
                </c:pt>
              </c:strCache>
            </c:strRef>
          </c:tx>
          <c:spPr>
            <a:solidFill>
              <a:schemeClr val="accent2"/>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D1C-4BCF-A297-96F40C8B542B}"/>
                </c:ext>
              </c:extLst>
            </c:dLbl>
            <c:dLbl>
              <c:idx val="1"/>
              <c:delete val="1"/>
              <c:extLst>
                <c:ext xmlns:c15="http://schemas.microsoft.com/office/drawing/2012/chart" uri="{CE6537A1-D6FC-4f65-9D91-7224C49458BB}"/>
                <c:ext xmlns:c16="http://schemas.microsoft.com/office/drawing/2014/chart" uri="{C3380CC4-5D6E-409C-BE32-E72D297353CC}">
                  <c16:uniqueId val="{00000002-5D1C-4BCF-A297-96F40C8B542B}"/>
                </c:ext>
              </c:extLst>
            </c:dLbl>
            <c:dLbl>
              <c:idx val="2"/>
              <c:delete val="1"/>
              <c:extLst>
                <c:ext xmlns:c15="http://schemas.microsoft.com/office/drawing/2012/chart" uri="{CE6537A1-D6FC-4f65-9D91-7224C49458BB}"/>
                <c:ext xmlns:c16="http://schemas.microsoft.com/office/drawing/2014/chart" uri="{C3380CC4-5D6E-409C-BE32-E72D297353CC}">
                  <c16:uniqueId val="{00000003-5D1C-4BCF-A297-96F40C8B542B}"/>
                </c:ext>
              </c:extLst>
            </c:dLbl>
            <c:dLbl>
              <c:idx val="3"/>
              <c:delete val="1"/>
              <c:extLst>
                <c:ext xmlns:c15="http://schemas.microsoft.com/office/drawing/2012/chart" uri="{CE6537A1-D6FC-4f65-9D91-7224C49458BB}"/>
                <c:ext xmlns:c16="http://schemas.microsoft.com/office/drawing/2014/chart" uri="{C3380CC4-5D6E-409C-BE32-E72D297353CC}">
                  <c16:uniqueId val="{00000004-5D1C-4BCF-A297-96F40C8B542B}"/>
                </c:ext>
              </c:extLst>
            </c:dLbl>
            <c:numFmt formatCode="#,##0.00" sourceLinked="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ysClr val="windowText" lastClr="000000"/>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Graphs!$N$37:$W$37</c:f>
              <c:numCache>
                <c:formatCode>General</c:formatCode>
                <c:ptCount val="10"/>
                <c:pt idx="0">
                  <c:v>23.015132440594567</c:v>
                </c:pt>
                <c:pt idx="1">
                  <c:v>24.246035267317335</c:v>
                </c:pt>
                <c:pt idx="2">
                  <c:v>14.312681585802737</c:v>
                </c:pt>
                <c:pt idx="3">
                  <c:v>13.165514821981525</c:v>
                </c:pt>
                <c:pt idx="4">
                  <c:v>18.007493501704566</c:v>
                </c:pt>
                <c:pt idx="5">
                  <c:v>105.2831437321671</c:v>
                </c:pt>
                <c:pt idx="6">
                  <c:v>104.9404480582739</c:v>
                </c:pt>
                <c:pt idx="7">
                  <c:v>109.77331293549942</c:v>
                </c:pt>
                <c:pt idx="8">
                  <c:v>110.92073989266748</c:v>
                </c:pt>
                <c:pt idx="9">
                  <c:v>107.69680561818927</c:v>
                </c:pt>
              </c:numCache>
            </c:numRef>
          </c:val>
          <c:extLst>
            <c:ext xmlns:c16="http://schemas.microsoft.com/office/drawing/2014/chart" uri="{C3380CC4-5D6E-409C-BE32-E72D297353CC}">
              <c16:uniqueId val="{00000005-5D1C-4BCF-A297-96F40C8B542B}"/>
            </c:ext>
          </c:extLst>
        </c:ser>
        <c:ser>
          <c:idx val="2"/>
          <c:order val="2"/>
          <c:tx>
            <c:strRef>
              <c:f>Graphs!$M$38</c:f>
              <c:strCache>
                <c:ptCount val="1"/>
                <c:pt idx="0">
                  <c:v>LACC</c:v>
                </c:pt>
              </c:strCache>
            </c:strRef>
          </c:tx>
          <c:spPr>
            <a:solidFill>
              <a:schemeClr val="accent3"/>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Graphs!$N$38:$W$38</c:f>
              <c:numCache>
                <c:formatCode>General</c:formatCode>
                <c:ptCount val="10"/>
                <c:pt idx="0">
                  <c:v>3.759011763192158</c:v>
                </c:pt>
                <c:pt idx="1">
                  <c:v>3.8740878891980728</c:v>
                </c:pt>
                <c:pt idx="2">
                  <c:v>2.9454265561513968</c:v>
                </c:pt>
                <c:pt idx="3">
                  <c:v>2.8381788480485866</c:v>
                </c:pt>
                <c:pt idx="4">
                  <c:v>3.3216798942400758</c:v>
                </c:pt>
                <c:pt idx="5">
                  <c:v>10.460767021414574</c:v>
                </c:pt>
                <c:pt idx="6">
                  <c:v>10.499993097880152</c:v>
                </c:pt>
                <c:pt idx="7">
                  <c:v>9.9468074534038617</c:v>
                </c:pt>
                <c:pt idx="8">
                  <c:v>9.8154691816094939</c:v>
                </c:pt>
                <c:pt idx="9">
                  <c:v>10.176228016710745</c:v>
                </c:pt>
              </c:numCache>
            </c:numRef>
          </c:val>
          <c:extLst>
            <c:ext xmlns:c16="http://schemas.microsoft.com/office/drawing/2014/chart" uri="{C3380CC4-5D6E-409C-BE32-E72D297353CC}">
              <c16:uniqueId val="{00000006-5D1C-4BCF-A297-96F40C8B542B}"/>
            </c:ext>
          </c:extLst>
        </c:ser>
        <c:ser>
          <c:idx val="3"/>
          <c:order val="3"/>
          <c:tx>
            <c:strRef>
              <c:f>Graphs!$M$39</c:f>
              <c:strCache>
                <c:ptCount val="1"/>
                <c:pt idx="0">
                  <c:v>SCOPE (vanilla)</c:v>
                </c:pt>
              </c:strCache>
            </c:strRef>
          </c:tx>
          <c:spPr>
            <a:solidFill>
              <a:schemeClr val="accent4"/>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Graphs!$N$39:$W$39</c:f>
              <c:numCache>
                <c:formatCode>General</c:formatCode>
                <c:ptCount val="10"/>
                <c:pt idx="0">
                  <c:v>6.2457812599244802</c:v>
                </c:pt>
                <c:pt idx="1">
                  <c:v>6.1571870562736226</c:v>
                </c:pt>
                <c:pt idx="2">
                  <c:v>6.8721399671700665</c:v>
                </c:pt>
                <c:pt idx="3">
                  <c:v>6.9547072695509264</c:v>
                </c:pt>
                <c:pt idx="4">
                  <c:v>6.5476430020209211</c:v>
                </c:pt>
                <c:pt idx="5">
                  <c:v>1.0862691111174296</c:v>
                </c:pt>
                <c:pt idx="6">
                  <c:v>1.0560699453353195</c:v>
                </c:pt>
                <c:pt idx="7">
                  <c:v>1.481953604652674</c:v>
                </c:pt>
                <c:pt idx="8">
                  <c:v>1.5830676237143158</c:v>
                </c:pt>
                <c:pt idx="9">
                  <c:v>1.2808286898200458</c:v>
                </c:pt>
              </c:numCache>
            </c:numRef>
          </c:val>
          <c:extLst>
            <c:ext xmlns:c16="http://schemas.microsoft.com/office/drawing/2014/chart" uri="{C3380CC4-5D6E-409C-BE32-E72D297353CC}">
              <c16:uniqueId val="{00000007-5D1C-4BCF-A297-96F40C8B542B}"/>
            </c:ext>
          </c:extLst>
        </c:ser>
        <c:ser>
          <c:idx val="4"/>
          <c:order val="4"/>
          <c:tx>
            <c:strRef>
              <c:f>Graphs!$M$40</c:f>
              <c:strCache>
                <c:ptCount val="1"/>
                <c:pt idx="0">
                  <c:v>SCOPE (H2D)</c:v>
                </c:pt>
              </c:strCache>
            </c:strRef>
          </c:tx>
          <c:spPr>
            <a:solidFill>
              <a:schemeClr val="accent5"/>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Graphs!$N$40:$W$40</c:f>
              <c:numCache>
                <c:formatCode>General</c:formatCode>
                <c:ptCount val="10"/>
                <c:pt idx="0">
                  <c:v>4.3277164937128507</c:v>
                </c:pt>
                <c:pt idx="1">
                  <c:v>4.2968192834625993</c:v>
                </c:pt>
                <c:pt idx="2">
                  <c:v>4.546158963675226</c:v>
                </c:pt>
                <c:pt idx="3">
                  <c:v>4.5749542933506433</c:v>
                </c:pt>
                <c:pt idx="4">
                  <c:v>4.434649670405304</c:v>
                </c:pt>
                <c:pt idx="5">
                  <c:v>2.5283376959908206</c:v>
                </c:pt>
                <c:pt idx="6">
                  <c:v>2.5178057431530343</c:v>
                </c:pt>
                <c:pt idx="7">
                  <c:v>2.6663325814993897</c:v>
                </c:pt>
                <c:pt idx="8">
                  <c:v>2.7015960747918797</c:v>
                </c:pt>
                <c:pt idx="9">
                  <c:v>2.602243958718446</c:v>
                </c:pt>
              </c:numCache>
            </c:numRef>
          </c:val>
          <c:extLst>
            <c:ext xmlns:c16="http://schemas.microsoft.com/office/drawing/2014/chart" uri="{C3380CC4-5D6E-409C-BE32-E72D297353CC}">
              <c16:uniqueId val="{00000008-5D1C-4BCF-A297-96F40C8B542B}"/>
            </c:ext>
          </c:extLst>
        </c:ser>
        <c:ser>
          <c:idx val="5"/>
          <c:order val="5"/>
          <c:tx>
            <c:strRef>
              <c:f>Graphs!$M$41</c:f>
              <c:strCache>
                <c:ptCount val="1"/>
                <c:pt idx="0">
                  <c:v>ATRIA</c:v>
                </c:pt>
              </c:strCache>
            </c:strRef>
          </c:tx>
          <c:spPr>
            <a:solidFill>
              <a:schemeClr val="accent6"/>
            </a:solidFill>
            <a:ln>
              <a:noFill/>
            </a:ln>
            <a:effectLst/>
          </c:spPr>
          <c:invertIfNegative val="0"/>
          <c:cat>
            <c:multiLvlStrRef>
              <c:f>Graphs!$N$34:$W$35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Graphs!$N$41:$W$41</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9-5D1C-4BCF-A297-96F40C8B542B}"/>
            </c:ext>
          </c:extLst>
        </c:ser>
        <c:dLbls>
          <c:showLegendKey val="0"/>
          <c:showVal val="0"/>
          <c:showCatName val="0"/>
          <c:showSerName val="0"/>
          <c:showPercent val="0"/>
          <c:showBubbleSize val="0"/>
        </c:dLbls>
        <c:gapWidth val="219"/>
        <c:overlap val="-27"/>
        <c:axId val="2012519551"/>
        <c:axId val="2012509983"/>
      </c:barChart>
      <c:catAx>
        <c:axId val="2012519551"/>
        <c:scaling>
          <c:orientation val="minMax"/>
        </c:scaling>
        <c:delete val="0"/>
        <c:axPos val="b"/>
        <c:minorGridlines>
          <c:spPr>
            <a:ln w="9525" cap="flat" cmpd="sng" algn="ctr">
              <a:solidFill>
                <a:schemeClr val="tx1">
                  <a:alpha val="28000"/>
                </a:schemeClr>
              </a:solidFill>
              <a:prstDash val="solid"/>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baseline="0">
                <a:solidFill>
                  <a:schemeClr val="tx1"/>
                </a:solidFill>
                <a:latin typeface="Arial Narrow" panose="020B0606020202030204" pitchFamily="34" charset="0"/>
                <a:ea typeface="+mn-ea"/>
                <a:cs typeface="Aharoni" panose="020B0604020202020204" pitchFamily="2" charset="-79"/>
              </a:defRPr>
            </a:pPr>
            <a:endParaRPr lang="en-US"/>
          </a:p>
        </c:txPr>
        <c:crossAx val="2012509983"/>
        <c:crosses val="autoZero"/>
        <c:auto val="1"/>
        <c:lblAlgn val="ctr"/>
        <c:lblOffset val="100"/>
        <c:noMultiLvlLbl val="0"/>
      </c:catAx>
      <c:valAx>
        <c:axId val="2012509983"/>
        <c:scaling>
          <c:orientation val="minMax"/>
          <c:max val="45"/>
        </c:scaling>
        <c:delete val="0"/>
        <c:axPos val="l"/>
        <c:majorGridlines>
          <c:spPr>
            <a:ln w="9525" cap="flat" cmpd="sng" algn="ctr">
              <a:solidFill>
                <a:schemeClr val="tx2">
                  <a:lumMod val="75000"/>
                  <a:alpha val="38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Arial Black" panose="020B0A04020102020204" pitchFamily="34" charset="0"/>
                    <a:ea typeface="+mn-ea"/>
                    <a:cs typeface="+mn-cs"/>
                  </a:defRPr>
                </a:pPr>
                <a:r>
                  <a:rPr lang="en-US" sz="1200" b="1">
                    <a:solidFill>
                      <a:schemeClr val="tx1"/>
                    </a:solidFill>
                    <a:latin typeface="Arial Black" panose="020B0A04020102020204" pitchFamily="34" charset="0"/>
                  </a:rPr>
                  <a:t>Latency(s)</a:t>
                </a:r>
                <a:r>
                  <a:rPr lang="en-US" sz="1200" b="1" baseline="0">
                    <a:solidFill>
                      <a:schemeClr val="tx1"/>
                    </a:solidFill>
                    <a:latin typeface="Arial Black" panose="020B0A04020102020204" pitchFamily="34" charset="0"/>
                  </a:rPr>
                  <a:t> </a:t>
                </a:r>
              </a:p>
              <a:p>
                <a:pPr>
                  <a:defRPr sz="1200" b="1">
                    <a:latin typeface="Arial Black" panose="020B0A04020102020204" pitchFamily="34" charset="0"/>
                  </a:defRPr>
                </a:pPr>
                <a:r>
                  <a:rPr lang="en-US" sz="1200" b="1" baseline="0">
                    <a:solidFill>
                      <a:srgbClr val="C00000"/>
                    </a:solidFill>
                    <a:latin typeface="Arial Black" panose="020B0A04020102020204" pitchFamily="34" charset="0"/>
                  </a:rPr>
                  <a:t>[Normalized w.r.t. ATRIA]</a:t>
                </a:r>
                <a:endParaRPr lang="en-US" sz="1200" b="1">
                  <a:solidFill>
                    <a:srgbClr val="C00000"/>
                  </a:solidFill>
                  <a:latin typeface="Arial Black" panose="020B0A04020102020204" pitchFamily="34" charset="0"/>
                </a:endParaRPr>
              </a:p>
            </c:rich>
          </c:tx>
          <c:layout>
            <c:manualLayout>
              <c:xMode val="edge"/>
              <c:yMode val="edge"/>
              <c:x val="6.247531657801641E-3"/>
              <c:y val="0.137602682667060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Black" panose="020B0A04020102020204" pitchFamily="34" charset="0"/>
                <a:ea typeface="+mn-ea"/>
                <a:cs typeface="+mn-cs"/>
              </a:defRPr>
            </a:pPr>
            <a:endParaRPr lang="en-US"/>
          </a:p>
        </c:txPr>
        <c:crossAx val="2012519551"/>
        <c:crosses val="autoZero"/>
        <c:crossBetween val="between"/>
      </c:valAx>
      <c:spPr>
        <a:noFill/>
        <a:ln>
          <a:noFill/>
        </a:ln>
        <a:effectLst/>
      </c:spPr>
    </c:plotArea>
    <c:legend>
      <c:legendPos val="b"/>
      <c:layout>
        <c:manualLayout>
          <c:xMode val="edge"/>
          <c:yMode val="edge"/>
          <c:x val="3.5408209125671386E-2"/>
          <c:y val="3.732776948903397E-2"/>
          <c:w val="0.94601725031374251"/>
          <c:h val="8.5793102012663575E-2"/>
        </c:manualLayou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409805089055832E-2"/>
          <c:y val="0.12917007003078157"/>
          <c:w val="0.88916317902834208"/>
          <c:h val="0.63336860976137876"/>
        </c:manualLayout>
      </c:layout>
      <c:barChart>
        <c:barDir val="col"/>
        <c:grouping val="clustered"/>
        <c:varyColors val="0"/>
        <c:ser>
          <c:idx val="0"/>
          <c:order val="0"/>
          <c:tx>
            <c:strRef>
              <c:f>Graphs!$B$87</c:f>
              <c:strCache>
                <c:ptCount val="1"/>
                <c:pt idx="0">
                  <c:v>DRISA_1T1C_NOR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accent1">
                  <a:lumMod val="75000"/>
                </a:schemeClr>
              </a:solid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Graphs!$C$87:$L$87</c:f>
              <c:numCache>
                <c:formatCode>General</c:formatCode>
                <c:ptCount val="10"/>
                <c:pt idx="0">
                  <c:v>22.135119757396321</c:v>
                </c:pt>
                <c:pt idx="1">
                  <c:v>1.0447125970471214</c:v>
                </c:pt>
                <c:pt idx="2">
                  <c:v>9.7900341442462349</c:v>
                </c:pt>
                <c:pt idx="3">
                  <c:v>3.4683741972863853</c:v>
                </c:pt>
                <c:pt idx="4">
                  <c:v>5.2935523840044016</c:v>
                </c:pt>
                <c:pt idx="5">
                  <c:v>23.180767622185552</c:v>
                </c:pt>
                <c:pt idx="6">
                  <c:v>1.0906291677217099</c:v>
                </c:pt>
                <c:pt idx="7">
                  <c:v>10.659270889080615</c:v>
                </c:pt>
                <c:pt idx="8">
                  <c:v>3.8116348305353283</c:v>
                </c:pt>
                <c:pt idx="9">
                  <c:v>5.6612316622737708</c:v>
                </c:pt>
              </c:numCache>
            </c:numRef>
          </c:val>
          <c:extLst>
            <c:ext xmlns:c16="http://schemas.microsoft.com/office/drawing/2014/chart" uri="{C3380CC4-5D6E-409C-BE32-E72D297353CC}">
              <c16:uniqueId val="{00000000-42B5-44EF-BB7D-AA0CE86CC04E}"/>
            </c:ext>
          </c:extLst>
        </c:ser>
        <c:ser>
          <c:idx val="1"/>
          <c:order val="1"/>
          <c:tx>
            <c:strRef>
              <c:f>Graphs!$B$88</c:f>
              <c:strCache>
                <c:ptCount val="1"/>
                <c:pt idx="0">
                  <c:v>DRISA_3T1C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8575">
              <a:solidFill>
                <a:srgbClr val="C00000"/>
              </a:solid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Graphs!$C$88:$L$88</c:f>
              <c:numCache>
                <c:formatCode>General</c:formatCode>
                <c:ptCount val="10"/>
                <c:pt idx="0">
                  <c:v>9.1501399353060791</c:v>
                </c:pt>
                <c:pt idx="1">
                  <c:v>0.4322435885905912</c:v>
                </c:pt>
                <c:pt idx="2">
                  <c:v>4.0038867658208757</c:v>
                </c:pt>
                <c:pt idx="3">
                  <c:v>1.4149636408035551</c:v>
                </c:pt>
                <c:pt idx="4">
                  <c:v>2.1756841142477565</c:v>
                </c:pt>
                <c:pt idx="5">
                  <c:v>9.6210697338216065</c:v>
                </c:pt>
                <c:pt idx="6">
                  <c:v>0.45295493681251031</c:v>
                </c:pt>
                <c:pt idx="7">
                  <c:v>4.388043440830069</c:v>
                </c:pt>
                <c:pt idx="8">
                  <c:v>1.5659890706750146</c:v>
                </c:pt>
                <c:pt idx="9">
                  <c:v>2.3392923535273367</c:v>
                </c:pt>
              </c:numCache>
            </c:numRef>
          </c:val>
          <c:extLst>
            <c:ext xmlns:c16="http://schemas.microsoft.com/office/drawing/2014/chart" uri="{C3380CC4-5D6E-409C-BE32-E72D297353CC}">
              <c16:uniqueId val="{00000001-42B5-44EF-BB7D-AA0CE86CC04E}"/>
            </c:ext>
          </c:extLst>
        </c:ser>
        <c:ser>
          <c:idx val="2"/>
          <c:order val="2"/>
          <c:tx>
            <c:strRef>
              <c:f>Graphs!$B$89</c:f>
              <c:strCache>
                <c:ptCount val="1"/>
                <c:pt idx="0">
                  <c:v>LACC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Graphs!$C$89:$L$89</c:f>
              <c:numCache>
                <c:formatCode>General</c:formatCode>
                <c:ptCount val="10"/>
                <c:pt idx="0">
                  <c:v>56.023150691661598</c:v>
                </c:pt>
                <c:pt idx="1">
                  <c:v>2.7052027710214532</c:v>
                </c:pt>
                <c:pt idx="2">
                  <c:v>19.456046617465933</c:v>
                </c:pt>
                <c:pt idx="3">
                  <c:v>6.5636190609948635</c:v>
                </c:pt>
                <c:pt idx="4">
                  <c:v>11.794820330825859</c:v>
                </c:pt>
                <c:pt idx="5">
                  <c:v>96.831949853153958</c:v>
                </c:pt>
                <c:pt idx="6">
                  <c:v>4.5269833585803489</c:v>
                </c:pt>
                <c:pt idx="7">
                  <c:v>48.426599998169998</c:v>
                </c:pt>
                <c:pt idx="8">
                  <c:v>17.696623887175281</c:v>
                </c:pt>
                <c:pt idx="9">
                  <c:v>24.757141198903938</c:v>
                </c:pt>
              </c:numCache>
            </c:numRef>
          </c:val>
          <c:extLst>
            <c:ext xmlns:c16="http://schemas.microsoft.com/office/drawing/2014/chart" uri="{C3380CC4-5D6E-409C-BE32-E72D297353CC}">
              <c16:uniqueId val="{00000002-42B5-44EF-BB7D-AA0CE86CC04E}"/>
            </c:ext>
          </c:extLst>
        </c:ser>
        <c:ser>
          <c:idx val="3"/>
          <c:order val="3"/>
          <c:tx>
            <c:strRef>
              <c:f>Graphs!$B$90</c:f>
              <c:strCache>
                <c:ptCount val="1"/>
                <c:pt idx="0">
                  <c:v>SCOPE (vanilla)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Graphs!$C$90:$L$90</c:f>
              <c:numCache>
                <c:formatCode>General</c:formatCode>
                <c:ptCount val="10"/>
                <c:pt idx="0">
                  <c:v>33.71742840439935</c:v>
                </c:pt>
                <c:pt idx="1">
                  <c:v>1.7021073417545272</c:v>
                </c:pt>
                <c:pt idx="2">
                  <c:v>8.3389390580766012</c:v>
                </c:pt>
                <c:pt idx="3">
                  <c:v>2.6785778413887185</c:v>
                </c:pt>
                <c:pt idx="4">
                  <c:v>5.9836215164733186</c:v>
                </c:pt>
                <c:pt idx="5">
                  <c:v>932.49127428575162</c:v>
                </c:pt>
                <c:pt idx="6">
                  <c:v>45.009607771973258</c:v>
                </c:pt>
                <c:pt idx="7">
                  <c:v>325.03721053919139</c:v>
                </c:pt>
                <c:pt idx="8">
                  <c:v>109.72409755658664</c:v>
                </c:pt>
                <c:pt idx="9">
                  <c:v>196.6963387721635</c:v>
                </c:pt>
              </c:numCache>
            </c:numRef>
          </c:val>
          <c:extLst>
            <c:ext xmlns:c16="http://schemas.microsoft.com/office/drawing/2014/chart" uri="{C3380CC4-5D6E-409C-BE32-E72D297353CC}">
              <c16:uniqueId val="{00000003-42B5-44EF-BB7D-AA0CE86CC04E}"/>
            </c:ext>
          </c:extLst>
        </c:ser>
        <c:ser>
          <c:idx val="4"/>
          <c:order val="4"/>
          <c:tx>
            <c:strRef>
              <c:f>Graphs!$B$91</c:f>
              <c:strCache>
                <c:ptCount val="1"/>
                <c:pt idx="0">
                  <c:v>SCOPE (H2D)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Graphs!$C$91:$L$91</c:f>
              <c:numCache>
                <c:formatCode>General</c:formatCode>
                <c:ptCount val="10"/>
                <c:pt idx="0">
                  <c:v>48.661154853138541</c:v>
                </c:pt>
                <c:pt idx="1">
                  <c:v>2.4390584294235889</c:v>
                </c:pt>
                <c:pt idx="2">
                  <c:v>12.605444913539904</c:v>
                </c:pt>
                <c:pt idx="3">
                  <c:v>4.0718930924926653</c:v>
                </c:pt>
                <c:pt idx="4">
                  <c:v>8.8346589834451592</c:v>
                </c:pt>
                <c:pt idx="5">
                  <c:v>400.63337632838915</c:v>
                </c:pt>
                <c:pt idx="6">
                  <c:v>18.87885677780141</c:v>
                </c:pt>
                <c:pt idx="7">
                  <c:v>180.65640766161678</c:v>
                </c:pt>
                <c:pt idx="8">
                  <c:v>64.295572533538206</c:v>
                </c:pt>
                <c:pt idx="9">
                  <c:v>96.814256418150265</c:v>
                </c:pt>
              </c:numCache>
            </c:numRef>
          </c:val>
          <c:extLst>
            <c:ext xmlns:c16="http://schemas.microsoft.com/office/drawing/2014/chart" uri="{C3380CC4-5D6E-409C-BE32-E72D297353CC}">
              <c16:uniqueId val="{00000004-42B5-44EF-BB7D-AA0CE86CC04E}"/>
            </c:ext>
          </c:extLst>
        </c:ser>
        <c:ser>
          <c:idx val="5"/>
          <c:order val="5"/>
          <c:tx>
            <c:strRef>
              <c:f>Graphs!$B$92</c:f>
              <c:strCache>
                <c:ptCount val="1"/>
                <c:pt idx="0">
                  <c:v>ATRIA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multiLvlStrRef>
              <c:f>Graphs!$C$85:$L$86</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Graphs!$C$92:$L$92</c:f>
              <c:numCache>
                <c:formatCode>General</c:formatCode>
                <c:ptCount val="10"/>
                <c:pt idx="0">
                  <c:v>210.59168246104284</c:v>
                </c:pt>
                <c:pt idx="1">
                  <c:v>10.480193293039278</c:v>
                </c:pt>
                <c:pt idx="2">
                  <c:v>57.306356384803721</c:v>
                </c:pt>
                <c:pt idx="3">
                  <c:v>18.628724785564149</c:v>
                </c:pt>
                <c:pt idx="4">
                  <c:v>39.178617549078332</c:v>
                </c:pt>
                <c:pt idx="5">
                  <c:v>1012.9364676431428</c:v>
                </c:pt>
                <c:pt idx="6">
                  <c:v>47.533294019311974</c:v>
                </c:pt>
                <c:pt idx="7">
                  <c:v>481.69006580480476</c:v>
                </c:pt>
                <c:pt idx="8">
                  <c:v>173.7006663831034</c:v>
                </c:pt>
                <c:pt idx="9">
                  <c:v>251.93431388195009</c:v>
                </c:pt>
              </c:numCache>
            </c:numRef>
          </c:val>
          <c:extLst>
            <c:ext xmlns:c16="http://schemas.microsoft.com/office/drawing/2014/chart" uri="{C3380CC4-5D6E-409C-BE32-E72D297353CC}">
              <c16:uniqueId val="{00000005-42B5-44EF-BB7D-AA0CE86CC04E}"/>
            </c:ext>
          </c:extLst>
        </c:ser>
        <c:dLbls>
          <c:showLegendKey val="0"/>
          <c:showVal val="0"/>
          <c:showCatName val="0"/>
          <c:showSerName val="0"/>
          <c:showPercent val="0"/>
          <c:showBubbleSize val="0"/>
        </c:dLbls>
        <c:gapWidth val="100"/>
        <c:overlap val="-24"/>
        <c:axId val="1958898015"/>
        <c:axId val="1958898431"/>
      </c:barChart>
      <c:catAx>
        <c:axId val="1958898015"/>
        <c:scaling>
          <c:orientation val="minMax"/>
        </c:scaling>
        <c:delete val="0"/>
        <c:axPos val="b"/>
        <c:majorGridlines>
          <c:spPr>
            <a:ln w="6350" cap="flat" cmpd="sng" algn="ctr">
              <a:solidFill>
                <a:schemeClr val="tx1">
                  <a:alpha val="45000"/>
                </a:schemeClr>
              </a:solidFill>
              <a:prstDash val="solid"/>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1600" b="1" i="0" u="none" strike="noStrike" kern="1200" baseline="0">
                <a:solidFill>
                  <a:schemeClr val="tx1"/>
                </a:solidFill>
                <a:latin typeface="Arial Narrow" panose="020B0606020202030204" pitchFamily="34" charset="0"/>
                <a:ea typeface="+mn-ea"/>
                <a:cs typeface="Aharoni" panose="020B0604020202020204" pitchFamily="2" charset="-79"/>
              </a:defRPr>
            </a:pPr>
            <a:endParaRPr lang="en-US"/>
          </a:p>
        </c:txPr>
        <c:crossAx val="1958898431"/>
        <c:crosses val="autoZero"/>
        <c:auto val="1"/>
        <c:lblAlgn val="ctr"/>
        <c:lblOffset val="100"/>
        <c:noMultiLvlLbl val="0"/>
      </c:catAx>
      <c:valAx>
        <c:axId val="1958898431"/>
        <c:scaling>
          <c:logBase val="10"/>
          <c:orientation val="minMax"/>
          <c:max val="1100"/>
          <c:min val="1"/>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400" b="1" i="0" baseline="0">
                    <a:solidFill>
                      <a:schemeClr val="tx1"/>
                    </a:solidFill>
                    <a:effectLst/>
                    <a:latin typeface="Arial Black" panose="020B0A04020102020204" pitchFamily="34" charset="0"/>
                  </a:rPr>
                  <a:t>Frames</a:t>
                </a:r>
                <a:r>
                  <a:rPr lang="en-US" sz="1400">
                    <a:solidFill>
                      <a:schemeClr val="tx1"/>
                    </a:solidFill>
                    <a:effectLst/>
                    <a:latin typeface="Arial Black" panose="020B0A04020102020204" pitchFamily="34" charset="0"/>
                  </a:rPr>
                  <a:t> per Second</a:t>
                </a:r>
                <a:r>
                  <a:rPr lang="en-US" sz="1400" baseline="0">
                    <a:solidFill>
                      <a:schemeClr val="tx1"/>
                    </a:solidFill>
                    <a:effectLst/>
                    <a:latin typeface="Arial Black" panose="020B0A04020102020204" pitchFamily="34" charset="0"/>
                  </a:rPr>
                  <a:t> (FPS)</a:t>
                </a:r>
                <a:endParaRPr lang="en-US" sz="700">
                  <a:solidFill>
                    <a:schemeClr val="tx1"/>
                  </a:solidFill>
                  <a:effectLst/>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Arial Black" panose="020B0A04020102020204" pitchFamily="34" charset="0"/>
                <a:ea typeface="+mn-ea"/>
                <a:cs typeface="+mn-cs"/>
              </a:defRPr>
            </a:pPr>
            <a:endParaRPr lang="en-US"/>
          </a:p>
        </c:txPr>
        <c:crossAx val="1958898015"/>
        <c:crosses val="autoZero"/>
        <c:crossBetween val="between"/>
      </c:valAx>
      <c:spPr>
        <a:noFill/>
        <a:ln>
          <a:solidFill>
            <a:schemeClr val="accent1">
              <a:lumMod val="75000"/>
            </a:schemeClr>
          </a:solidFill>
        </a:ln>
        <a:effectLst/>
      </c:spPr>
    </c:plotArea>
    <c:legend>
      <c:legendPos val="b"/>
      <c:layout>
        <c:manualLayout>
          <c:xMode val="edge"/>
          <c:yMode val="edge"/>
          <c:x val="3.2372504239096045E-2"/>
          <c:y val="2.7837805988537148E-2"/>
          <c:w val="0.95906659259021443"/>
          <c:h val="9.1837377470673318E-2"/>
        </c:manualLayou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161593025081898E-2"/>
          <c:y val="0.13888890946244506"/>
          <c:w val="0.89760329569936137"/>
          <c:h val="0.63856426621907436"/>
        </c:manualLayout>
      </c:layout>
      <c:barChart>
        <c:barDir val="col"/>
        <c:grouping val="clustered"/>
        <c:varyColors val="0"/>
        <c:ser>
          <c:idx val="0"/>
          <c:order val="0"/>
          <c:tx>
            <c:strRef>
              <c:f>Graphs!$M$6</c:f>
              <c:strCache>
                <c:ptCount val="1"/>
                <c:pt idx="0">
                  <c:v>DRISA_1T1C_NOR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accent1"/>
              </a:solid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Graphs!$N$6:$W$6</c:f>
              <c:numCache>
                <c:formatCode>0.00000</c:formatCode>
                <c:ptCount val="10"/>
                <c:pt idx="0">
                  <c:v>4.1017805533565509E-2</c:v>
                </c:pt>
                <c:pt idx="1">
                  <c:v>3.870545278526643E-2</c:v>
                </c:pt>
                <c:pt idx="2">
                  <c:v>6.9035072476392206E-2</c:v>
                </c:pt>
                <c:pt idx="3">
                  <c:v>7.5577108073311944E-2</c:v>
                </c:pt>
                <c:pt idx="4" formatCode="General">
                  <c:v>5.364770614499477E-2</c:v>
                </c:pt>
                <c:pt idx="5">
                  <c:v>6.9600470627405736E-3</c:v>
                </c:pt>
                <c:pt idx="6">
                  <c:v>6.912445643211574E-3</c:v>
                </c:pt>
                <c:pt idx="7">
                  <c:v>7.6253010768798472E-3</c:v>
                </c:pt>
                <c:pt idx="8">
                  <c:v>7.8087269125822339E-3</c:v>
                </c:pt>
                <c:pt idx="9" formatCode="General">
                  <c:v>7.3159425107022355E-3</c:v>
                </c:pt>
              </c:numCache>
            </c:numRef>
          </c:val>
          <c:extLst>
            <c:ext xmlns:c16="http://schemas.microsoft.com/office/drawing/2014/chart" uri="{C3380CC4-5D6E-409C-BE32-E72D297353CC}">
              <c16:uniqueId val="{00000000-7B91-492A-8D1D-E2EF8B67CB16}"/>
            </c:ext>
          </c:extLst>
        </c:ser>
        <c:ser>
          <c:idx val="1"/>
          <c:order val="1"/>
          <c:tx>
            <c:strRef>
              <c:f>Graphs!$M$7</c:f>
              <c:strCache>
                <c:ptCount val="1"/>
                <c:pt idx="0">
                  <c:v>DRISA_3T1C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5875" cmpd="sng">
              <a:solidFill>
                <a:schemeClr val="accent4">
                  <a:lumMod val="50000"/>
                </a:schemeClr>
              </a:solid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Graphs!$N$7:$W$7</c:f>
              <c:numCache>
                <c:formatCode>0.00000</c:formatCode>
                <c:ptCount val="10"/>
                <c:pt idx="0">
                  <c:v>1.1454323207884474E-2</c:v>
                </c:pt>
                <c:pt idx="1">
                  <c:v>1.0759171619778626E-2</c:v>
                </c:pt>
                <c:pt idx="2">
                  <c:v>2.0414386083269419E-2</c:v>
                </c:pt>
                <c:pt idx="3">
                  <c:v>2.2660779142973479E-2</c:v>
                </c:pt>
                <c:pt idx="4" formatCode="General">
                  <c:v>1.5452183526707705E-2</c:v>
                </c:pt>
                <c:pt idx="5">
                  <c:v>1.8204483630311541E-3</c:v>
                </c:pt>
                <c:pt idx="6">
                  <c:v>1.8078377686408032E-3</c:v>
                </c:pt>
                <c:pt idx="7">
                  <c:v>1.9969218663646563E-3</c:v>
                </c:pt>
                <c:pt idx="8">
                  <c:v>2.0456566254440584E-3</c:v>
                </c:pt>
                <c:pt idx="9" formatCode="General">
                  <c:v>1.9148418352389189E-3</c:v>
                </c:pt>
              </c:numCache>
            </c:numRef>
          </c:val>
          <c:extLst>
            <c:ext xmlns:c16="http://schemas.microsoft.com/office/drawing/2014/chart" uri="{C3380CC4-5D6E-409C-BE32-E72D297353CC}">
              <c16:uniqueId val="{00000001-7B91-492A-8D1D-E2EF8B67CB16}"/>
            </c:ext>
          </c:extLst>
        </c:ser>
        <c:ser>
          <c:idx val="2"/>
          <c:order val="2"/>
          <c:tx>
            <c:strRef>
              <c:f>Graphs!$M$8</c:f>
              <c:strCache>
                <c:ptCount val="1"/>
                <c:pt idx="0">
                  <c:v>LACC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dLbl>
              <c:idx val="3"/>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91-492A-8D1D-E2EF8B67CB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Graphs!$N$8:$W$8</c:f>
              <c:numCache>
                <c:formatCode>0.00000</c:formatCode>
                <c:ptCount val="10"/>
                <c:pt idx="0">
                  <c:v>1.0461813048896682</c:v>
                </c:pt>
                <c:pt idx="1">
                  <c:v>1.0114807203052369</c:v>
                </c:pt>
                <c:pt idx="2">
                  <c:v>1.3640841299282185</c:v>
                </c:pt>
                <c:pt idx="3">
                  <c:v>1.4187168005640962</c:v>
                </c:pt>
                <c:pt idx="4" formatCode="General">
                  <c:v>1.1962593851876111</c:v>
                </c:pt>
                <c:pt idx="5">
                  <c:v>0.27459068767621225</c:v>
                </c:pt>
                <c:pt idx="6">
                  <c:v>0.27292128186610815</c:v>
                </c:pt>
                <c:pt idx="7">
                  <c:v>0.29765727539059955</c:v>
                </c:pt>
                <c:pt idx="8">
                  <c:v>0.30393176765851931</c:v>
                </c:pt>
                <c:pt idx="9" formatCode="General">
                  <c:v>0.28694849500892922</c:v>
                </c:pt>
              </c:numCache>
            </c:numRef>
          </c:val>
          <c:extLst>
            <c:ext xmlns:c16="http://schemas.microsoft.com/office/drawing/2014/chart" uri="{C3380CC4-5D6E-409C-BE32-E72D297353CC}">
              <c16:uniqueId val="{00000003-7B91-492A-8D1D-E2EF8B67CB16}"/>
            </c:ext>
          </c:extLst>
        </c:ser>
        <c:ser>
          <c:idx val="3"/>
          <c:order val="3"/>
          <c:tx>
            <c:strRef>
              <c:f>Graphs!$M$9</c:f>
              <c:strCache>
                <c:ptCount val="1"/>
                <c:pt idx="0">
                  <c:v>SCOPE (vanilla)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B050"/>
              </a:solid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Graphs!$N$9:$W$9</c:f>
              <c:numCache>
                <c:formatCode>0.00000</c:formatCode>
                <c:ptCount val="10"/>
                <c:pt idx="0">
                  <c:v>1.0298209614802573E-2</c:v>
                </c:pt>
                <c:pt idx="1">
                  <c:v>1.0333375212688534E-2</c:v>
                </c:pt>
                <c:pt idx="2">
                  <c:v>1.0065515249711002E-2</c:v>
                </c:pt>
                <c:pt idx="3">
                  <c:v>1.0036775192866922E-2</c:v>
                </c:pt>
                <c:pt idx="4" formatCode="General">
                  <c:v>1.0182596478502856E-2</c:v>
                </c:pt>
                <c:pt idx="5">
                  <c:v>1.4278062722262445E-2</c:v>
                </c:pt>
                <c:pt idx="6">
                  <c:v>1.4323973363185399E-2</c:v>
                </c:pt>
                <c:pt idx="7">
                  <c:v>1.3720908961169665E-2</c:v>
                </c:pt>
                <c:pt idx="8">
                  <c:v>1.3590577686561536E-2</c:v>
                </c:pt>
                <c:pt idx="9" formatCode="General">
                  <c:v>1.3974568202801711E-2</c:v>
                </c:pt>
              </c:numCache>
            </c:numRef>
          </c:val>
          <c:extLst>
            <c:ext xmlns:c16="http://schemas.microsoft.com/office/drawing/2014/chart" uri="{C3380CC4-5D6E-409C-BE32-E72D297353CC}">
              <c16:uniqueId val="{00000004-7B91-492A-8D1D-E2EF8B67CB16}"/>
            </c:ext>
          </c:extLst>
        </c:ser>
        <c:ser>
          <c:idx val="4"/>
          <c:order val="4"/>
          <c:tx>
            <c:strRef>
              <c:f>Graphs!$M$10</c:f>
              <c:strCache>
                <c:ptCount val="1"/>
                <c:pt idx="0">
                  <c:v>SCOPE (H2D)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rgbClr val="FF0000"/>
              </a:solid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Graphs!$N$10:$W$10</c:f>
              <c:numCache>
                <c:formatCode>0.00000</c:formatCode>
                <c:ptCount val="10"/>
                <c:pt idx="0">
                  <c:v>1.9196675558603989E-2</c:v>
                </c:pt>
                <c:pt idx="1">
                  <c:v>1.8991949763004546E-2</c:v>
                </c:pt>
                <c:pt idx="2">
                  <c:v>2.0713482040042433E-2</c:v>
                </c:pt>
                <c:pt idx="3">
                  <c:v>2.0922988371052109E-2</c:v>
                </c:pt>
                <c:pt idx="4" formatCode="General">
                  <c:v>1.9937380662832089E-2</c:v>
                </c:pt>
                <c:pt idx="5">
                  <c:v>1.0195122846872904E-2</c:v>
                </c:pt>
                <c:pt idx="6">
                  <c:v>1.0155627792610995E-2</c:v>
                </c:pt>
                <c:pt idx="7">
                  <c:v>1.0723462631717463E-2</c:v>
                </c:pt>
                <c:pt idx="8">
                  <c:v>1.0861796156782601E-2</c:v>
                </c:pt>
                <c:pt idx="9" formatCode="General">
                  <c:v>1.0479341235415668E-2</c:v>
                </c:pt>
              </c:numCache>
            </c:numRef>
          </c:val>
          <c:extLst>
            <c:ext xmlns:c16="http://schemas.microsoft.com/office/drawing/2014/chart" uri="{C3380CC4-5D6E-409C-BE32-E72D297353CC}">
              <c16:uniqueId val="{00000005-7B91-492A-8D1D-E2EF8B67CB16}"/>
            </c:ext>
          </c:extLst>
        </c:ser>
        <c:ser>
          <c:idx val="5"/>
          <c:order val="5"/>
          <c:tx>
            <c:strRef>
              <c:f>Graphs!$M$11</c:f>
              <c:strCache>
                <c:ptCount val="1"/>
                <c:pt idx="0">
                  <c:v>ATRIA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multiLvlStrRef>
              <c:f>Graphs!$N$4:$W$5</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1</c:v>
                  </c:pt>
                  <c:pt idx="5">
                    <c:v>Batch 64</c:v>
                  </c:pt>
                </c:lvl>
              </c:multiLvlStrCache>
            </c:multiLvlStrRef>
          </c:cat>
          <c:val>
            <c:numRef>
              <c:f>Graphs!$N$11:$W$11</c:f>
              <c:numCache>
                <c:formatCode>0.00000</c:formatCode>
                <c:ptCount val="10"/>
                <c:pt idx="0">
                  <c:v>1</c:v>
                </c:pt>
                <c:pt idx="1">
                  <c:v>1</c:v>
                </c:pt>
                <c:pt idx="2">
                  <c:v>1</c:v>
                </c:pt>
                <c:pt idx="3">
                  <c:v>1</c:v>
                </c:pt>
                <c:pt idx="4" formatCode="General">
                  <c:v>1</c:v>
                </c:pt>
                <c:pt idx="5">
                  <c:v>1</c:v>
                </c:pt>
                <c:pt idx="6">
                  <c:v>1</c:v>
                </c:pt>
                <c:pt idx="7">
                  <c:v>1</c:v>
                </c:pt>
                <c:pt idx="8">
                  <c:v>1</c:v>
                </c:pt>
                <c:pt idx="9" formatCode="General">
                  <c:v>1</c:v>
                </c:pt>
              </c:numCache>
            </c:numRef>
          </c:val>
          <c:extLst>
            <c:ext xmlns:c16="http://schemas.microsoft.com/office/drawing/2014/chart" uri="{C3380CC4-5D6E-409C-BE32-E72D297353CC}">
              <c16:uniqueId val="{00000006-7B91-492A-8D1D-E2EF8B67CB16}"/>
            </c:ext>
          </c:extLst>
        </c:ser>
        <c:dLbls>
          <c:showLegendKey val="0"/>
          <c:showVal val="0"/>
          <c:showCatName val="0"/>
          <c:showSerName val="0"/>
          <c:showPercent val="0"/>
          <c:showBubbleSize val="0"/>
        </c:dLbls>
        <c:gapWidth val="100"/>
        <c:overlap val="-24"/>
        <c:axId val="1878685503"/>
        <c:axId val="1878683839"/>
      </c:barChart>
      <c:catAx>
        <c:axId val="1878685503"/>
        <c:scaling>
          <c:orientation val="minMax"/>
        </c:scaling>
        <c:delete val="0"/>
        <c:axPos val="b"/>
        <c:minorGridlines>
          <c:spPr>
            <a:ln>
              <a:solidFill>
                <a:schemeClr val="accent1"/>
              </a:solidFill>
              <a:prstDash val="dash"/>
            </a:ln>
            <a:effectLst/>
          </c:spPr>
        </c:min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1600" b="1" i="0" u="none" strike="noStrike" kern="1200" baseline="0">
                <a:solidFill>
                  <a:schemeClr val="tx1"/>
                </a:solidFill>
                <a:latin typeface="Arial Narrow" panose="020B0606020202030204" pitchFamily="34" charset="0"/>
                <a:ea typeface="+mn-ea"/>
                <a:cs typeface="Aharoni" panose="020B0604020202020204" pitchFamily="2" charset="-79"/>
              </a:defRPr>
            </a:pPr>
            <a:endParaRPr lang="en-US"/>
          </a:p>
        </c:txPr>
        <c:crossAx val="1878683839"/>
        <c:crosses val="autoZero"/>
        <c:auto val="1"/>
        <c:lblAlgn val="ctr"/>
        <c:lblOffset val="100"/>
        <c:noMultiLvlLbl val="0"/>
      </c:catAx>
      <c:valAx>
        <c:axId val="1878683839"/>
        <c:scaling>
          <c:orientation val="minMax"/>
          <c:max val="3.5"/>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Arial Black" panose="020B0A04020102020204" pitchFamily="34" charset="0"/>
                    <a:ea typeface="+mn-ea"/>
                    <a:cs typeface="+mn-cs"/>
                  </a:defRPr>
                </a:pPr>
                <a:r>
                  <a:rPr lang="en-US" sz="1400">
                    <a:solidFill>
                      <a:schemeClr val="tx1"/>
                    </a:solidFill>
                    <a:latin typeface="Arial Black" panose="020B0A04020102020204" pitchFamily="34" charset="0"/>
                  </a:rPr>
                  <a:t>Efficiency (FPS/W/mm</a:t>
                </a:r>
                <a:r>
                  <a:rPr lang="en-US" sz="1400" baseline="30000">
                    <a:solidFill>
                      <a:schemeClr val="tx1"/>
                    </a:solidFill>
                    <a:latin typeface="Arial Black" panose="020B0A04020102020204" pitchFamily="34" charset="0"/>
                  </a:rPr>
                  <a:t>2</a:t>
                </a:r>
                <a:r>
                  <a:rPr lang="en-US" sz="1400">
                    <a:solidFill>
                      <a:schemeClr val="tx1"/>
                    </a:solidFill>
                    <a:latin typeface="Arial Black" panose="020B0A04020102020204" pitchFamily="34" charset="0"/>
                  </a:rPr>
                  <a:t>)</a:t>
                </a:r>
              </a:p>
              <a:p>
                <a:pPr>
                  <a:defRPr sz="1400">
                    <a:latin typeface="Arial Black" panose="020B0A04020102020204" pitchFamily="34" charset="0"/>
                  </a:defRPr>
                </a:pPr>
                <a:r>
                  <a:rPr lang="en-US" sz="1400">
                    <a:solidFill>
                      <a:srgbClr val="C00000"/>
                    </a:solidFill>
                    <a:latin typeface="Arial Black" panose="020B0A04020102020204" pitchFamily="34" charset="0"/>
                  </a:rPr>
                  <a:t>[Normalized</a:t>
                </a:r>
                <a:r>
                  <a:rPr lang="en-US" sz="1400" baseline="0">
                    <a:solidFill>
                      <a:srgbClr val="C00000"/>
                    </a:solidFill>
                    <a:latin typeface="Arial Black" panose="020B0A04020102020204" pitchFamily="34" charset="0"/>
                  </a:rPr>
                  <a:t> w.r.t.  ATRIA]</a:t>
                </a:r>
                <a:endParaRPr lang="en-US" sz="1400">
                  <a:solidFill>
                    <a:srgbClr val="C00000"/>
                  </a:solidFill>
                  <a:latin typeface="Arial Black" panose="020B0A04020102020204" pitchFamily="34" charset="0"/>
                </a:endParaRPr>
              </a:p>
            </c:rich>
          </c:tx>
          <c:layout>
            <c:manualLayout>
              <c:xMode val="edge"/>
              <c:yMode val="edge"/>
              <c:x val="7.4862501483796938E-3"/>
              <c:y val="0.1114550821519742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Arial Black" panose="020B0A04020102020204" pitchFamily="34" charset="0"/>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878685503"/>
        <c:crosses val="autoZero"/>
        <c:crossBetween val="between"/>
      </c:valAx>
      <c:spPr>
        <a:noFill/>
        <a:ln>
          <a:noFill/>
        </a:ln>
        <a:effectLst/>
      </c:spPr>
    </c:plotArea>
    <c:legend>
      <c:legendPos val="b"/>
      <c:layout>
        <c:manualLayout>
          <c:xMode val="edge"/>
          <c:yMode val="edge"/>
          <c:x val="1.245027549655651E-2"/>
          <c:y val="2.372630504520264E-2"/>
          <c:w val="0.97770748799320917"/>
          <c:h val="0.11031566853722642"/>
        </c:manualLayou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796367604029867E-2"/>
          <c:y val="0.11731859546157217"/>
          <c:w val="0.90087890233633161"/>
          <c:h val="0.67375046204022471"/>
        </c:manualLayout>
      </c:layout>
      <c:barChart>
        <c:barDir val="col"/>
        <c:grouping val="clustered"/>
        <c:varyColors val="0"/>
        <c:ser>
          <c:idx val="0"/>
          <c:order val="0"/>
          <c:tx>
            <c:strRef>
              <c:f>Graphs!$B$111</c:f>
              <c:strCache>
                <c:ptCount val="1"/>
                <c:pt idx="0">
                  <c:v>DRISA_1T1C_NOR</c:v>
                </c:pt>
              </c:strCache>
            </c:strRef>
          </c:tx>
          <c:spPr>
            <a:solidFill>
              <a:schemeClr val="accent1"/>
            </a:solidFill>
            <a:ln w="25400">
              <a:solidFill>
                <a:schemeClr val="tx2">
                  <a:lumMod val="75000"/>
                </a:schemeClr>
              </a:solid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Graphs!$C$111:$L$111</c:f>
              <c:numCache>
                <c:formatCode>0.0%</c:formatCode>
                <c:ptCount val="10"/>
                <c:pt idx="0">
                  <c:v>0.13532526814881815</c:v>
                </c:pt>
                <c:pt idx="1">
                  <c:v>0.12630297822633924</c:v>
                </c:pt>
                <c:pt idx="2">
                  <c:v>0.2446424583481108</c:v>
                </c:pt>
                <c:pt idx="3">
                  <c:v>0.27016803695284775</c:v>
                </c:pt>
                <c:pt idx="4" formatCode="0%">
                  <c:v>0.18333254688468431</c:v>
                </c:pt>
                <c:pt idx="5">
                  <c:v>9.4478627289995745E-2</c:v>
                </c:pt>
                <c:pt idx="6">
                  <c:v>8.7902779777656842E-2</c:v>
                </c:pt>
                <c:pt idx="7">
                  <c:v>0.17757583518648762</c:v>
                </c:pt>
                <c:pt idx="8">
                  <c:v>0.19793748524453122</c:v>
                </c:pt>
                <c:pt idx="9">
                  <c:v>0.13071096607828869</c:v>
                </c:pt>
              </c:numCache>
            </c:numRef>
          </c:val>
          <c:extLst>
            <c:ext xmlns:c16="http://schemas.microsoft.com/office/drawing/2014/chart" uri="{C3380CC4-5D6E-409C-BE32-E72D297353CC}">
              <c16:uniqueId val="{00000000-19EF-4643-9F07-F3FC9C37FB5B}"/>
            </c:ext>
          </c:extLst>
        </c:ser>
        <c:ser>
          <c:idx val="1"/>
          <c:order val="1"/>
          <c:tx>
            <c:strRef>
              <c:f>Graphs!$B$112</c:f>
              <c:strCache>
                <c:ptCount val="1"/>
                <c:pt idx="0">
                  <c:v>DRISA_3T1C</c:v>
                </c:pt>
              </c:strCache>
            </c:strRef>
          </c:tx>
          <c:spPr>
            <a:solidFill>
              <a:schemeClr val="accent2"/>
            </a:solidFill>
            <a:ln w="25400">
              <a:solidFill>
                <a:srgbClr val="C00000"/>
              </a:solid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Graphs!$C$112:$L$112</c:f>
              <c:numCache>
                <c:formatCode>0.0%</c:formatCode>
                <c:ptCount val="10"/>
                <c:pt idx="0">
                  <c:v>0.14684327570977904</c:v>
                </c:pt>
                <c:pt idx="1">
                  <c:v>0.13717489228178184</c:v>
                </c:pt>
                <c:pt idx="2">
                  <c:v>0.26263870004203316</c:v>
                </c:pt>
                <c:pt idx="3">
                  <c:v>0.28932276610275542</c:v>
                </c:pt>
                <c:pt idx="4" formatCode="0%">
                  <c:v>0.19779600020640928</c:v>
                </c:pt>
                <c:pt idx="5">
                  <c:v>0.10293390086821061</c:v>
                </c:pt>
                <c:pt idx="6">
                  <c:v>9.5831835421560554E-2</c:v>
                </c:pt>
                <c:pt idx="7">
                  <c:v>0.19189187780660599</c:v>
                </c:pt>
                <c:pt idx="8">
                  <c:v>0.21346899032075833</c:v>
                </c:pt>
                <c:pt idx="9">
                  <c:v>0.1417799786317247</c:v>
                </c:pt>
              </c:numCache>
            </c:numRef>
          </c:val>
          <c:extLst>
            <c:ext xmlns:c16="http://schemas.microsoft.com/office/drawing/2014/chart" uri="{C3380CC4-5D6E-409C-BE32-E72D297353CC}">
              <c16:uniqueId val="{00000001-19EF-4643-9F07-F3FC9C37FB5B}"/>
            </c:ext>
          </c:extLst>
        </c:ser>
        <c:ser>
          <c:idx val="2"/>
          <c:order val="2"/>
          <c:tx>
            <c:strRef>
              <c:f>Graphs!$B$113</c:f>
              <c:strCache>
                <c:ptCount val="1"/>
                <c:pt idx="0">
                  <c:v>LACC</c:v>
                </c:pt>
              </c:strCache>
            </c:strRef>
          </c:tx>
          <c:spPr>
            <a:solidFill>
              <a:schemeClr val="accent3"/>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Graphs!$C$113:$L$113</c:f>
              <c:numCache>
                <c:formatCode>0.0%</c:formatCode>
                <c:ptCount val="10"/>
                <c:pt idx="0">
                  <c:v>0.42812891758567795</c:v>
                </c:pt>
                <c:pt idx="1">
                  <c:v>0.40881478749741734</c:v>
                </c:pt>
                <c:pt idx="2">
                  <c:v>0.60773218511062477</c:v>
                </c:pt>
                <c:pt idx="3">
                  <c:v>0.6390890861785723</c:v>
                </c:pt>
                <c:pt idx="4" formatCode="0%">
                  <c:v>0.51061515368952315</c:v>
                </c:pt>
                <c:pt idx="5">
                  <c:v>1.1562340012153166E-2</c:v>
                </c:pt>
                <c:pt idx="6">
                  <c:v>1.0689458288761012E-2</c:v>
                </c:pt>
                <c:pt idx="7">
                  <c:v>2.3635328528106844E-2</c:v>
                </c:pt>
                <c:pt idx="8">
                  <c:v>2.6923311770250591E-2</c:v>
                </c:pt>
                <c:pt idx="9">
                  <c:v>1.6746455095888086E-2</c:v>
                </c:pt>
              </c:numCache>
            </c:numRef>
          </c:val>
          <c:extLst>
            <c:ext xmlns:c16="http://schemas.microsoft.com/office/drawing/2014/chart" uri="{C3380CC4-5D6E-409C-BE32-E72D297353CC}">
              <c16:uniqueId val="{00000002-19EF-4643-9F07-F3FC9C37FB5B}"/>
            </c:ext>
          </c:extLst>
        </c:ser>
        <c:ser>
          <c:idx val="3"/>
          <c:order val="3"/>
          <c:tx>
            <c:strRef>
              <c:f>Graphs!$B$114</c:f>
              <c:strCache>
                <c:ptCount val="1"/>
                <c:pt idx="0">
                  <c:v>SCOPE (vanilla)</c:v>
                </c:pt>
              </c:strCache>
            </c:strRef>
          </c:tx>
          <c:spPr>
            <a:solidFill>
              <a:schemeClr val="accent4"/>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Graphs!$C$114:$L$114</c:f>
              <c:numCache>
                <c:formatCode>0.0%</c:formatCode>
                <c:ptCount val="10"/>
                <c:pt idx="0">
                  <c:v>0.97914063389239547</c:v>
                </c:pt>
                <c:pt idx="1">
                  <c:v>0.97745621989985765</c:v>
                </c:pt>
                <c:pt idx="2">
                  <c:v>0.989810451663654</c:v>
                </c:pt>
                <c:pt idx="3">
                  <c:v>0.99107358702759862</c:v>
                </c:pt>
                <c:pt idx="4" formatCode="0%">
                  <c:v>0.98435121445822971</c:v>
                </c:pt>
                <c:pt idx="5">
                  <c:v>0.42311208763669556</c:v>
                </c:pt>
                <c:pt idx="6">
                  <c:v>0.40386444784434833</c:v>
                </c:pt>
                <c:pt idx="7">
                  <c:v>0.60282928741487973</c:v>
                </c:pt>
                <c:pt idx="8">
                  <c:v>0.63434230184389462</c:v>
                </c:pt>
                <c:pt idx="9">
                  <c:v>0.50559441567081842</c:v>
                </c:pt>
              </c:numCache>
            </c:numRef>
          </c:val>
          <c:extLst>
            <c:ext xmlns:c16="http://schemas.microsoft.com/office/drawing/2014/chart" uri="{C3380CC4-5D6E-409C-BE32-E72D297353CC}">
              <c16:uniqueId val="{00000003-19EF-4643-9F07-F3FC9C37FB5B}"/>
            </c:ext>
          </c:extLst>
        </c:ser>
        <c:ser>
          <c:idx val="4"/>
          <c:order val="4"/>
          <c:tx>
            <c:strRef>
              <c:f>Graphs!$B$115</c:f>
              <c:strCache>
                <c:ptCount val="1"/>
                <c:pt idx="0">
                  <c:v>SCOPE (H2D)</c:v>
                </c:pt>
              </c:strCache>
            </c:strRef>
          </c:tx>
          <c:spPr>
            <a:solidFill>
              <a:schemeClr val="accent5"/>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Graphs!$C$115:$L$115</c:f>
              <c:numCache>
                <c:formatCode>0.0%</c:formatCode>
                <c:ptCount val="10"/>
                <c:pt idx="0">
                  <c:v>0.8924845089304434</c:v>
                </c:pt>
                <c:pt idx="1">
                  <c:v>0.88462705793437002</c:v>
                </c:pt>
                <c:pt idx="2">
                  <c:v>0.94498966605724466</c:v>
                </c:pt>
                <c:pt idx="3">
                  <c:v>0.95153691692895082</c:v>
                </c:pt>
                <c:pt idx="4" formatCode="0%">
                  <c:v>0.91791697604818312</c:v>
                </c:pt>
                <c:pt idx="5">
                  <c:v>0.11481150982130812</c:v>
                </c:pt>
                <c:pt idx="6">
                  <c:v>0.10698767072777758</c:v>
                </c:pt>
                <c:pt idx="7">
                  <c:v>0.21161296705288082</c:v>
                </c:pt>
                <c:pt idx="8">
                  <c:v>0.23476338842529604</c:v>
                </c:pt>
                <c:pt idx="9">
                  <c:v>0.15717119369050195</c:v>
                </c:pt>
              </c:numCache>
            </c:numRef>
          </c:val>
          <c:extLst>
            <c:ext xmlns:c16="http://schemas.microsoft.com/office/drawing/2014/chart" uri="{C3380CC4-5D6E-409C-BE32-E72D297353CC}">
              <c16:uniqueId val="{00000004-19EF-4643-9F07-F3FC9C37FB5B}"/>
            </c:ext>
          </c:extLst>
        </c:ser>
        <c:ser>
          <c:idx val="5"/>
          <c:order val="5"/>
          <c:tx>
            <c:strRef>
              <c:f>Graphs!$B$116</c:f>
              <c:strCache>
                <c:ptCount val="1"/>
                <c:pt idx="0">
                  <c:v>ATRIA</c:v>
                </c:pt>
              </c:strCache>
            </c:strRef>
          </c:tx>
          <c:spPr>
            <a:solidFill>
              <a:schemeClr val="accent6"/>
            </a:solidFill>
            <a:ln>
              <a:noFill/>
            </a:ln>
            <a:effectLst/>
          </c:spPr>
          <c:invertIfNegative val="0"/>
          <c:cat>
            <c:multiLvlStrRef>
              <c:f>Graphs!$C$109:$L$110</c:f>
              <c:multiLvlStrCache>
                <c:ptCount val="10"/>
                <c:lvl>
                  <c:pt idx="0">
                    <c:v>AlexNet</c:v>
                  </c:pt>
                  <c:pt idx="1">
                    <c:v>VGG 16</c:v>
                  </c:pt>
                  <c:pt idx="2">
                    <c:v>GoogleNet</c:v>
                  </c:pt>
                  <c:pt idx="3">
                    <c:v>ResNet</c:v>
                  </c:pt>
                  <c:pt idx="4">
                    <c:v>GM</c:v>
                  </c:pt>
                  <c:pt idx="5">
                    <c:v>AlexNet</c:v>
                  </c:pt>
                  <c:pt idx="6">
                    <c:v>VGG 16</c:v>
                  </c:pt>
                  <c:pt idx="7">
                    <c:v>GoogleNet</c:v>
                  </c:pt>
                  <c:pt idx="8">
                    <c:v>ResNet</c:v>
                  </c:pt>
                  <c:pt idx="9">
                    <c:v>GM</c:v>
                  </c:pt>
                </c:lvl>
                <c:lvl>
                  <c:pt idx="0">
                    <c:v>Batch Size 1</c:v>
                  </c:pt>
                  <c:pt idx="5">
                    <c:v>Batch Size 64</c:v>
                  </c:pt>
                </c:lvl>
              </c:multiLvlStrCache>
            </c:multiLvlStrRef>
          </c:cat>
          <c:val>
            <c:numRef>
              <c:f>Graphs!$C$116:$L$116</c:f>
              <c:numCache>
                <c:formatCode>0.0%</c:formatCode>
                <c:ptCount val="10"/>
                <c:pt idx="0">
                  <c:v>0.80467081868364465</c:v>
                </c:pt>
                <c:pt idx="1">
                  <c:v>0.79189220858441411</c:v>
                </c:pt>
                <c:pt idx="2">
                  <c:v>0.89501525852637531</c:v>
                </c:pt>
                <c:pt idx="3">
                  <c:v>0.90692456320536219</c:v>
                </c:pt>
                <c:pt idx="4" formatCode="0%">
                  <c:v>0.84805004485239766</c:v>
                </c:pt>
                <c:pt idx="5">
                  <c:v>6.0475472544757013E-2</c:v>
                </c:pt>
                <c:pt idx="6">
                  <c:v>5.6119619126034206E-2</c:v>
                </c:pt>
                <c:pt idx="7">
                  <c:v>0.11754803098351103</c:v>
                </c:pt>
                <c:pt idx="8">
                  <c:v>0.13213246847387941</c:v>
                </c:pt>
                <c:pt idx="9">
                  <c:v>8.5207872763682385E-2</c:v>
                </c:pt>
              </c:numCache>
            </c:numRef>
          </c:val>
          <c:extLst>
            <c:ext xmlns:c16="http://schemas.microsoft.com/office/drawing/2014/chart" uri="{C3380CC4-5D6E-409C-BE32-E72D297353CC}">
              <c16:uniqueId val="{00000005-19EF-4643-9F07-F3FC9C37FB5B}"/>
            </c:ext>
          </c:extLst>
        </c:ser>
        <c:dLbls>
          <c:showLegendKey val="0"/>
          <c:showVal val="0"/>
          <c:showCatName val="0"/>
          <c:showSerName val="0"/>
          <c:showPercent val="0"/>
          <c:showBubbleSize val="0"/>
        </c:dLbls>
        <c:gapWidth val="219"/>
        <c:overlap val="-27"/>
        <c:axId val="2013656847"/>
        <c:axId val="2013655599"/>
      </c:barChart>
      <c:catAx>
        <c:axId val="2013656847"/>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Arial Narrow" panose="020B0606020202030204" pitchFamily="34" charset="0"/>
                <a:ea typeface="+mn-ea"/>
                <a:cs typeface="Aharoni" panose="020B0604020202020204" pitchFamily="2" charset="-79"/>
              </a:defRPr>
            </a:pPr>
            <a:endParaRPr lang="en-US"/>
          </a:p>
        </c:txPr>
        <c:crossAx val="2013655599"/>
        <c:crosses val="autoZero"/>
        <c:auto val="1"/>
        <c:lblAlgn val="ctr"/>
        <c:lblOffset val="50"/>
        <c:noMultiLvlLbl val="0"/>
      </c:catAx>
      <c:valAx>
        <c:axId val="201365559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1400" b="1" i="0" baseline="0">
                    <a:solidFill>
                      <a:schemeClr val="tx1"/>
                    </a:solidFill>
                    <a:effectLst/>
                    <a:latin typeface="Arial Black" panose="020B0A04020102020204" pitchFamily="34" charset="0"/>
                  </a:rPr>
                  <a:t>Memory Bottleneck Ratio</a:t>
                </a:r>
                <a:endParaRPr lang="en-US" sz="700">
                  <a:solidFill>
                    <a:schemeClr val="tx1"/>
                  </a:solidFill>
                  <a:effectLst/>
                  <a:latin typeface="Arial Black" panose="020B0A04020102020204" pitchFamily="34" charset="0"/>
                </a:endParaRPr>
              </a:p>
            </c:rich>
          </c:tx>
          <c:layout>
            <c:manualLayout>
              <c:xMode val="edge"/>
              <c:yMode val="edge"/>
              <c:x val="1.0183496552413311E-2"/>
              <c:y val="0.1210004710998369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13656847"/>
        <c:crosses val="autoZero"/>
        <c:crossBetween val="between"/>
      </c:valAx>
      <c:spPr>
        <a:noFill/>
        <a:ln>
          <a:noFill/>
        </a:ln>
        <a:effectLst/>
      </c:spPr>
    </c:plotArea>
    <c:legend>
      <c:legendPos val="b"/>
      <c:layout>
        <c:manualLayout>
          <c:xMode val="edge"/>
          <c:yMode val="edge"/>
          <c:x val="5.0881679790026245E-2"/>
          <c:y val="1.7360017497812821E-2"/>
          <c:w val="0.94768104986876645"/>
          <c:h val="7.5597820765619383E-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7.png"/><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8</xdr:col>
      <xdr:colOff>600075</xdr:colOff>
      <xdr:row>25</xdr:row>
      <xdr:rowOff>19050</xdr:rowOff>
    </xdr:from>
    <xdr:to>
      <xdr:col>24</xdr:col>
      <xdr:colOff>208350</xdr:colOff>
      <xdr:row>48</xdr:row>
      <xdr:rowOff>180407</xdr:rowOff>
    </xdr:to>
    <xdr:pic>
      <xdr:nvPicPr>
        <xdr:cNvPr id="2" name="Picture 1">
          <a:extLst>
            <a:ext uri="{FF2B5EF4-FFF2-40B4-BE49-F238E27FC236}">
              <a16:creationId xmlns:a16="http://schemas.microsoft.com/office/drawing/2014/main" id="{3F26B7F4-BCD8-418A-877D-BFAB759C9288}"/>
            </a:ext>
          </a:extLst>
        </xdr:cNvPr>
        <xdr:cNvPicPr>
          <a:picLocks noChangeAspect="1"/>
        </xdr:cNvPicPr>
      </xdr:nvPicPr>
      <xdr:blipFill>
        <a:blip xmlns:r="http://schemas.openxmlformats.org/officeDocument/2006/relationships" r:embed="rId1"/>
        <a:stretch>
          <a:fillRect/>
        </a:stretch>
      </xdr:blipFill>
      <xdr:spPr>
        <a:xfrm>
          <a:off x="7296150" y="4019550"/>
          <a:ext cx="9600000" cy="4542857"/>
        </a:xfrm>
        <a:prstGeom prst="rect">
          <a:avLst/>
        </a:prstGeom>
      </xdr:spPr>
    </xdr:pic>
    <xdr:clientData/>
  </xdr:twoCellAnchor>
  <xdr:twoCellAnchor editAs="oneCell">
    <xdr:from>
      <xdr:col>9</xdr:col>
      <xdr:colOff>0</xdr:colOff>
      <xdr:row>18</xdr:row>
      <xdr:rowOff>0</xdr:rowOff>
    </xdr:from>
    <xdr:to>
      <xdr:col>16</xdr:col>
      <xdr:colOff>313723</xdr:colOff>
      <xdr:row>24</xdr:row>
      <xdr:rowOff>190333</xdr:rowOff>
    </xdr:to>
    <xdr:pic>
      <xdr:nvPicPr>
        <xdr:cNvPr id="3" name="Picture 2">
          <a:extLst>
            <a:ext uri="{FF2B5EF4-FFF2-40B4-BE49-F238E27FC236}">
              <a16:creationId xmlns:a16="http://schemas.microsoft.com/office/drawing/2014/main" id="{872971D3-F3E3-43F1-9F29-DE89A4913B92}"/>
            </a:ext>
          </a:extLst>
        </xdr:cNvPr>
        <xdr:cNvPicPr>
          <a:picLocks noChangeAspect="1"/>
        </xdr:cNvPicPr>
      </xdr:nvPicPr>
      <xdr:blipFill>
        <a:blip xmlns:r="http://schemas.openxmlformats.org/officeDocument/2006/relationships" r:embed="rId2"/>
        <a:stretch>
          <a:fillRect/>
        </a:stretch>
      </xdr:blipFill>
      <xdr:spPr>
        <a:xfrm>
          <a:off x="7305675" y="2667000"/>
          <a:ext cx="4819048" cy="1333333"/>
        </a:xfrm>
        <a:prstGeom prst="rect">
          <a:avLst/>
        </a:prstGeom>
      </xdr:spPr>
    </xdr:pic>
    <xdr:clientData/>
  </xdr:twoCellAnchor>
  <xdr:twoCellAnchor editAs="oneCell">
    <xdr:from>
      <xdr:col>9</xdr:col>
      <xdr:colOff>0</xdr:colOff>
      <xdr:row>50</xdr:row>
      <xdr:rowOff>0</xdr:rowOff>
    </xdr:from>
    <xdr:to>
      <xdr:col>19</xdr:col>
      <xdr:colOff>418256</xdr:colOff>
      <xdr:row>68</xdr:row>
      <xdr:rowOff>56714</xdr:rowOff>
    </xdr:to>
    <xdr:pic>
      <xdr:nvPicPr>
        <xdr:cNvPr id="4" name="Picture 3">
          <a:extLst>
            <a:ext uri="{FF2B5EF4-FFF2-40B4-BE49-F238E27FC236}">
              <a16:creationId xmlns:a16="http://schemas.microsoft.com/office/drawing/2014/main" id="{9DAB7F4B-FD9A-4FBC-906C-B1A10832A0F0}"/>
            </a:ext>
          </a:extLst>
        </xdr:cNvPr>
        <xdr:cNvPicPr>
          <a:picLocks noChangeAspect="1"/>
        </xdr:cNvPicPr>
      </xdr:nvPicPr>
      <xdr:blipFill>
        <a:blip xmlns:r="http://schemas.openxmlformats.org/officeDocument/2006/relationships" r:embed="rId3"/>
        <a:stretch>
          <a:fillRect/>
        </a:stretch>
      </xdr:blipFill>
      <xdr:spPr>
        <a:xfrm>
          <a:off x="7305675" y="8763000"/>
          <a:ext cx="6752381" cy="3485714"/>
        </a:xfrm>
        <a:prstGeom prst="rect">
          <a:avLst/>
        </a:prstGeom>
      </xdr:spPr>
    </xdr:pic>
    <xdr:clientData/>
  </xdr:twoCellAnchor>
  <xdr:twoCellAnchor editAs="oneCell">
    <xdr:from>
      <xdr:col>7</xdr:col>
      <xdr:colOff>0</xdr:colOff>
      <xdr:row>83</xdr:row>
      <xdr:rowOff>0</xdr:rowOff>
    </xdr:from>
    <xdr:to>
      <xdr:col>25</xdr:col>
      <xdr:colOff>103361</xdr:colOff>
      <xdr:row>108</xdr:row>
      <xdr:rowOff>94643</xdr:rowOff>
    </xdr:to>
    <xdr:pic>
      <xdr:nvPicPr>
        <xdr:cNvPr id="5" name="Picture 4">
          <a:extLst>
            <a:ext uri="{FF2B5EF4-FFF2-40B4-BE49-F238E27FC236}">
              <a16:creationId xmlns:a16="http://schemas.microsoft.com/office/drawing/2014/main" id="{1A02801E-BABA-40E2-B326-9BA50CA0924C}"/>
            </a:ext>
          </a:extLst>
        </xdr:cNvPr>
        <xdr:cNvPicPr>
          <a:picLocks noChangeAspect="1"/>
        </xdr:cNvPicPr>
      </xdr:nvPicPr>
      <xdr:blipFill>
        <a:blip xmlns:r="http://schemas.openxmlformats.org/officeDocument/2006/relationships" r:embed="rId4"/>
        <a:stretch>
          <a:fillRect/>
        </a:stretch>
      </xdr:blipFill>
      <xdr:spPr>
        <a:xfrm>
          <a:off x="6086475" y="15049500"/>
          <a:ext cx="11314286" cy="4857143"/>
        </a:xfrm>
        <a:prstGeom prst="rect">
          <a:avLst/>
        </a:prstGeom>
      </xdr:spPr>
    </xdr:pic>
    <xdr:clientData/>
  </xdr:twoCellAnchor>
  <xdr:twoCellAnchor editAs="oneCell">
    <xdr:from>
      <xdr:col>7</xdr:col>
      <xdr:colOff>0</xdr:colOff>
      <xdr:row>111</xdr:row>
      <xdr:rowOff>0</xdr:rowOff>
    </xdr:from>
    <xdr:to>
      <xdr:col>25</xdr:col>
      <xdr:colOff>217646</xdr:colOff>
      <xdr:row>136</xdr:row>
      <xdr:rowOff>47024</xdr:rowOff>
    </xdr:to>
    <xdr:pic>
      <xdr:nvPicPr>
        <xdr:cNvPr id="6" name="Picture 5">
          <a:extLst>
            <a:ext uri="{FF2B5EF4-FFF2-40B4-BE49-F238E27FC236}">
              <a16:creationId xmlns:a16="http://schemas.microsoft.com/office/drawing/2014/main" id="{6C5C10BD-BE4D-4A3E-B544-34B7C0D0F0EF}"/>
            </a:ext>
          </a:extLst>
        </xdr:cNvPr>
        <xdr:cNvPicPr>
          <a:picLocks noChangeAspect="1"/>
        </xdr:cNvPicPr>
      </xdr:nvPicPr>
      <xdr:blipFill>
        <a:blip xmlns:r="http://schemas.openxmlformats.org/officeDocument/2006/relationships" r:embed="rId5"/>
        <a:stretch>
          <a:fillRect/>
        </a:stretch>
      </xdr:blipFill>
      <xdr:spPr>
        <a:xfrm>
          <a:off x="6086475" y="20383500"/>
          <a:ext cx="11428571" cy="4809524"/>
        </a:xfrm>
        <a:prstGeom prst="rect">
          <a:avLst/>
        </a:prstGeom>
      </xdr:spPr>
    </xdr:pic>
    <xdr:clientData/>
  </xdr:twoCellAnchor>
  <xdr:twoCellAnchor editAs="oneCell">
    <xdr:from>
      <xdr:col>7</xdr:col>
      <xdr:colOff>0</xdr:colOff>
      <xdr:row>139</xdr:row>
      <xdr:rowOff>0</xdr:rowOff>
    </xdr:from>
    <xdr:to>
      <xdr:col>24</xdr:col>
      <xdr:colOff>512961</xdr:colOff>
      <xdr:row>164</xdr:row>
      <xdr:rowOff>47024</xdr:rowOff>
    </xdr:to>
    <xdr:pic>
      <xdr:nvPicPr>
        <xdr:cNvPr id="7" name="Picture 6">
          <a:extLst>
            <a:ext uri="{FF2B5EF4-FFF2-40B4-BE49-F238E27FC236}">
              <a16:creationId xmlns:a16="http://schemas.microsoft.com/office/drawing/2014/main" id="{67A781FB-64CB-4B9A-B8A6-030FE097D7AB}"/>
            </a:ext>
          </a:extLst>
        </xdr:cNvPr>
        <xdr:cNvPicPr>
          <a:picLocks noChangeAspect="1"/>
        </xdr:cNvPicPr>
      </xdr:nvPicPr>
      <xdr:blipFill>
        <a:blip xmlns:r="http://schemas.openxmlformats.org/officeDocument/2006/relationships" r:embed="rId6"/>
        <a:stretch>
          <a:fillRect/>
        </a:stretch>
      </xdr:blipFill>
      <xdr:spPr>
        <a:xfrm>
          <a:off x="6086475" y="25717500"/>
          <a:ext cx="11114286" cy="4809524"/>
        </a:xfrm>
        <a:prstGeom prst="rect">
          <a:avLst/>
        </a:prstGeom>
      </xdr:spPr>
    </xdr:pic>
    <xdr:clientData/>
  </xdr:twoCellAnchor>
  <xdr:twoCellAnchor editAs="oneCell">
    <xdr:from>
      <xdr:col>7</xdr:col>
      <xdr:colOff>0</xdr:colOff>
      <xdr:row>166</xdr:row>
      <xdr:rowOff>0</xdr:rowOff>
    </xdr:from>
    <xdr:to>
      <xdr:col>25</xdr:col>
      <xdr:colOff>179551</xdr:colOff>
      <xdr:row>190</xdr:row>
      <xdr:rowOff>189905</xdr:rowOff>
    </xdr:to>
    <xdr:pic>
      <xdr:nvPicPr>
        <xdr:cNvPr id="8" name="Picture 7">
          <a:extLst>
            <a:ext uri="{FF2B5EF4-FFF2-40B4-BE49-F238E27FC236}">
              <a16:creationId xmlns:a16="http://schemas.microsoft.com/office/drawing/2014/main" id="{DF4A2413-F568-4D01-B476-BA05F40565D1}"/>
            </a:ext>
          </a:extLst>
        </xdr:cNvPr>
        <xdr:cNvPicPr>
          <a:picLocks noChangeAspect="1"/>
        </xdr:cNvPicPr>
      </xdr:nvPicPr>
      <xdr:blipFill>
        <a:blip xmlns:r="http://schemas.openxmlformats.org/officeDocument/2006/relationships" r:embed="rId7"/>
        <a:stretch>
          <a:fillRect/>
        </a:stretch>
      </xdr:blipFill>
      <xdr:spPr>
        <a:xfrm>
          <a:off x="6086475" y="30861000"/>
          <a:ext cx="11390476" cy="47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358589</xdr:colOff>
      <xdr:row>3</xdr:row>
      <xdr:rowOff>56030</xdr:rowOff>
    </xdr:from>
    <xdr:to>
      <xdr:col>17</xdr:col>
      <xdr:colOff>209712</xdr:colOff>
      <xdr:row>9</xdr:row>
      <xdr:rowOff>82113</xdr:rowOff>
    </xdr:to>
    <xdr:pic>
      <xdr:nvPicPr>
        <xdr:cNvPr id="2" name="Picture 1">
          <a:extLst>
            <a:ext uri="{FF2B5EF4-FFF2-40B4-BE49-F238E27FC236}">
              <a16:creationId xmlns:a16="http://schemas.microsoft.com/office/drawing/2014/main" id="{DE111AF3-AE60-4EB3-BA89-17AD854B7E90}"/>
            </a:ext>
          </a:extLst>
        </xdr:cNvPr>
        <xdr:cNvPicPr>
          <a:picLocks noChangeAspect="1"/>
        </xdr:cNvPicPr>
      </xdr:nvPicPr>
      <xdr:blipFill>
        <a:blip xmlns:r="http://schemas.openxmlformats.org/officeDocument/2006/relationships" r:embed="rId1"/>
        <a:stretch>
          <a:fillRect/>
        </a:stretch>
      </xdr:blipFill>
      <xdr:spPr>
        <a:xfrm>
          <a:off x="10062883" y="627530"/>
          <a:ext cx="3190476" cy="20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25</xdr:col>
      <xdr:colOff>366713</xdr:colOff>
      <xdr:row>10</xdr:row>
      <xdr:rowOff>80962</xdr:rowOff>
    </xdr:from>
    <xdr:to>
      <xdr:col>27</xdr:col>
      <xdr:colOff>2707641</xdr:colOff>
      <xdr:row>32</xdr:row>
      <xdr:rowOff>128057</xdr:rowOff>
    </xdr:to>
    <xdr:pic>
      <xdr:nvPicPr>
        <xdr:cNvPr id="2" name="Picture 1">
          <a:extLst>
            <a:ext uri="{FF2B5EF4-FFF2-40B4-BE49-F238E27FC236}">
              <a16:creationId xmlns:a16="http://schemas.microsoft.com/office/drawing/2014/main" id="{C8F3C067-562C-43D0-A974-EE30316A60B3}"/>
            </a:ext>
          </a:extLst>
        </xdr:cNvPr>
        <xdr:cNvPicPr>
          <a:picLocks noChangeAspect="1"/>
        </xdr:cNvPicPr>
      </xdr:nvPicPr>
      <xdr:blipFill>
        <a:blip xmlns:r="http://schemas.openxmlformats.org/officeDocument/2006/relationships" r:embed="rId1"/>
        <a:stretch>
          <a:fillRect/>
        </a:stretch>
      </xdr:blipFill>
      <xdr:spPr>
        <a:xfrm>
          <a:off x="25131713" y="1985962"/>
          <a:ext cx="6412866" cy="4238095"/>
        </a:xfrm>
        <a:prstGeom prst="rect">
          <a:avLst/>
        </a:prstGeom>
      </xdr:spPr>
    </xdr:pic>
    <xdr:clientData/>
  </xdr:twoCellAnchor>
  <xdr:twoCellAnchor editAs="oneCell">
    <xdr:from>
      <xdr:col>7</xdr:col>
      <xdr:colOff>179294</xdr:colOff>
      <xdr:row>11</xdr:row>
      <xdr:rowOff>48185</xdr:rowOff>
    </xdr:from>
    <xdr:to>
      <xdr:col>15</xdr:col>
      <xdr:colOff>1674481</xdr:colOff>
      <xdr:row>25</xdr:row>
      <xdr:rowOff>38328</xdr:rowOff>
    </xdr:to>
    <xdr:pic>
      <xdr:nvPicPr>
        <xdr:cNvPr id="3" name="Picture 2">
          <a:extLst>
            <a:ext uri="{FF2B5EF4-FFF2-40B4-BE49-F238E27FC236}">
              <a16:creationId xmlns:a16="http://schemas.microsoft.com/office/drawing/2014/main" id="{F314A359-D6AA-4A3A-9B85-B931714B304B}"/>
            </a:ext>
          </a:extLst>
        </xdr:cNvPr>
        <xdr:cNvPicPr>
          <a:picLocks noChangeAspect="1"/>
        </xdr:cNvPicPr>
      </xdr:nvPicPr>
      <xdr:blipFill>
        <a:blip xmlns:r="http://schemas.openxmlformats.org/officeDocument/2006/relationships" r:embed="rId2"/>
        <a:stretch>
          <a:fillRect/>
        </a:stretch>
      </xdr:blipFill>
      <xdr:spPr>
        <a:xfrm>
          <a:off x="4415118" y="2143685"/>
          <a:ext cx="6336128" cy="2657143"/>
        </a:xfrm>
        <a:prstGeom prst="rect">
          <a:avLst/>
        </a:prstGeom>
      </xdr:spPr>
    </xdr:pic>
    <xdr:clientData/>
  </xdr:twoCellAnchor>
  <xdr:twoCellAnchor editAs="oneCell">
    <xdr:from>
      <xdr:col>1</xdr:col>
      <xdr:colOff>352425</xdr:colOff>
      <xdr:row>36</xdr:row>
      <xdr:rowOff>95250</xdr:rowOff>
    </xdr:from>
    <xdr:to>
      <xdr:col>11</xdr:col>
      <xdr:colOff>475473</xdr:colOff>
      <xdr:row>66</xdr:row>
      <xdr:rowOff>67694</xdr:rowOff>
    </xdr:to>
    <xdr:pic>
      <xdr:nvPicPr>
        <xdr:cNvPr id="4" name="Picture 3">
          <a:extLst>
            <a:ext uri="{FF2B5EF4-FFF2-40B4-BE49-F238E27FC236}">
              <a16:creationId xmlns:a16="http://schemas.microsoft.com/office/drawing/2014/main" id="{0A1B6203-2C04-481F-B655-6C08F13572E5}"/>
            </a:ext>
          </a:extLst>
        </xdr:cNvPr>
        <xdr:cNvPicPr>
          <a:picLocks noChangeAspect="1"/>
        </xdr:cNvPicPr>
      </xdr:nvPicPr>
      <xdr:blipFill>
        <a:blip xmlns:r="http://schemas.openxmlformats.org/officeDocument/2006/relationships" r:embed="rId3"/>
        <a:stretch>
          <a:fillRect/>
        </a:stretch>
      </xdr:blipFill>
      <xdr:spPr>
        <a:xfrm>
          <a:off x="962025" y="6000750"/>
          <a:ext cx="6219048" cy="5704762"/>
        </a:xfrm>
        <a:prstGeom prst="rect">
          <a:avLst/>
        </a:prstGeom>
      </xdr:spPr>
    </xdr:pic>
    <xdr:clientData/>
  </xdr:twoCellAnchor>
  <xdr:twoCellAnchor editAs="oneCell">
    <xdr:from>
      <xdr:col>15</xdr:col>
      <xdr:colOff>16808</xdr:colOff>
      <xdr:row>36</xdr:row>
      <xdr:rowOff>39220</xdr:rowOff>
    </xdr:from>
    <xdr:to>
      <xdr:col>15</xdr:col>
      <xdr:colOff>5633137</xdr:colOff>
      <xdr:row>39</xdr:row>
      <xdr:rowOff>77244</xdr:rowOff>
    </xdr:to>
    <xdr:pic>
      <xdr:nvPicPr>
        <xdr:cNvPr id="5" name="Picture 4">
          <a:extLst>
            <a:ext uri="{FF2B5EF4-FFF2-40B4-BE49-F238E27FC236}">
              <a16:creationId xmlns:a16="http://schemas.microsoft.com/office/drawing/2014/main" id="{9BEE3262-AAA2-4128-B4B5-524920806EA7}"/>
            </a:ext>
          </a:extLst>
        </xdr:cNvPr>
        <xdr:cNvPicPr>
          <a:picLocks noChangeAspect="1"/>
        </xdr:cNvPicPr>
      </xdr:nvPicPr>
      <xdr:blipFill>
        <a:blip xmlns:r="http://schemas.openxmlformats.org/officeDocument/2006/relationships" r:embed="rId4"/>
        <a:stretch>
          <a:fillRect/>
        </a:stretch>
      </xdr:blipFill>
      <xdr:spPr>
        <a:xfrm>
          <a:off x="9765926" y="6493808"/>
          <a:ext cx="5616329" cy="575907"/>
        </a:xfrm>
        <a:prstGeom prst="rect">
          <a:avLst/>
        </a:prstGeom>
      </xdr:spPr>
    </xdr:pic>
    <xdr:clientData/>
  </xdr:twoCellAnchor>
  <xdr:twoCellAnchor editAs="oneCell">
    <xdr:from>
      <xdr:col>2</xdr:col>
      <xdr:colOff>304800</xdr:colOff>
      <xdr:row>69</xdr:row>
      <xdr:rowOff>95250</xdr:rowOff>
    </xdr:from>
    <xdr:to>
      <xdr:col>14</xdr:col>
      <xdr:colOff>265790</xdr:colOff>
      <xdr:row>77</xdr:row>
      <xdr:rowOff>96789</xdr:rowOff>
    </xdr:to>
    <xdr:pic>
      <xdr:nvPicPr>
        <xdr:cNvPr id="6" name="Picture 5">
          <a:extLst>
            <a:ext uri="{FF2B5EF4-FFF2-40B4-BE49-F238E27FC236}">
              <a16:creationId xmlns:a16="http://schemas.microsoft.com/office/drawing/2014/main" id="{8B678B99-6A9B-4AB1-996D-0E0E4BB2CB6B}"/>
            </a:ext>
          </a:extLst>
        </xdr:cNvPr>
        <xdr:cNvPicPr>
          <a:picLocks noChangeAspect="1"/>
        </xdr:cNvPicPr>
      </xdr:nvPicPr>
      <xdr:blipFill>
        <a:blip xmlns:r="http://schemas.openxmlformats.org/officeDocument/2006/relationships" r:embed="rId5"/>
        <a:stretch>
          <a:fillRect/>
        </a:stretch>
      </xdr:blipFill>
      <xdr:spPr>
        <a:xfrm>
          <a:off x="1524000" y="12287250"/>
          <a:ext cx="7276190" cy="1542857"/>
        </a:xfrm>
        <a:prstGeom prst="rect">
          <a:avLst/>
        </a:prstGeom>
      </xdr:spPr>
    </xdr:pic>
    <xdr:clientData/>
  </xdr:twoCellAnchor>
  <xdr:twoCellAnchor editAs="oneCell">
    <xdr:from>
      <xdr:col>28</xdr:col>
      <xdr:colOff>267380</xdr:colOff>
      <xdr:row>108</xdr:row>
      <xdr:rowOff>144236</xdr:rowOff>
    </xdr:from>
    <xdr:to>
      <xdr:col>29</xdr:col>
      <xdr:colOff>1494242</xdr:colOff>
      <xdr:row>117</xdr:row>
      <xdr:rowOff>2846</xdr:rowOff>
    </xdr:to>
    <xdr:pic>
      <xdr:nvPicPr>
        <xdr:cNvPr id="7" name="Picture 6">
          <a:extLst>
            <a:ext uri="{FF2B5EF4-FFF2-40B4-BE49-F238E27FC236}">
              <a16:creationId xmlns:a16="http://schemas.microsoft.com/office/drawing/2014/main" id="{CF384916-BCD7-4D89-9DA8-FE59888F677B}"/>
            </a:ext>
          </a:extLst>
        </xdr:cNvPr>
        <xdr:cNvPicPr>
          <a:picLocks noChangeAspect="1"/>
        </xdr:cNvPicPr>
      </xdr:nvPicPr>
      <xdr:blipFill>
        <a:blip xmlns:r="http://schemas.openxmlformats.org/officeDocument/2006/relationships" r:embed="rId6"/>
        <a:stretch>
          <a:fillRect/>
        </a:stretch>
      </xdr:blipFill>
      <xdr:spPr>
        <a:xfrm>
          <a:off x="25590273" y="20772665"/>
          <a:ext cx="4016327" cy="1561905"/>
        </a:xfrm>
        <a:prstGeom prst="rect">
          <a:avLst/>
        </a:prstGeom>
      </xdr:spPr>
    </xdr:pic>
    <xdr:clientData/>
  </xdr:twoCellAnchor>
  <xdr:twoCellAnchor editAs="oneCell">
    <xdr:from>
      <xdr:col>15</xdr:col>
      <xdr:colOff>163286</xdr:colOff>
      <xdr:row>74</xdr:row>
      <xdr:rowOff>122465</xdr:rowOff>
    </xdr:from>
    <xdr:to>
      <xdr:col>18</xdr:col>
      <xdr:colOff>525488</xdr:colOff>
      <xdr:row>95</xdr:row>
      <xdr:rowOff>132845</xdr:rowOff>
    </xdr:to>
    <xdr:pic>
      <xdr:nvPicPr>
        <xdr:cNvPr id="8" name="Picture 7">
          <a:extLst>
            <a:ext uri="{FF2B5EF4-FFF2-40B4-BE49-F238E27FC236}">
              <a16:creationId xmlns:a16="http://schemas.microsoft.com/office/drawing/2014/main" id="{B65F4AE5-12B9-4A9D-9762-609A23333949}"/>
            </a:ext>
          </a:extLst>
        </xdr:cNvPr>
        <xdr:cNvPicPr>
          <a:picLocks noChangeAspect="1"/>
        </xdr:cNvPicPr>
      </xdr:nvPicPr>
      <xdr:blipFill>
        <a:blip xmlns:r="http://schemas.openxmlformats.org/officeDocument/2006/relationships" r:embed="rId7"/>
        <a:stretch>
          <a:fillRect/>
        </a:stretch>
      </xdr:blipFill>
      <xdr:spPr>
        <a:xfrm>
          <a:off x="9348107" y="14246679"/>
          <a:ext cx="8866667" cy="40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266700</xdr:colOff>
      <xdr:row>57</xdr:row>
      <xdr:rowOff>133350</xdr:rowOff>
    </xdr:from>
    <xdr:to>
      <xdr:col>19</xdr:col>
      <xdr:colOff>122058</xdr:colOff>
      <xdr:row>66</xdr:row>
      <xdr:rowOff>95042</xdr:rowOff>
    </xdr:to>
    <xdr:pic>
      <xdr:nvPicPr>
        <xdr:cNvPr id="2" name="Picture 1">
          <a:extLst>
            <a:ext uri="{FF2B5EF4-FFF2-40B4-BE49-F238E27FC236}">
              <a16:creationId xmlns:a16="http://schemas.microsoft.com/office/drawing/2014/main" id="{96E071E6-7DFF-4C1B-8426-6C7BEF80785A}"/>
            </a:ext>
          </a:extLst>
        </xdr:cNvPr>
        <xdr:cNvPicPr>
          <a:picLocks noChangeAspect="1"/>
        </xdr:cNvPicPr>
      </xdr:nvPicPr>
      <xdr:blipFill>
        <a:blip xmlns:r="http://schemas.openxmlformats.org/officeDocument/2006/relationships" r:embed="rId1"/>
        <a:stretch>
          <a:fillRect/>
        </a:stretch>
      </xdr:blipFill>
      <xdr:spPr>
        <a:xfrm>
          <a:off x="19173825" y="10229850"/>
          <a:ext cx="3257143" cy="1676190"/>
        </a:xfrm>
        <a:prstGeom prst="rect">
          <a:avLst/>
        </a:prstGeom>
      </xdr:spPr>
    </xdr:pic>
    <xdr:clientData/>
  </xdr:twoCellAnchor>
  <xdr:twoCellAnchor editAs="oneCell">
    <xdr:from>
      <xdr:col>5</xdr:col>
      <xdr:colOff>65315</xdr:colOff>
      <xdr:row>70</xdr:row>
      <xdr:rowOff>29937</xdr:rowOff>
    </xdr:from>
    <xdr:to>
      <xdr:col>7</xdr:col>
      <xdr:colOff>772469</xdr:colOff>
      <xdr:row>79</xdr:row>
      <xdr:rowOff>80063</xdr:rowOff>
    </xdr:to>
    <xdr:pic>
      <xdr:nvPicPr>
        <xdr:cNvPr id="3" name="Picture 2">
          <a:extLst>
            <a:ext uri="{FF2B5EF4-FFF2-40B4-BE49-F238E27FC236}">
              <a16:creationId xmlns:a16="http://schemas.microsoft.com/office/drawing/2014/main" id="{E88B64A3-6DAE-42B5-B010-13B3430FF844}"/>
            </a:ext>
          </a:extLst>
        </xdr:cNvPr>
        <xdr:cNvPicPr>
          <a:picLocks noChangeAspect="1"/>
        </xdr:cNvPicPr>
      </xdr:nvPicPr>
      <xdr:blipFill>
        <a:blip xmlns:r="http://schemas.openxmlformats.org/officeDocument/2006/relationships" r:embed="rId2"/>
        <a:stretch>
          <a:fillRect/>
        </a:stretch>
      </xdr:blipFill>
      <xdr:spPr>
        <a:xfrm>
          <a:off x="11223172" y="16181616"/>
          <a:ext cx="3612278" cy="1703394"/>
        </a:xfrm>
        <a:prstGeom prst="rect">
          <a:avLst/>
        </a:prstGeom>
        <a:solidFill>
          <a:schemeClr val="accent2"/>
        </a:solidFill>
      </xdr:spPr>
    </xdr:pic>
    <xdr:clientData/>
  </xdr:twoCellAnchor>
  <xdr:twoCellAnchor>
    <xdr:from>
      <xdr:col>4</xdr:col>
      <xdr:colOff>210909</xdr:colOff>
      <xdr:row>55</xdr:row>
      <xdr:rowOff>40820</xdr:rowOff>
    </xdr:from>
    <xdr:to>
      <xdr:col>7</xdr:col>
      <xdr:colOff>1317173</xdr:colOff>
      <xdr:row>66</xdr:row>
      <xdr:rowOff>10886</xdr:rowOff>
    </xdr:to>
    <xdr:graphicFrame macro="">
      <xdr:nvGraphicFramePr>
        <xdr:cNvPr id="5" name="Chart 4">
          <a:extLst>
            <a:ext uri="{FF2B5EF4-FFF2-40B4-BE49-F238E27FC236}">
              <a16:creationId xmlns:a16="http://schemas.microsoft.com/office/drawing/2014/main" id="{926E9DDC-C732-4759-B2A2-C97118D3C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266700</xdr:colOff>
      <xdr:row>57</xdr:row>
      <xdr:rowOff>133350</xdr:rowOff>
    </xdr:from>
    <xdr:to>
      <xdr:col>22</xdr:col>
      <xdr:colOff>666343</xdr:colOff>
      <xdr:row>66</xdr:row>
      <xdr:rowOff>95042</xdr:rowOff>
    </xdr:to>
    <xdr:pic>
      <xdr:nvPicPr>
        <xdr:cNvPr id="4" name="Picture 3">
          <a:extLst>
            <a:ext uri="{FF2B5EF4-FFF2-40B4-BE49-F238E27FC236}">
              <a16:creationId xmlns:a16="http://schemas.microsoft.com/office/drawing/2014/main" id="{88198A7A-5713-4221-BAF3-B330ADB860E1}"/>
            </a:ext>
          </a:extLst>
        </xdr:cNvPr>
        <xdr:cNvPicPr>
          <a:picLocks noChangeAspect="1"/>
        </xdr:cNvPicPr>
      </xdr:nvPicPr>
      <xdr:blipFill>
        <a:blip xmlns:r="http://schemas.openxmlformats.org/officeDocument/2006/relationships" r:embed="rId1"/>
        <a:stretch>
          <a:fillRect/>
        </a:stretch>
      </xdr:blipFill>
      <xdr:spPr>
        <a:xfrm>
          <a:off x="20602575" y="14849475"/>
          <a:ext cx="3257143" cy="1676192"/>
        </a:xfrm>
        <a:prstGeom prst="rect">
          <a:avLst/>
        </a:prstGeom>
      </xdr:spPr>
    </xdr:pic>
    <xdr:clientData/>
  </xdr:twoCellAnchor>
  <xdr:twoCellAnchor editAs="oneCell">
    <xdr:from>
      <xdr:col>7</xdr:col>
      <xdr:colOff>915761</xdr:colOff>
      <xdr:row>57</xdr:row>
      <xdr:rowOff>145597</xdr:rowOff>
    </xdr:from>
    <xdr:to>
      <xdr:col>10</xdr:col>
      <xdr:colOff>166949</xdr:colOff>
      <xdr:row>67</xdr:row>
      <xdr:rowOff>12027</xdr:rowOff>
    </xdr:to>
    <xdr:pic>
      <xdr:nvPicPr>
        <xdr:cNvPr id="5" name="Picture 4">
          <a:extLst>
            <a:ext uri="{FF2B5EF4-FFF2-40B4-BE49-F238E27FC236}">
              <a16:creationId xmlns:a16="http://schemas.microsoft.com/office/drawing/2014/main" id="{634F0F2F-7C39-4018-B4E8-5F705D9E8F56}"/>
            </a:ext>
          </a:extLst>
        </xdr:cNvPr>
        <xdr:cNvPicPr>
          <a:picLocks noChangeAspect="1"/>
        </xdr:cNvPicPr>
      </xdr:nvPicPr>
      <xdr:blipFill>
        <a:blip xmlns:r="http://schemas.openxmlformats.org/officeDocument/2006/relationships" r:embed="rId2"/>
        <a:stretch>
          <a:fillRect/>
        </a:stretch>
      </xdr:blipFill>
      <xdr:spPr>
        <a:xfrm>
          <a:off x="9983561" y="14861722"/>
          <a:ext cx="3327888" cy="1771430"/>
        </a:xfrm>
        <a:prstGeom prst="rect">
          <a:avLst/>
        </a:prstGeom>
        <a:solidFill>
          <a:schemeClr val="accent2"/>
        </a:solid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501080</xdr:colOff>
      <xdr:row>116</xdr:row>
      <xdr:rowOff>174742</xdr:rowOff>
    </xdr:from>
    <xdr:to>
      <xdr:col>31</xdr:col>
      <xdr:colOff>462125</xdr:colOff>
      <xdr:row>131</xdr:row>
      <xdr:rowOff>93782</xdr:rowOff>
    </xdr:to>
    <xdr:graphicFrame macro="">
      <xdr:nvGraphicFramePr>
        <xdr:cNvPr id="7" name="Chart 6">
          <a:extLst>
            <a:ext uri="{FF2B5EF4-FFF2-40B4-BE49-F238E27FC236}">
              <a16:creationId xmlns:a16="http://schemas.microsoft.com/office/drawing/2014/main" id="{BCE58484-4C69-4844-8265-7FB8F497E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1098737</xdr:colOff>
      <xdr:row>92</xdr:row>
      <xdr:rowOff>152400</xdr:rowOff>
    </xdr:from>
    <xdr:to>
      <xdr:col>22</xdr:col>
      <xdr:colOff>347382</xdr:colOff>
      <xdr:row>105</xdr:row>
      <xdr:rowOff>9525</xdr:rowOff>
    </xdr:to>
    <xdr:graphicFrame macro="">
      <xdr:nvGraphicFramePr>
        <xdr:cNvPr id="8" name="Chart 7">
          <a:extLst>
            <a:ext uri="{FF2B5EF4-FFF2-40B4-BE49-F238E27FC236}">
              <a16:creationId xmlns:a16="http://schemas.microsoft.com/office/drawing/2014/main" id="{913BD0B9-B9EC-40F2-89E3-1CF4D7A92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1003192</xdr:colOff>
      <xdr:row>43</xdr:row>
      <xdr:rowOff>33592</xdr:rowOff>
    </xdr:from>
    <xdr:to>
      <xdr:col>23</xdr:col>
      <xdr:colOff>168649</xdr:colOff>
      <xdr:row>56</xdr:row>
      <xdr:rowOff>55125</xdr:rowOff>
    </xdr:to>
    <xdr:graphicFrame macro="">
      <xdr:nvGraphicFramePr>
        <xdr:cNvPr id="2" name="Chart 1">
          <a:extLst>
            <a:ext uri="{FF2B5EF4-FFF2-40B4-BE49-F238E27FC236}">
              <a16:creationId xmlns:a16="http://schemas.microsoft.com/office/drawing/2014/main" id="{1C21B46B-45A4-43C7-AEB5-D6801FB3C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1072317</xdr:colOff>
      <xdr:row>16</xdr:row>
      <xdr:rowOff>14849</xdr:rowOff>
    </xdr:from>
    <xdr:to>
      <xdr:col>24</xdr:col>
      <xdr:colOff>5602</xdr:colOff>
      <xdr:row>26</xdr:row>
      <xdr:rowOff>52583</xdr:rowOff>
    </xdr:to>
    <xdr:graphicFrame macro="">
      <xdr:nvGraphicFramePr>
        <xdr:cNvPr id="3" name="Chart 2">
          <a:extLst>
            <a:ext uri="{FF2B5EF4-FFF2-40B4-BE49-F238E27FC236}">
              <a16:creationId xmlns:a16="http://schemas.microsoft.com/office/drawing/2014/main" id="{DBB8F01D-8418-438D-8252-6D139E5DE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101744</xdr:colOff>
      <xdr:row>50</xdr:row>
      <xdr:rowOff>155863</xdr:rowOff>
    </xdr:from>
    <xdr:to>
      <xdr:col>51</xdr:col>
      <xdr:colOff>292244</xdr:colOff>
      <xdr:row>66</xdr:row>
      <xdr:rowOff>47624</xdr:rowOff>
    </xdr:to>
    <xdr:graphicFrame macro="">
      <xdr:nvGraphicFramePr>
        <xdr:cNvPr id="10" name="Chart 9">
          <a:extLst>
            <a:ext uri="{FF2B5EF4-FFF2-40B4-BE49-F238E27FC236}">
              <a16:creationId xmlns:a16="http://schemas.microsoft.com/office/drawing/2014/main" id="{C98637A0-16CD-4757-B022-16FCEF599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119060</xdr:colOff>
      <xdr:row>66</xdr:row>
      <xdr:rowOff>59314</xdr:rowOff>
    </xdr:from>
    <xdr:to>
      <xdr:col>51</xdr:col>
      <xdr:colOff>309561</xdr:colOff>
      <xdr:row>83</xdr:row>
      <xdr:rowOff>25976</xdr:rowOff>
    </xdr:to>
    <xdr:graphicFrame macro="">
      <xdr:nvGraphicFramePr>
        <xdr:cNvPr id="11" name="Chart 10">
          <a:extLst>
            <a:ext uri="{FF2B5EF4-FFF2-40B4-BE49-F238E27FC236}">
              <a16:creationId xmlns:a16="http://schemas.microsoft.com/office/drawing/2014/main" id="{5EC086CF-5ADF-46E0-902E-A1B89FDC6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104775</xdr:colOff>
      <xdr:row>33</xdr:row>
      <xdr:rowOff>59315</xdr:rowOff>
    </xdr:from>
    <xdr:to>
      <xdr:col>51</xdr:col>
      <xdr:colOff>295275</xdr:colOff>
      <xdr:row>50</xdr:row>
      <xdr:rowOff>128587</xdr:rowOff>
    </xdr:to>
    <xdr:graphicFrame macro="">
      <xdr:nvGraphicFramePr>
        <xdr:cNvPr id="12" name="Chart 11">
          <a:extLst>
            <a:ext uri="{FF2B5EF4-FFF2-40B4-BE49-F238E27FC236}">
              <a16:creationId xmlns:a16="http://schemas.microsoft.com/office/drawing/2014/main" id="{13EE64A8-2722-42EA-AEBE-9C7831FE1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45840</xdr:colOff>
      <xdr:row>83</xdr:row>
      <xdr:rowOff>150642</xdr:rowOff>
    </xdr:from>
    <xdr:to>
      <xdr:col>51</xdr:col>
      <xdr:colOff>240290</xdr:colOff>
      <xdr:row>101</xdr:row>
      <xdr:rowOff>171017</xdr:rowOff>
    </xdr:to>
    <xdr:graphicFrame macro="">
      <xdr:nvGraphicFramePr>
        <xdr:cNvPr id="13" name="Chart 12">
          <a:extLst>
            <a:ext uri="{FF2B5EF4-FFF2-40B4-BE49-F238E27FC236}">
              <a16:creationId xmlns:a16="http://schemas.microsoft.com/office/drawing/2014/main" id="{2BD4135B-1C96-427F-98F8-A588B6D92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251623</xdr:colOff>
      <xdr:row>35</xdr:row>
      <xdr:rowOff>12224</xdr:rowOff>
    </xdr:from>
    <xdr:to>
      <xdr:col>51</xdr:col>
      <xdr:colOff>341271</xdr:colOff>
      <xdr:row>37</xdr:row>
      <xdr:rowOff>68254</xdr:rowOff>
    </xdr:to>
    <xdr:sp macro="" textlink="">
      <xdr:nvSpPr>
        <xdr:cNvPr id="14" name="TextBox 13">
          <a:extLst>
            <a:ext uri="{FF2B5EF4-FFF2-40B4-BE49-F238E27FC236}">
              <a16:creationId xmlns:a16="http://schemas.microsoft.com/office/drawing/2014/main" id="{1B092756-5DFA-43E4-98C2-28750A97F9DB}"/>
            </a:ext>
          </a:extLst>
        </xdr:cNvPr>
        <xdr:cNvSpPr txBox="1"/>
      </xdr:nvSpPr>
      <xdr:spPr>
        <a:xfrm>
          <a:off x="36013668" y="6714360"/>
          <a:ext cx="695785" cy="43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0000"/>
              </a:solidFill>
              <a:latin typeface="Arial Black" panose="020B0A04020102020204" pitchFamily="34" charset="0"/>
            </a:rPr>
            <a:t>(A)</a:t>
          </a:r>
          <a:endParaRPr lang="en-US" sz="1100">
            <a:solidFill>
              <a:srgbClr val="FF0000"/>
            </a:solidFill>
            <a:latin typeface="Arial Black" panose="020B0A04020102020204" pitchFamily="34" charset="0"/>
          </a:endParaRPr>
        </a:p>
      </xdr:txBody>
    </xdr:sp>
    <xdr:clientData/>
  </xdr:twoCellAnchor>
  <xdr:twoCellAnchor>
    <xdr:from>
      <xdr:col>50</xdr:col>
      <xdr:colOff>222717</xdr:colOff>
      <xdr:row>52</xdr:row>
      <xdr:rowOff>73958</xdr:rowOff>
    </xdr:from>
    <xdr:to>
      <xdr:col>51</xdr:col>
      <xdr:colOff>285471</xdr:colOff>
      <xdr:row>54</xdr:row>
      <xdr:rowOff>129988</xdr:rowOff>
    </xdr:to>
    <xdr:sp macro="" textlink="">
      <xdr:nvSpPr>
        <xdr:cNvPr id="15" name="TextBox 14">
          <a:extLst>
            <a:ext uri="{FF2B5EF4-FFF2-40B4-BE49-F238E27FC236}">
              <a16:creationId xmlns:a16="http://schemas.microsoft.com/office/drawing/2014/main" id="{D2CB076F-AB60-48A2-A866-CF9BE05E6827}"/>
            </a:ext>
          </a:extLst>
        </xdr:cNvPr>
        <xdr:cNvSpPr txBox="1"/>
      </xdr:nvSpPr>
      <xdr:spPr>
        <a:xfrm>
          <a:off x="36465342" y="9979958"/>
          <a:ext cx="681879" cy="43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0000"/>
              </a:solidFill>
              <a:latin typeface="Arial Black" panose="020B0A04020102020204" pitchFamily="34" charset="0"/>
            </a:rPr>
            <a:t>(B)</a:t>
          </a:r>
          <a:endParaRPr lang="en-US" sz="1100">
            <a:solidFill>
              <a:srgbClr val="FF0000"/>
            </a:solidFill>
            <a:latin typeface="Arial Black" panose="020B0A04020102020204" pitchFamily="34" charset="0"/>
          </a:endParaRPr>
        </a:p>
      </xdr:txBody>
    </xdr:sp>
    <xdr:clientData/>
  </xdr:twoCellAnchor>
  <xdr:twoCellAnchor>
    <xdr:from>
      <xdr:col>50</xdr:col>
      <xdr:colOff>190500</xdr:colOff>
      <xdr:row>68</xdr:row>
      <xdr:rowOff>49864</xdr:rowOff>
    </xdr:from>
    <xdr:to>
      <xdr:col>51</xdr:col>
      <xdr:colOff>248772</xdr:colOff>
      <xdr:row>70</xdr:row>
      <xdr:rowOff>105894</xdr:rowOff>
    </xdr:to>
    <xdr:sp macro="" textlink="">
      <xdr:nvSpPr>
        <xdr:cNvPr id="16" name="TextBox 15">
          <a:extLst>
            <a:ext uri="{FF2B5EF4-FFF2-40B4-BE49-F238E27FC236}">
              <a16:creationId xmlns:a16="http://schemas.microsoft.com/office/drawing/2014/main" id="{96A15BFE-AA2B-4CDD-995B-9BA09F17B678}"/>
            </a:ext>
          </a:extLst>
        </xdr:cNvPr>
        <xdr:cNvSpPr txBox="1"/>
      </xdr:nvSpPr>
      <xdr:spPr>
        <a:xfrm>
          <a:off x="36433125" y="13003864"/>
          <a:ext cx="677397" cy="43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0000"/>
              </a:solidFill>
              <a:latin typeface="Arial Black" panose="020B0A04020102020204" pitchFamily="34" charset="0"/>
            </a:rPr>
            <a:t>(C)</a:t>
          </a:r>
          <a:endParaRPr lang="en-US" sz="1100">
            <a:solidFill>
              <a:srgbClr val="FF0000"/>
            </a:solidFill>
            <a:latin typeface="Arial Black" panose="020B0A04020102020204" pitchFamily="34" charset="0"/>
          </a:endParaRPr>
        </a:p>
      </xdr:txBody>
    </xdr:sp>
    <xdr:clientData/>
  </xdr:twoCellAnchor>
  <xdr:twoCellAnchor>
    <xdr:from>
      <xdr:col>50</xdr:col>
      <xdr:colOff>251623</xdr:colOff>
      <xdr:row>85</xdr:row>
      <xdr:rowOff>16986</xdr:rowOff>
    </xdr:from>
    <xdr:to>
      <xdr:col>51</xdr:col>
      <xdr:colOff>305412</xdr:colOff>
      <xdr:row>87</xdr:row>
      <xdr:rowOff>73016</xdr:rowOff>
    </xdr:to>
    <xdr:sp macro="" textlink="">
      <xdr:nvSpPr>
        <xdr:cNvPr id="17" name="TextBox 16">
          <a:extLst>
            <a:ext uri="{FF2B5EF4-FFF2-40B4-BE49-F238E27FC236}">
              <a16:creationId xmlns:a16="http://schemas.microsoft.com/office/drawing/2014/main" id="{502166A7-A50B-4A24-B65F-80B29DD8419E}"/>
            </a:ext>
          </a:extLst>
        </xdr:cNvPr>
        <xdr:cNvSpPr txBox="1"/>
      </xdr:nvSpPr>
      <xdr:spPr>
        <a:xfrm>
          <a:off x="36494248" y="16209486"/>
          <a:ext cx="672914" cy="43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0000"/>
              </a:solidFill>
              <a:latin typeface="Arial Black" panose="020B0A04020102020204" pitchFamily="34" charset="0"/>
            </a:rPr>
            <a:t>(D)</a:t>
          </a:r>
          <a:endParaRPr lang="en-US" sz="1100">
            <a:solidFill>
              <a:srgbClr val="FF0000"/>
            </a:solidFill>
            <a:latin typeface="Arial Black" panose="020B0A040201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6933-11B8-4199-A4C9-A8B17024704F}">
  <dimension ref="A6:J89"/>
  <sheetViews>
    <sheetView topLeftCell="A19" zoomScale="85" zoomScaleNormal="85" workbookViewId="0">
      <selection activeCell="F13" sqref="F13"/>
    </sheetView>
  </sheetViews>
  <sheetFormatPr baseColWidth="10" defaultColWidth="8.83203125" defaultRowHeight="15" x14ac:dyDescent="0.2"/>
  <cols>
    <col min="1" max="1" width="14.6640625" bestFit="1" customWidth="1"/>
    <col min="2" max="2" width="17.33203125" bestFit="1" customWidth="1"/>
    <col min="3" max="3" width="12" bestFit="1" customWidth="1"/>
    <col min="4" max="4" width="19.83203125" bestFit="1" customWidth="1"/>
    <col min="6" max="6" width="12" bestFit="1" customWidth="1"/>
    <col min="10" max="10" width="12.6640625" bestFit="1" customWidth="1"/>
  </cols>
  <sheetData>
    <row r="6" spans="1:10" x14ac:dyDescent="0.2">
      <c r="A6" t="s">
        <v>0</v>
      </c>
    </row>
    <row r="7" spans="1:10" s="2" customFormat="1" x14ac:dyDescent="0.2">
      <c r="A7" s="1" t="s">
        <v>1</v>
      </c>
      <c r="B7" s="1" t="s">
        <v>2</v>
      </c>
      <c r="C7" s="1" t="s">
        <v>3</v>
      </c>
      <c r="D7" s="1" t="s">
        <v>4</v>
      </c>
    </row>
    <row r="8" spans="1:10" x14ac:dyDescent="0.2">
      <c r="A8" s="3" t="s">
        <v>0</v>
      </c>
      <c r="B8" s="3">
        <v>0.80800000000000005</v>
      </c>
      <c r="C8" s="3">
        <v>0.80561700000000003</v>
      </c>
      <c r="D8" s="3">
        <v>0.59709999999999996</v>
      </c>
    </row>
    <row r="9" spans="1:10" x14ac:dyDescent="0.2">
      <c r="A9" s="3"/>
      <c r="B9" s="3"/>
      <c r="C9" s="3"/>
      <c r="D9" s="3"/>
    </row>
    <row r="10" spans="1:10" x14ac:dyDescent="0.2">
      <c r="A10" s="1" t="s">
        <v>5</v>
      </c>
      <c r="B10" s="1" t="s">
        <v>6</v>
      </c>
      <c r="C10" s="1" t="s">
        <v>7</v>
      </c>
      <c r="D10" s="1" t="s">
        <v>8</v>
      </c>
      <c r="F10" s="4" t="s">
        <v>9</v>
      </c>
      <c r="G10" s="5">
        <v>1.17</v>
      </c>
    </row>
    <row r="11" spans="1:10" x14ac:dyDescent="0.2">
      <c r="A11" s="3" t="s">
        <v>10</v>
      </c>
      <c r="B11" s="6">
        <f>(D11*0.000000000001)/0.48</f>
        <v>1.9499999999999997E-11</v>
      </c>
      <c r="C11" s="3">
        <v>0.31969999999999998</v>
      </c>
      <c r="D11" s="3">
        <f>G10*8</f>
        <v>9.36</v>
      </c>
      <c r="F11" t="s">
        <v>11</v>
      </c>
      <c r="G11" s="5">
        <v>0.48399999999999999</v>
      </c>
    </row>
    <row r="12" spans="1:10" x14ac:dyDescent="0.2">
      <c r="A12" s="3" t="s">
        <v>12</v>
      </c>
      <c r="B12" s="6">
        <f t="shared" ref="B12:B13" si="0">(D12*0.000000000001)/0.48</f>
        <v>1.9743749999999995E-11</v>
      </c>
      <c r="C12" s="3">
        <f>C11*4</f>
        <v>1.2787999999999999</v>
      </c>
      <c r="D12" s="3">
        <f>G10*8.1</f>
        <v>9.4769999999999985</v>
      </c>
      <c r="F12" t="s">
        <v>3</v>
      </c>
      <c r="G12">
        <v>0.31917000000000001</v>
      </c>
    </row>
    <row r="13" spans="1:10" x14ac:dyDescent="0.2">
      <c r="A13" s="3" t="s">
        <v>13</v>
      </c>
      <c r="B13" s="6">
        <f t="shared" si="0"/>
        <v>7.7999999999999989E-11</v>
      </c>
      <c r="C13" s="3">
        <f>1.376</f>
        <v>1.3759999999999999</v>
      </c>
      <c r="D13" s="3">
        <f>G10*32</f>
        <v>37.44</v>
      </c>
    </row>
    <row r="14" spans="1:10" x14ac:dyDescent="0.2">
      <c r="A14" s="3"/>
      <c r="B14" s="3"/>
      <c r="C14" s="3"/>
      <c r="D14" s="3"/>
    </row>
    <row r="15" spans="1:10" x14ac:dyDescent="0.2">
      <c r="A15" s="3"/>
      <c r="B15" s="3"/>
      <c r="C15" s="3"/>
      <c r="D15" s="3"/>
    </row>
    <row r="16" spans="1:10" s="2" customFormat="1" x14ac:dyDescent="0.2">
      <c r="A16" s="1" t="s">
        <v>14</v>
      </c>
      <c r="B16" s="1" t="s">
        <v>6</v>
      </c>
      <c r="C16" s="1" t="s">
        <v>7</v>
      </c>
      <c r="D16" s="7" t="s">
        <v>15</v>
      </c>
      <c r="J16" s="2" t="s">
        <v>16</v>
      </c>
    </row>
    <row r="17" spans="1:6" s="2" customFormat="1" x14ac:dyDescent="0.2">
      <c r="A17" s="3" t="s">
        <v>17</v>
      </c>
      <c r="B17" s="3">
        <f>(D17*0.000000000001)/(0.484)</f>
        <v>7.7355371900826443E-11</v>
      </c>
      <c r="C17" s="3">
        <v>0.3165</v>
      </c>
      <c r="D17" s="3">
        <f>G10*32</f>
        <v>37.44</v>
      </c>
    </row>
    <row r="18" spans="1:6" x14ac:dyDescent="0.2">
      <c r="A18" s="3" t="s">
        <v>18</v>
      </c>
      <c r="B18" s="3">
        <f t="shared" ref="B18:B19" si="1">(D18*0.000000000001)/(0.484)</f>
        <v>6.1884297520661154E-10</v>
      </c>
      <c r="C18" s="3">
        <f>C17*3.12</f>
        <v>0.98748000000000002</v>
      </c>
      <c r="D18" s="3">
        <f>G10*256</f>
        <v>299.52</v>
      </c>
    </row>
    <row r="19" spans="1:6" x14ac:dyDescent="0.2">
      <c r="A19" s="3" t="s">
        <v>19</v>
      </c>
      <c r="B19" s="3">
        <f t="shared" si="1"/>
        <v>3.7447933884297517E-9</v>
      </c>
      <c r="C19" s="3">
        <f>C17*8</f>
        <v>2.532</v>
      </c>
      <c r="D19" s="3">
        <f>1.77*1024</f>
        <v>1812.48</v>
      </c>
      <c r="F19">
        <f>0.000000000299/0.48</f>
        <v>6.2291666666666666E-10</v>
      </c>
    </row>
    <row r="25" spans="1:6" x14ac:dyDescent="0.2">
      <c r="A25" s="108" t="s">
        <v>20</v>
      </c>
      <c r="B25" s="108"/>
      <c r="C25" s="108"/>
      <c r="D25" s="108"/>
    </row>
    <row r="26" spans="1:6" s="2" customFormat="1" x14ac:dyDescent="0.2">
      <c r="A26" s="1" t="s">
        <v>1</v>
      </c>
      <c r="B26" s="1" t="s">
        <v>2</v>
      </c>
      <c r="C26" s="1" t="s">
        <v>3</v>
      </c>
      <c r="D26" s="1" t="s">
        <v>4</v>
      </c>
    </row>
    <row r="27" spans="1:6" x14ac:dyDescent="0.2">
      <c r="A27" s="3" t="s">
        <v>0</v>
      </c>
      <c r="B27" s="3">
        <f>B8*0.39125</f>
        <v>0.31613000000000002</v>
      </c>
      <c r="C27" s="3">
        <f>C8/2</f>
        <v>0.40280850000000001</v>
      </c>
      <c r="D27" s="3">
        <f>D8*0.49811</f>
        <v>0.29742148099999999</v>
      </c>
    </row>
    <row r="28" spans="1:6" x14ac:dyDescent="0.2">
      <c r="A28" s="3"/>
      <c r="B28" s="3"/>
      <c r="C28" s="3"/>
      <c r="D28" s="3"/>
    </row>
    <row r="29" spans="1:6" s="2" customFormat="1" x14ac:dyDescent="0.2">
      <c r="A29" s="1" t="s">
        <v>21</v>
      </c>
      <c r="B29" s="1" t="s">
        <v>22</v>
      </c>
      <c r="C29" s="1" t="s">
        <v>7</v>
      </c>
      <c r="D29" s="1" t="s">
        <v>8</v>
      </c>
    </row>
    <row r="30" spans="1:6" x14ac:dyDescent="0.2">
      <c r="A30" s="3" t="s">
        <v>10</v>
      </c>
      <c r="B30" s="3">
        <f t="shared" ref="B30:B38" si="2">B11*0.39125</f>
        <v>7.6293749999999983E-12</v>
      </c>
      <c r="C30" s="3">
        <f>C11/2</f>
        <v>0.15984999999999999</v>
      </c>
      <c r="D30" s="3">
        <f t="shared" ref="D30:D38" si="3">D11*0.49811</f>
        <v>4.6623095999999995</v>
      </c>
    </row>
    <row r="31" spans="1:6" x14ac:dyDescent="0.2">
      <c r="A31" s="3" t="s">
        <v>12</v>
      </c>
      <c r="B31" s="3">
        <f t="shared" si="2"/>
        <v>7.7247421874999981E-12</v>
      </c>
      <c r="C31" s="3">
        <f>C12/2</f>
        <v>0.63939999999999997</v>
      </c>
      <c r="D31" s="3">
        <f t="shared" si="3"/>
        <v>4.7205884699999991</v>
      </c>
    </row>
    <row r="32" spans="1:6" x14ac:dyDescent="0.2">
      <c r="A32" s="3" t="s">
        <v>13</v>
      </c>
      <c r="B32" s="3">
        <f t="shared" si="2"/>
        <v>3.0517499999999993E-11</v>
      </c>
      <c r="C32" s="3">
        <f>C13/2</f>
        <v>0.68799999999999994</v>
      </c>
      <c r="D32" s="3">
        <f t="shared" si="3"/>
        <v>18.649238399999998</v>
      </c>
    </row>
    <row r="33" spans="1:7" x14ac:dyDescent="0.2">
      <c r="A33" s="3"/>
      <c r="B33" s="3"/>
      <c r="C33" s="3"/>
      <c r="D33" s="3"/>
    </row>
    <row r="34" spans="1:7" x14ac:dyDescent="0.2">
      <c r="A34" s="3"/>
      <c r="B34" s="3"/>
      <c r="C34" s="3"/>
      <c r="D34" s="3"/>
    </row>
    <row r="35" spans="1:7" s="2" customFormat="1" x14ac:dyDescent="0.2">
      <c r="A35" s="1" t="s">
        <v>14</v>
      </c>
      <c r="B35" s="1" t="s">
        <v>22</v>
      </c>
      <c r="C35" s="1" t="s">
        <v>7</v>
      </c>
      <c r="D35" s="1" t="s">
        <v>8</v>
      </c>
    </row>
    <row r="36" spans="1:7" x14ac:dyDescent="0.2">
      <c r="A36" s="3" t="s">
        <v>17</v>
      </c>
      <c r="B36" s="3">
        <f>B17*0.39125</f>
        <v>3.0265289256198344E-11</v>
      </c>
      <c r="C36" s="3">
        <f>C17/2</f>
        <v>0.15825</v>
      </c>
      <c r="D36" s="3">
        <f t="shared" si="3"/>
        <v>18.649238399999998</v>
      </c>
    </row>
    <row r="37" spans="1:7" x14ac:dyDescent="0.2">
      <c r="A37" s="3" t="s">
        <v>18</v>
      </c>
      <c r="B37" s="3">
        <f t="shared" si="2"/>
        <v>2.4212231404958676E-10</v>
      </c>
      <c r="C37" s="3">
        <f t="shared" ref="C37:C38" si="4">C18/2</f>
        <v>0.49374000000000001</v>
      </c>
      <c r="D37" s="3">
        <f t="shared" si="3"/>
        <v>149.19390719999998</v>
      </c>
    </row>
    <row r="38" spans="1:7" x14ac:dyDescent="0.2">
      <c r="A38" s="3" t="s">
        <v>19</v>
      </c>
      <c r="B38" s="3">
        <f t="shared" si="2"/>
        <v>1.4651504132231403E-9</v>
      </c>
      <c r="C38" s="3">
        <f t="shared" si="4"/>
        <v>1.266</v>
      </c>
      <c r="D38" s="3">
        <f t="shared" si="3"/>
        <v>902.81441280000001</v>
      </c>
    </row>
    <row r="40" spans="1:7" x14ac:dyDescent="0.2">
      <c r="G40" s="3"/>
    </row>
    <row r="81" spans="1:8" x14ac:dyDescent="0.2">
      <c r="H81" t="s">
        <v>23</v>
      </c>
    </row>
    <row r="83" spans="1:8" x14ac:dyDescent="0.2">
      <c r="A83" t="s">
        <v>24</v>
      </c>
      <c r="B83" t="s">
        <v>8</v>
      </c>
      <c r="C83" t="s">
        <v>6</v>
      </c>
      <c r="D83" t="s">
        <v>7</v>
      </c>
    </row>
    <row r="84" spans="1:8" x14ac:dyDescent="0.2">
      <c r="A84" t="s">
        <v>25</v>
      </c>
      <c r="B84">
        <v>0.35570000000000002</v>
      </c>
      <c r="C84">
        <f>($B$84 *0.0000000000001)/0.486</f>
        <v>7.3189300411522634E-14</v>
      </c>
      <c r="D84">
        <v>0.31919999999999998</v>
      </c>
    </row>
    <row r="88" spans="1:8" x14ac:dyDescent="0.2">
      <c r="A88" t="s">
        <v>26</v>
      </c>
      <c r="B88" t="s">
        <v>27</v>
      </c>
      <c r="C88" t="s">
        <v>6</v>
      </c>
      <c r="D88" t="s">
        <v>7</v>
      </c>
    </row>
    <row r="89" spans="1:8" x14ac:dyDescent="0.2">
      <c r="A89" t="s">
        <v>18</v>
      </c>
      <c r="B89">
        <v>0.35470000000000002</v>
      </c>
      <c r="C89">
        <f>($B$89 *0.0000000000001)/0.486</f>
        <v>7.2983539094650216E-14</v>
      </c>
      <c r="D89">
        <v>0.3165</v>
      </c>
    </row>
  </sheetData>
  <mergeCells count="1">
    <mergeCell ref="A25:D25"/>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A84A1-614B-429C-8802-C2872D897759}">
  <dimension ref="C3:H21"/>
  <sheetViews>
    <sheetView workbookViewId="0">
      <selection activeCell="E6" sqref="E6"/>
    </sheetView>
  </sheetViews>
  <sheetFormatPr baseColWidth="10" defaultColWidth="8.83203125" defaultRowHeight="15" x14ac:dyDescent="0.2"/>
  <cols>
    <col min="3" max="4" width="11" bestFit="1" customWidth="1"/>
    <col min="5" max="5" width="11.6640625" bestFit="1" customWidth="1"/>
    <col min="6" max="6" width="12.33203125" bestFit="1" customWidth="1"/>
    <col min="7" max="7" width="11.6640625" bestFit="1" customWidth="1"/>
    <col min="8" max="8" width="12.33203125" bestFit="1" customWidth="1"/>
  </cols>
  <sheetData>
    <row r="3" spans="3:8" x14ac:dyDescent="0.2">
      <c r="D3" s="144" t="s">
        <v>580</v>
      </c>
      <c r="E3" s="144"/>
      <c r="F3" s="144"/>
    </row>
    <row r="4" spans="3:8" x14ac:dyDescent="0.2">
      <c r="D4" s="137"/>
      <c r="E4" s="109" t="s">
        <v>47</v>
      </c>
      <c r="F4" s="109"/>
      <c r="G4" s="109" t="s">
        <v>577</v>
      </c>
      <c r="H4" s="109"/>
    </row>
    <row r="5" spans="3:8" x14ac:dyDescent="0.2">
      <c r="D5" s="138"/>
      <c r="E5" s="8" t="s">
        <v>574</v>
      </c>
      <c r="F5" s="8" t="s">
        <v>572</v>
      </c>
      <c r="G5" s="8" t="s">
        <v>574</v>
      </c>
      <c r="H5" s="8" t="s">
        <v>572</v>
      </c>
    </row>
    <row r="6" spans="3:8" x14ac:dyDescent="0.2">
      <c r="D6" s="8" t="s">
        <v>128</v>
      </c>
      <c r="E6" s="8">
        <f>D15-(D15*0.03)</f>
        <v>93.605000000000004</v>
      </c>
      <c r="F6" s="8">
        <f>D15-(D15*0.0275)</f>
        <v>93.846249999999998</v>
      </c>
      <c r="G6" s="8"/>
      <c r="H6" s="8"/>
    </row>
    <row r="7" spans="3:8" x14ac:dyDescent="0.2">
      <c r="D7" s="8" t="s">
        <v>573</v>
      </c>
      <c r="E7" s="8">
        <f t="shared" ref="E7:E9" si="0">D16-(D16*0.03)</f>
        <v>89.821999999999989</v>
      </c>
      <c r="F7" s="8">
        <f t="shared" ref="F7:F9" si="1">D16-(D16*0.0275)</f>
        <v>90.0535</v>
      </c>
      <c r="G7" s="8"/>
      <c r="H7" s="8"/>
    </row>
    <row r="8" spans="3:8" x14ac:dyDescent="0.2">
      <c r="D8" s="8" t="s">
        <v>575</v>
      </c>
      <c r="E8" s="8">
        <f t="shared" si="0"/>
        <v>91.762</v>
      </c>
      <c r="F8" s="8">
        <f t="shared" si="1"/>
        <v>91.998499999999993</v>
      </c>
      <c r="G8" s="8"/>
      <c r="H8" s="8"/>
    </row>
    <row r="9" spans="3:8" x14ac:dyDescent="0.2">
      <c r="D9" s="8" t="s">
        <v>576</v>
      </c>
      <c r="E9" s="8">
        <f t="shared" si="0"/>
        <v>87.4358</v>
      </c>
      <c r="F9" s="8">
        <f t="shared" si="1"/>
        <v>87.661150000000006</v>
      </c>
      <c r="G9" s="8"/>
      <c r="H9" s="8"/>
    </row>
    <row r="13" spans="3:8" x14ac:dyDescent="0.2">
      <c r="D13" s="2" t="s">
        <v>579</v>
      </c>
    </row>
    <row r="14" spans="3:8" x14ac:dyDescent="0.2">
      <c r="C14" s="8" t="s">
        <v>47</v>
      </c>
      <c r="D14" s="3" t="s">
        <v>578</v>
      </c>
    </row>
    <row r="15" spans="3:8" x14ac:dyDescent="0.2">
      <c r="C15" s="8" t="s">
        <v>128</v>
      </c>
      <c r="D15" s="3">
        <v>96.5</v>
      </c>
    </row>
    <row r="16" spans="3:8" x14ac:dyDescent="0.2">
      <c r="C16" s="8" t="s">
        <v>573</v>
      </c>
      <c r="D16" s="3">
        <v>92.6</v>
      </c>
    </row>
    <row r="17" spans="3:8" x14ac:dyDescent="0.2">
      <c r="C17" s="8" t="s">
        <v>575</v>
      </c>
      <c r="D17" s="3">
        <v>94.6</v>
      </c>
    </row>
    <row r="18" spans="3:8" x14ac:dyDescent="0.2">
      <c r="C18" s="8" t="s">
        <v>576</v>
      </c>
      <c r="D18" s="3">
        <v>90.14</v>
      </c>
    </row>
    <row r="21" spans="3:8" ht="59.25" customHeight="1" x14ac:dyDescent="0.2">
      <c r="C21" s="131" t="s">
        <v>581</v>
      </c>
      <c r="D21" s="131"/>
      <c r="E21" s="131"/>
      <c r="F21" s="131"/>
      <c r="G21" s="131"/>
      <c r="H21" s="131"/>
    </row>
  </sheetData>
  <mergeCells count="5">
    <mergeCell ref="G4:H4"/>
    <mergeCell ref="D4:D5"/>
    <mergeCell ref="E4:F4"/>
    <mergeCell ref="D3:F3"/>
    <mergeCell ref="C21:H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8B740-434B-413E-B3F2-828C2A6A191F}">
  <dimension ref="C9:AB98"/>
  <sheetViews>
    <sheetView topLeftCell="F26" zoomScale="70" zoomScaleNormal="70" workbookViewId="0">
      <selection activeCell="F98" sqref="F98"/>
    </sheetView>
  </sheetViews>
  <sheetFormatPr baseColWidth="10" defaultColWidth="8.83203125" defaultRowHeight="15" x14ac:dyDescent="0.2"/>
  <cols>
    <col min="4" max="4" width="27.83203125" bestFit="1" customWidth="1"/>
    <col min="5" max="5" width="16.33203125" customWidth="1"/>
    <col min="6" max="6" width="16.33203125" bestFit="1" customWidth="1"/>
    <col min="7" max="7" width="28.83203125" bestFit="1" customWidth="1"/>
    <col min="8" max="8" width="17.33203125" bestFit="1" customWidth="1"/>
    <col min="9" max="9" width="11" bestFit="1" customWidth="1"/>
    <col min="10" max="10" width="21.6640625" bestFit="1" customWidth="1"/>
    <col min="11" max="11" width="12.6640625" bestFit="1" customWidth="1"/>
    <col min="12" max="12" width="14.83203125" bestFit="1" customWidth="1"/>
    <col min="13" max="13" width="13.6640625" bestFit="1" customWidth="1"/>
    <col min="16" max="16" width="29.6640625" bestFit="1" customWidth="1"/>
    <col min="17" max="17" width="8.83203125" bestFit="1" customWidth="1"/>
    <col min="20" max="20" width="10.6640625" bestFit="1" customWidth="1"/>
  </cols>
  <sheetData>
    <row r="9" spans="5:28" x14ac:dyDescent="0.2">
      <c r="E9">
        <v>253.99581595089248</v>
      </c>
    </row>
    <row r="10" spans="5:28" x14ac:dyDescent="0.2">
      <c r="E10">
        <v>253.99623395289251</v>
      </c>
      <c r="U10" s="12"/>
      <c r="V10" s="12"/>
      <c r="W10" s="12"/>
      <c r="X10" s="12"/>
      <c r="Y10" s="12"/>
      <c r="Z10" s="12"/>
      <c r="AA10" s="12"/>
      <c r="AB10" s="12"/>
    </row>
    <row r="11" spans="5:28" x14ac:dyDescent="0.2">
      <c r="E11">
        <v>2.8302048209800001</v>
      </c>
    </row>
    <row r="12" spans="5:28" x14ac:dyDescent="0.2">
      <c r="E12">
        <v>2.8302390448937498</v>
      </c>
    </row>
    <row r="18" spans="4:20" x14ac:dyDescent="0.2">
      <c r="D18" s="8" t="s">
        <v>28</v>
      </c>
      <c r="E18" s="8" t="s">
        <v>29</v>
      </c>
      <c r="F18" s="8" t="s">
        <v>30</v>
      </c>
      <c r="G18" s="8" t="s">
        <v>31</v>
      </c>
      <c r="H18" s="8" t="s">
        <v>32</v>
      </c>
      <c r="I18" s="8" t="s">
        <v>33</v>
      </c>
      <c r="J18" s="8" t="s">
        <v>34</v>
      </c>
      <c r="K18" s="8" t="s">
        <v>35</v>
      </c>
      <c r="L18" s="8" t="s">
        <v>36</v>
      </c>
    </row>
    <row r="19" spans="4:20" x14ac:dyDescent="0.2">
      <c r="D19" s="8" t="s">
        <v>37</v>
      </c>
      <c r="E19" s="12">
        <v>29</v>
      </c>
      <c r="F19" s="12">
        <v>135</v>
      </c>
      <c r="G19" s="12">
        <v>147</v>
      </c>
      <c r="H19" s="12">
        <v>220</v>
      </c>
      <c r="I19" s="12">
        <v>2528</v>
      </c>
      <c r="J19" s="12">
        <v>95.6</v>
      </c>
      <c r="K19" s="12">
        <v>7.2</v>
      </c>
      <c r="L19" s="12">
        <f>I19*32</f>
        <v>80896</v>
      </c>
    </row>
    <row r="20" spans="4:20" x14ac:dyDescent="0.2">
      <c r="D20" s="8" t="s">
        <v>38</v>
      </c>
      <c r="E20" s="12">
        <f>E19/(E22*E24)</f>
        <v>3.163479915175104E-3</v>
      </c>
      <c r="F20" s="12">
        <f t="shared" ref="F20:K20" si="0">F19/(F22*F24)</f>
        <v>3.3006931455605681E-2</v>
      </c>
      <c r="G20" s="12">
        <f t="shared" si="0"/>
        <v>2.2854548677079218E-2</v>
      </c>
      <c r="H20" s="12">
        <f t="shared" si="0"/>
        <v>1.8829425942156002E-3</v>
      </c>
      <c r="I20" s="12">
        <f t="shared" si="0"/>
        <v>5.2022883483557644E-2</v>
      </c>
      <c r="J20" s="12">
        <f t="shared" si="0"/>
        <v>0.32915576366891613</v>
      </c>
      <c r="K20" s="12">
        <f t="shared" si="0"/>
        <v>1.3201320132013201E-2</v>
      </c>
      <c r="L20" s="12" t="e">
        <f>L19/(L22*#REF!)</f>
        <v>#REF!</v>
      </c>
    </row>
    <row r="21" spans="4:20" x14ac:dyDescent="0.2">
      <c r="D21" s="8" t="s">
        <v>39</v>
      </c>
      <c r="E21" s="12">
        <f>E19/E22</f>
        <v>0.22239263803680981</v>
      </c>
      <c r="F21" s="12">
        <f t="shared" ref="F21:L21" si="1">F19/F22</f>
        <v>2.459016393442623</v>
      </c>
      <c r="G21" s="12">
        <f t="shared" si="1"/>
        <v>2.2546012269938651</v>
      </c>
      <c r="H21" s="12">
        <f t="shared" si="1"/>
        <v>0.21088957055214724</v>
      </c>
      <c r="I21" s="12">
        <f t="shared" si="1"/>
        <v>9.2600732600732609</v>
      </c>
      <c r="J21" s="12">
        <f t="shared" si="1"/>
        <v>1.7445255474452555</v>
      </c>
      <c r="K21" s="12">
        <f t="shared" si="1"/>
        <v>0.71287128712871295</v>
      </c>
      <c r="L21" s="12">
        <f t="shared" si="1"/>
        <v>22851.977401129945</v>
      </c>
    </row>
    <row r="22" spans="4:20" ht="24" customHeight="1" x14ac:dyDescent="0.2">
      <c r="D22" s="8" t="s">
        <v>40</v>
      </c>
      <c r="E22" s="12">
        <f>G22*2</f>
        <v>130.4</v>
      </c>
      <c r="F22" s="12">
        <v>54.9</v>
      </c>
      <c r="G22" s="12">
        <v>65.2</v>
      </c>
      <c r="H22" s="12">
        <f>G22*16</f>
        <v>1043.2</v>
      </c>
      <c r="I22" s="12">
        <v>273</v>
      </c>
      <c r="J22" s="12">
        <v>54.8</v>
      </c>
      <c r="K22" s="12">
        <v>10.1</v>
      </c>
      <c r="L22" s="12">
        <v>3.54</v>
      </c>
      <c r="P22" s="110" t="s">
        <v>41</v>
      </c>
      <c r="Q22" s="109" t="s">
        <v>42</v>
      </c>
      <c r="R22" s="109"/>
      <c r="S22" s="8" t="s">
        <v>43</v>
      </c>
      <c r="T22" s="8"/>
    </row>
    <row r="23" spans="4:20" x14ac:dyDescent="0.2">
      <c r="D23" s="8" t="s">
        <v>44</v>
      </c>
      <c r="E23" s="12">
        <v>75</v>
      </c>
      <c r="F23" s="12">
        <v>90</v>
      </c>
      <c r="G23" s="12">
        <v>96</v>
      </c>
      <c r="H23" s="12">
        <v>145</v>
      </c>
      <c r="I23" s="12">
        <v>176.4</v>
      </c>
      <c r="J23" s="12">
        <v>5.3</v>
      </c>
      <c r="K23" s="12">
        <v>53</v>
      </c>
      <c r="L23" s="3">
        <v>4.3672144617858885E-3</v>
      </c>
      <c r="P23" s="110"/>
      <c r="Q23" s="3" t="s">
        <v>45</v>
      </c>
      <c r="R23" s="3" t="s">
        <v>46</v>
      </c>
      <c r="S23" s="3" t="s">
        <v>45</v>
      </c>
      <c r="T23" s="3" t="s">
        <v>47</v>
      </c>
    </row>
    <row r="24" spans="4:20" x14ac:dyDescent="0.2">
      <c r="D24" s="8" t="s">
        <v>48</v>
      </c>
      <c r="E24" s="12">
        <v>70.3</v>
      </c>
      <c r="F24" s="12">
        <v>74.5</v>
      </c>
      <c r="G24" s="12">
        <v>98.65</v>
      </c>
      <c r="H24" s="12">
        <v>112</v>
      </c>
      <c r="I24" s="12">
        <v>178</v>
      </c>
      <c r="J24" s="12">
        <v>5.3</v>
      </c>
      <c r="K24" s="12">
        <v>54</v>
      </c>
      <c r="L24" s="3">
        <v>1.2360111423999998E-2</v>
      </c>
      <c r="P24" s="8" t="s">
        <v>49</v>
      </c>
      <c r="Q24" s="3">
        <v>13</v>
      </c>
      <c r="R24" s="9">
        <v>1</v>
      </c>
      <c r="S24" s="3">
        <v>224</v>
      </c>
      <c r="T24" s="9">
        <v>1</v>
      </c>
    </row>
    <row r="25" spans="4:20" x14ac:dyDescent="0.2">
      <c r="D25" s="8" t="s">
        <v>50</v>
      </c>
      <c r="E25" s="12" t="s">
        <v>51</v>
      </c>
      <c r="F25" s="12" t="s">
        <v>52</v>
      </c>
      <c r="G25" s="12" t="s">
        <v>51</v>
      </c>
      <c r="H25" s="12" t="s">
        <v>51</v>
      </c>
      <c r="I25" s="12" t="s">
        <v>51</v>
      </c>
      <c r="J25" s="12" t="s">
        <v>51</v>
      </c>
      <c r="K25" s="12" t="s">
        <v>53</v>
      </c>
      <c r="L25" s="12" t="s">
        <v>54</v>
      </c>
      <c r="P25" s="8" t="s">
        <v>55</v>
      </c>
      <c r="Q25" s="3">
        <v>13</v>
      </c>
      <c r="R25" s="9">
        <v>1</v>
      </c>
      <c r="S25" s="3">
        <v>4</v>
      </c>
      <c r="T25" s="9">
        <v>0.99</v>
      </c>
    </row>
    <row r="26" spans="4:20" x14ac:dyDescent="0.2">
      <c r="D26" s="8" t="s">
        <v>56</v>
      </c>
      <c r="E26" s="12" t="s">
        <v>57</v>
      </c>
      <c r="F26" s="12" t="s">
        <v>57</v>
      </c>
      <c r="G26" s="12" t="s">
        <v>57</v>
      </c>
      <c r="H26" s="12" t="s">
        <v>57</v>
      </c>
      <c r="I26" s="12" t="s">
        <v>58</v>
      </c>
      <c r="J26" s="12" t="s">
        <v>58</v>
      </c>
      <c r="K26" s="12" t="s">
        <v>59</v>
      </c>
      <c r="L26" s="12" t="s">
        <v>60</v>
      </c>
      <c r="P26" s="8" t="s">
        <v>61</v>
      </c>
      <c r="Q26" s="3">
        <v>13</v>
      </c>
      <c r="R26" s="9">
        <v>1</v>
      </c>
      <c r="S26" s="3">
        <v>1</v>
      </c>
      <c r="T26" s="9">
        <v>1</v>
      </c>
    </row>
    <row r="27" spans="4:20" x14ac:dyDescent="0.2">
      <c r="D27" s="8" t="s">
        <v>47</v>
      </c>
      <c r="E27" s="12">
        <v>95.7</v>
      </c>
      <c r="F27" s="12">
        <v>95.7</v>
      </c>
      <c r="G27" s="12">
        <v>95.7</v>
      </c>
      <c r="H27" s="12">
        <v>95.7</v>
      </c>
      <c r="I27" s="12">
        <f>95.7*0.98</f>
        <v>93.786000000000001</v>
      </c>
      <c r="J27" s="12">
        <v>95.7</v>
      </c>
      <c r="K27" s="12">
        <v>95.7</v>
      </c>
      <c r="L27" s="12">
        <f>95.7*0.965</f>
        <v>92.350499999999997</v>
      </c>
      <c r="P27" s="8" t="s">
        <v>36</v>
      </c>
      <c r="Q27" s="3">
        <v>1</v>
      </c>
      <c r="R27" s="9">
        <v>0.98</v>
      </c>
      <c r="S27" s="3">
        <v>1</v>
      </c>
      <c r="T27" s="10">
        <v>0.98699999999999999</v>
      </c>
    </row>
    <row r="28" spans="4:20" x14ac:dyDescent="0.2">
      <c r="P28" s="8" t="s">
        <v>62</v>
      </c>
      <c r="Q28" s="3">
        <v>13</v>
      </c>
      <c r="R28" s="9">
        <v>1</v>
      </c>
      <c r="S28" s="3">
        <v>224</v>
      </c>
      <c r="T28" s="9">
        <v>1</v>
      </c>
    </row>
    <row r="29" spans="4:20" x14ac:dyDescent="0.2">
      <c r="P29" s="8" t="s">
        <v>63</v>
      </c>
      <c r="Q29" s="3"/>
      <c r="R29" s="9">
        <v>1</v>
      </c>
      <c r="S29" s="3"/>
      <c r="T29" s="3"/>
    </row>
    <row r="30" spans="4:20" x14ac:dyDescent="0.2">
      <c r="D30" s="8" t="s">
        <v>64</v>
      </c>
      <c r="E30" s="8" t="s">
        <v>29</v>
      </c>
      <c r="F30" s="8" t="s">
        <v>30</v>
      </c>
      <c r="G30" s="8" t="s">
        <v>31</v>
      </c>
      <c r="H30" s="8" t="s">
        <v>32</v>
      </c>
      <c r="I30" s="8" t="s">
        <v>33</v>
      </c>
      <c r="J30" s="8" t="s">
        <v>65</v>
      </c>
      <c r="K30" s="8" t="s">
        <v>35</v>
      </c>
      <c r="L30" s="8" t="s">
        <v>36</v>
      </c>
    </row>
    <row r="31" spans="4:20" x14ac:dyDescent="0.2">
      <c r="D31" s="8" t="s">
        <v>37</v>
      </c>
      <c r="E31" s="12">
        <v>29</v>
      </c>
      <c r="F31" s="12">
        <v>135</v>
      </c>
      <c r="G31" s="12">
        <v>147</v>
      </c>
      <c r="H31" s="12">
        <v>224</v>
      </c>
      <c r="I31" s="12">
        <v>2524</v>
      </c>
      <c r="J31" s="12">
        <v>95.6</v>
      </c>
      <c r="K31" s="12">
        <v>7.2</v>
      </c>
      <c r="L31" s="12">
        <f>I31*32</f>
        <v>80768</v>
      </c>
    </row>
    <row r="32" spans="4:20" x14ac:dyDescent="0.2">
      <c r="D32" s="8" t="s">
        <v>39</v>
      </c>
      <c r="E32" s="12">
        <f>E31/E34</f>
        <v>0.22239263803680981</v>
      </c>
      <c r="F32" s="12">
        <f t="shared" ref="F32:K32" si="2">F31/F34</f>
        <v>2.459016393442623</v>
      </c>
      <c r="G32" s="12">
        <f t="shared" si="2"/>
        <v>2.2546012269938651</v>
      </c>
      <c r="H32" s="12">
        <f t="shared" si="2"/>
        <v>0.21472392638036808</v>
      </c>
      <c r="I32" s="12">
        <f t="shared" si="2"/>
        <v>9.2454212454212445</v>
      </c>
      <c r="J32" s="12">
        <f t="shared" si="2"/>
        <v>1.7445255474452555</v>
      </c>
      <c r="K32" s="12">
        <f t="shared" si="2"/>
        <v>0.71287128712871295</v>
      </c>
      <c r="L32" s="12">
        <f>L31/L34</f>
        <v>22815.81920903955</v>
      </c>
    </row>
    <row r="33" spans="4:12" x14ac:dyDescent="0.2">
      <c r="D33" s="8" t="s">
        <v>66</v>
      </c>
      <c r="E33" s="12">
        <v>2.3E-2</v>
      </c>
      <c r="F33" s="12">
        <f t="shared" ref="F33:L33" si="3">F31/F34</f>
        <v>2.459016393442623</v>
      </c>
      <c r="G33" s="12">
        <v>2.3E-2</v>
      </c>
      <c r="H33" s="12">
        <f t="shared" si="3"/>
        <v>0.21472392638036808</v>
      </c>
      <c r="I33" s="12">
        <f t="shared" si="3"/>
        <v>9.2454212454212445</v>
      </c>
      <c r="J33" s="12">
        <f t="shared" si="3"/>
        <v>1.7445255474452555</v>
      </c>
      <c r="K33" s="12">
        <f t="shared" si="3"/>
        <v>0.71287128712871295</v>
      </c>
      <c r="L33" s="12">
        <f t="shared" si="3"/>
        <v>22815.81920903955</v>
      </c>
    </row>
    <row r="34" spans="4:12" x14ac:dyDescent="0.2">
      <c r="D34" s="8" t="s">
        <v>40</v>
      </c>
      <c r="E34" s="12">
        <f>G34*2</f>
        <v>130.4</v>
      </c>
      <c r="F34" s="12">
        <v>54.9</v>
      </c>
      <c r="G34" s="12">
        <v>65.2</v>
      </c>
      <c r="H34" s="12">
        <f>G34*16</f>
        <v>1043.2</v>
      </c>
      <c r="I34" s="12">
        <v>273</v>
      </c>
      <c r="J34" s="12">
        <v>54.8</v>
      </c>
      <c r="K34" s="12">
        <v>10.1</v>
      </c>
      <c r="L34" s="12">
        <v>3.54</v>
      </c>
    </row>
    <row r="35" spans="4:12" x14ac:dyDescent="0.2">
      <c r="D35" s="8" t="s">
        <v>67</v>
      </c>
      <c r="E35" s="12">
        <v>79</v>
      </c>
      <c r="F35" s="12">
        <v>92</v>
      </c>
      <c r="G35" s="12">
        <v>98</v>
      </c>
      <c r="H35" s="12">
        <v>151</v>
      </c>
      <c r="I35" s="12">
        <v>181</v>
      </c>
      <c r="J35" s="12">
        <v>5.6</v>
      </c>
      <c r="K35" s="12">
        <v>59</v>
      </c>
      <c r="L35">
        <v>4.3748467686286286E-3</v>
      </c>
    </row>
    <row r="36" spans="4:12" ht="14.25" customHeight="1" x14ac:dyDescent="0.2">
      <c r="D36" s="8" t="s">
        <v>48</v>
      </c>
      <c r="E36" s="12">
        <v>70.3</v>
      </c>
      <c r="F36" s="12">
        <v>74.5</v>
      </c>
      <c r="G36" s="12">
        <v>98.65</v>
      </c>
      <c r="H36" s="12">
        <v>112</v>
      </c>
      <c r="I36" s="12">
        <v>178</v>
      </c>
      <c r="J36" s="12">
        <v>5.5</v>
      </c>
      <c r="K36" s="12">
        <v>59</v>
      </c>
      <c r="L36">
        <v>1.2381862139999998E-2</v>
      </c>
    </row>
    <row r="37" spans="4:12" x14ac:dyDescent="0.2">
      <c r="D37" s="8" t="s">
        <v>50</v>
      </c>
      <c r="E37" s="12" t="s">
        <v>51</v>
      </c>
      <c r="F37" s="12" t="s">
        <v>52</v>
      </c>
      <c r="G37" s="12" t="s">
        <v>51</v>
      </c>
      <c r="H37" s="12" t="s">
        <v>51</v>
      </c>
      <c r="I37" s="12" t="s">
        <v>51</v>
      </c>
      <c r="J37" s="12" t="s">
        <v>51</v>
      </c>
      <c r="K37" s="12" t="s">
        <v>53</v>
      </c>
      <c r="L37" s="12" t="s">
        <v>54</v>
      </c>
    </row>
    <row r="38" spans="4:12" x14ac:dyDescent="0.2">
      <c r="D38" s="8" t="s">
        <v>56</v>
      </c>
      <c r="E38" s="12" t="s">
        <v>57</v>
      </c>
      <c r="F38" s="12" t="s">
        <v>57</v>
      </c>
      <c r="G38" s="12" t="s">
        <v>57</v>
      </c>
      <c r="H38" s="12" t="s">
        <v>57</v>
      </c>
      <c r="I38" s="12" t="s">
        <v>58</v>
      </c>
      <c r="J38" s="12" t="s">
        <v>58</v>
      </c>
      <c r="K38" s="12" t="s">
        <v>59</v>
      </c>
      <c r="L38" s="12" t="s">
        <v>60</v>
      </c>
    </row>
    <row r="39" spans="4:12" x14ac:dyDescent="0.2">
      <c r="D39" s="8" t="s">
        <v>47</v>
      </c>
      <c r="E39" s="12">
        <v>96.5</v>
      </c>
      <c r="F39" s="12">
        <v>96.5</v>
      </c>
      <c r="G39" s="12">
        <v>96.5</v>
      </c>
      <c r="H39" s="12">
        <v>96.5</v>
      </c>
      <c r="I39" s="12">
        <f>96.5*0.98</f>
        <v>94.57</v>
      </c>
      <c r="J39" s="12">
        <v>96.5</v>
      </c>
      <c r="K39" s="12">
        <v>96.5</v>
      </c>
      <c r="L39" s="12">
        <f>96.5*0.965</f>
        <v>93.122500000000002</v>
      </c>
    </row>
    <row r="40" spans="4:12" x14ac:dyDescent="0.2">
      <c r="J40" s="11"/>
    </row>
    <row r="42" spans="4:12" x14ac:dyDescent="0.2">
      <c r="D42" s="27" t="s">
        <v>68</v>
      </c>
      <c r="E42" s="27" t="s">
        <v>29</v>
      </c>
      <c r="F42" s="27" t="s">
        <v>30</v>
      </c>
      <c r="G42" s="27" t="s">
        <v>31</v>
      </c>
      <c r="H42" s="27" t="s">
        <v>32</v>
      </c>
      <c r="I42" s="27" t="s">
        <v>33</v>
      </c>
      <c r="J42" s="27" t="s">
        <v>65</v>
      </c>
      <c r="K42" s="27" t="s">
        <v>35</v>
      </c>
      <c r="L42" s="27" t="s">
        <v>36</v>
      </c>
    </row>
    <row r="43" spans="4:12" x14ac:dyDescent="0.2">
      <c r="D43" s="27" t="s">
        <v>37</v>
      </c>
      <c r="E43" s="12">
        <v>141</v>
      </c>
      <c r="F43" s="12">
        <v>300</v>
      </c>
      <c r="G43" s="12">
        <v>325</v>
      </c>
      <c r="H43" s="12">
        <v>475</v>
      </c>
      <c r="I43" s="12">
        <v>9123</v>
      </c>
      <c r="J43" s="12">
        <v>95.6</v>
      </c>
      <c r="K43" s="12">
        <v>7.2</v>
      </c>
      <c r="L43" s="12">
        <v>80999</v>
      </c>
    </row>
    <row r="44" spans="4:12" x14ac:dyDescent="0.2">
      <c r="D44" s="27" t="s">
        <v>39</v>
      </c>
      <c r="E44" s="12">
        <f>E43/E46</f>
        <v>1.0812883435582821</v>
      </c>
      <c r="F44" s="12">
        <f t="shared" ref="F44:L44" si="4">F43/F46</f>
        <v>5.4644808743169397</v>
      </c>
      <c r="G44" s="12">
        <f t="shared" si="4"/>
        <v>4.984662576687116</v>
      </c>
      <c r="H44" s="12">
        <f t="shared" si="4"/>
        <v>0.45532975460122699</v>
      </c>
      <c r="I44" s="12">
        <f t="shared" si="4"/>
        <v>33.417582417582416</v>
      </c>
      <c r="J44" s="12">
        <f t="shared" si="4"/>
        <v>1.7445255474452555</v>
      </c>
      <c r="K44" s="12">
        <f t="shared" si="4"/>
        <v>0.71287128712871295</v>
      </c>
      <c r="L44" s="12">
        <f t="shared" si="4"/>
        <v>22881.073446327682</v>
      </c>
    </row>
    <row r="45" spans="4:12" x14ac:dyDescent="0.2">
      <c r="D45" s="27" t="s">
        <v>66</v>
      </c>
      <c r="E45" s="12">
        <f>E44/E48</f>
        <v>2.0508076691479983E-3</v>
      </c>
      <c r="F45" s="12">
        <f t="shared" ref="F45:K45" si="5">F44/F48</f>
        <v>9.7798315424016818E-3</v>
      </c>
      <c r="G45" s="12">
        <f t="shared" si="5"/>
        <v>6.7371685442637148E-3</v>
      </c>
      <c r="H45" s="12">
        <f t="shared" si="5"/>
        <v>5.420592316681274E-4</v>
      </c>
      <c r="I45" s="12">
        <f t="shared" si="5"/>
        <v>2.5031896942009302E-2</v>
      </c>
      <c r="J45" s="12">
        <f t="shared" si="5"/>
        <v>4.2291528422915281E-2</v>
      </c>
      <c r="K45" s="12">
        <f t="shared" si="5"/>
        <v>1.611008558482967E-3</v>
      </c>
      <c r="L45" s="12" t="e">
        <f>L44/#REF!</f>
        <v>#REF!</v>
      </c>
    </row>
    <row r="46" spans="4:12" x14ac:dyDescent="0.2">
      <c r="D46" s="27" t="s">
        <v>40</v>
      </c>
      <c r="E46" s="12">
        <f>G46*2</f>
        <v>130.4</v>
      </c>
      <c r="F46" s="12">
        <v>54.9</v>
      </c>
      <c r="G46" s="12">
        <v>65.2</v>
      </c>
      <c r="H46" s="12">
        <f>G46*16</f>
        <v>1043.2</v>
      </c>
      <c r="I46" s="12">
        <v>273</v>
      </c>
      <c r="J46" s="12">
        <v>54.8</v>
      </c>
      <c r="K46" s="12">
        <v>10.1</v>
      </c>
      <c r="L46" s="12">
        <v>3.54</v>
      </c>
    </row>
    <row r="47" spans="4:12" x14ac:dyDescent="0.2">
      <c r="D47" s="27" t="s">
        <v>44</v>
      </c>
      <c r="E47" s="12">
        <f>9*E35</f>
        <v>711</v>
      </c>
      <c r="F47" s="12">
        <f t="shared" ref="F47:K47" si="6">9*F35</f>
        <v>828</v>
      </c>
      <c r="G47" s="12">
        <f t="shared" si="6"/>
        <v>882</v>
      </c>
      <c r="H47" s="12">
        <f t="shared" si="6"/>
        <v>1359</v>
      </c>
      <c r="I47" s="12">
        <f t="shared" si="6"/>
        <v>1629</v>
      </c>
      <c r="J47" s="12">
        <f t="shared" si="6"/>
        <v>50.4</v>
      </c>
      <c r="K47" s="12">
        <f t="shared" si="6"/>
        <v>531</v>
      </c>
      <c r="L47">
        <v>4.7699808021002758E-2</v>
      </c>
    </row>
    <row r="48" spans="4:12" x14ac:dyDescent="0.2">
      <c r="D48" s="27" t="s">
        <v>48</v>
      </c>
      <c r="E48" s="12">
        <f>7.5*E36</f>
        <v>527.25</v>
      </c>
      <c r="F48" s="12">
        <f t="shared" ref="F48:K48" si="7">7.5*F36</f>
        <v>558.75</v>
      </c>
      <c r="G48" s="12">
        <f t="shared" si="7"/>
        <v>739.875</v>
      </c>
      <c r="H48" s="12">
        <f t="shared" si="7"/>
        <v>840</v>
      </c>
      <c r="I48" s="12">
        <f t="shared" si="7"/>
        <v>1335</v>
      </c>
      <c r="J48" s="12">
        <f>7.5*J36</f>
        <v>41.25</v>
      </c>
      <c r="K48" s="12">
        <f t="shared" si="7"/>
        <v>442.5</v>
      </c>
      <c r="L48">
        <v>12.115551658995521</v>
      </c>
    </row>
    <row r="49" spans="4:12" x14ac:dyDescent="0.2">
      <c r="D49" s="27" t="s">
        <v>50</v>
      </c>
      <c r="E49" s="12" t="s">
        <v>51</v>
      </c>
      <c r="F49" s="12" t="s">
        <v>52</v>
      </c>
      <c r="G49" s="12" t="s">
        <v>51</v>
      </c>
      <c r="H49" s="12" t="s">
        <v>51</v>
      </c>
      <c r="I49" s="12" t="s">
        <v>51</v>
      </c>
      <c r="J49" s="12" t="s">
        <v>51</v>
      </c>
      <c r="K49" s="12" t="s">
        <v>53</v>
      </c>
      <c r="L49" s="12" t="s">
        <v>54</v>
      </c>
    </row>
    <row r="50" spans="4:12" x14ac:dyDescent="0.2">
      <c r="D50" s="27" t="s">
        <v>56</v>
      </c>
      <c r="E50" s="12" t="s">
        <v>57</v>
      </c>
      <c r="F50" s="12" t="s">
        <v>57</v>
      </c>
      <c r="G50" s="12" t="s">
        <v>57</v>
      </c>
      <c r="H50" s="12" t="s">
        <v>57</v>
      </c>
      <c r="I50" s="12" t="s">
        <v>58</v>
      </c>
      <c r="J50" s="12" t="s">
        <v>58</v>
      </c>
      <c r="K50" s="12" t="s">
        <v>59</v>
      </c>
      <c r="L50" s="12" t="s">
        <v>60</v>
      </c>
    </row>
    <row r="51" spans="4:12" x14ac:dyDescent="0.2">
      <c r="D51" s="27" t="s">
        <v>47</v>
      </c>
      <c r="E51" s="12">
        <v>92.7</v>
      </c>
      <c r="F51" s="12">
        <v>92.7</v>
      </c>
      <c r="G51" s="12">
        <v>92.7</v>
      </c>
      <c r="H51" s="12">
        <v>92.7</v>
      </c>
      <c r="I51" s="12">
        <f>92.7*0.98</f>
        <v>90.846000000000004</v>
      </c>
      <c r="J51" s="12">
        <v>92.7</v>
      </c>
      <c r="K51" s="12">
        <v>92.7</v>
      </c>
      <c r="L51" s="12">
        <f>92.7*0.965</f>
        <v>89.455500000000001</v>
      </c>
    </row>
    <row r="54" spans="4:12" x14ac:dyDescent="0.2">
      <c r="D54" s="27" t="s">
        <v>69</v>
      </c>
      <c r="E54" s="27" t="s">
        <v>29</v>
      </c>
      <c r="F54" s="27" t="s">
        <v>30</v>
      </c>
      <c r="G54" s="27" t="s">
        <v>31</v>
      </c>
      <c r="H54" s="27" t="s">
        <v>32</v>
      </c>
      <c r="I54" s="27" t="s">
        <v>33</v>
      </c>
      <c r="J54" s="27" t="s">
        <v>65</v>
      </c>
      <c r="K54" s="27" t="s">
        <v>35</v>
      </c>
      <c r="L54" s="27" t="s">
        <v>36</v>
      </c>
    </row>
    <row r="55" spans="4:12" x14ac:dyDescent="0.2">
      <c r="D55" s="27" t="s">
        <v>37</v>
      </c>
      <c r="E55" s="12">
        <v>141</v>
      </c>
      <c r="F55" s="12">
        <v>300</v>
      </c>
      <c r="G55" s="12">
        <v>325</v>
      </c>
      <c r="H55" s="12">
        <v>475</v>
      </c>
      <c r="I55" s="12">
        <v>9123</v>
      </c>
      <c r="J55" s="12">
        <v>95.6</v>
      </c>
      <c r="K55" s="12">
        <v>7.2</v>
      </c>
      <c r="L55" s="12">
        <v>81044</v>
      </c>
    </row>
    <row r="56" spans="4:12" x14ac:dyDescent="0.2">
      <c r="D56" s="27" t="s">
        <v>39</v>
      </c>
      <c r="E56" s="12">
        <f>E55/E58</f>
        <v>1.0812883435582821</v>
      </c>
      <c r="F56" s="12">
        <f t="shared" ref="F56:L56" si="8">F55/F58</f>
        <v>5.4644808743169397</v>
      </c>
      <c r="G56" s="12">
        <f t="shared" si="8"/>
        <v>4.984662576687116</v>
      </c>
      <c r="H56" s="12">
        <f t="shared" si="8"/>
        <v>0.45532975460122699</v>
      </c>
      <c r="I56" s="12">
        <f t="shared" si="8"/>
        <v>33.417582417582416</v>
      </c>
      <c r="J56" s="12">
        <f t="shared" si="8"/>
        <v>1.7445255474452555</v>
      </c>
      <c r="K56" s="12">
        <f t="shared" si="8"/>
        <v>0.71287128712871295</v>
      </c>
      <c r="L56" s="12">
        <f t="shared" si="8"/>
        <v>22893.785310734464</v>
      </c>
    </row>
    <row r="57" spans="4:12" x14ac:dyDescent="0.2">
      <c r="D57" s="27" t="s">
        <v>66</v>
      </c>
      <c r="E57" s="12">
        <f>E56/E60</f>
        <v>1.9975399374818166E-3</v>
      </c>
      <c r="F57" s="12">
        <f t="shared" ref="F57:K57" si="9">F56/F60</f>
        <v>9.5258099438977426E-3</v>
      </c>
      <c r="G57" s="12">
        <f t="shared" si="9"/>
        <v>6.5621771535036184E-3</v>
      </c>
      <c r="H57" s="12">
        <f t="shared" si="9"/>
        <v>5.2797977110531885E-4</v>
      </c>
      <c r="I57" s="12">
        <f t="shared" si="9"/>
        <v>2.4381717800658408E-2</v>
      </c>
      <c r="J57" s="12">
        <f t="shared" si="9"/>
        <v>4.1193047165177223E-2</v>
      </c>
      <c r="K57" s="12">
        <f t="shared" si="9"/>
        <v>1.5691641803405524E-3</v>
      </c>
      <c r="L57" s="12" t="e">
        <f>L56/#REF!</f>
        <v>#REF!</v>
      </c>
    </row>
    <row r="58" spans="4:12" x14ac:dyDescent="0.2">
      <c r="D58" s="27" t="s">
        <v>40</v>
      </c>
      <c r="E58" s="12">
        <f>G58*2</f>
        <v>130.4</v>
      </c>
      <c r="F58" s="12">
        <v>54.9</v>
      </c>
      <c r="G58" s="12">
        <v>65.2</v>
      </c>
      <c r="H58" s="12">
        <f>G58*16</f>
        <v>1043.2</v>
      </c>
      <c r="I58" s="12">
        <v>273</v>
      </c>
      <c r="J58" s="12">
        <v>54.8</v>
      </c>
      <c r="K58" s="12">
        <v>10.1</v>
      </c>
      <c r="L58" s="12">
        <v>3.54</v>
      </c>
    </row>
    <row r="59" spans="4:12" x14ac:dyDescent="0.2">
      <c r="D59" s="27" t="s">
        <v>44</v>
      </c>
      <c r="E59" s="12">
        <f>9.2*E36</f>
        <v>646.75999999999988</v>
      </c>
      <c r="F59" s="12">
        <f t="shared" ref="F59:K59" si="10">9.2*F36</f>
        <v>685.4</v>
      </c>
      <c r="G59" s="12">
        <f t="shared" si="10"/>
        <v>907.57999999999993</v>
      </c>
      <c r="H59" s="12">
        <f t="shared" si="10"/>
        <v>1030.3999999999999</v>
      </c>
      <c r="I59" s="12">
        <f t="shared" si="10"/>
        <v>1637.6</v>
      </c>
      <c r="J59" s="12">
        <f t="shared" si="10"/>
        <v>50.599999999999994</v>
      </c>
      <c r="K59" s="12">
        <f t="shared" si="10"/>
        <v>542.79999999999995</v>
      </c>
      <c r="L59">
        <v>4.7700775432924669E-2</v>
      </c>
    </row>
    <row r="60" spans="4:12" x14ac:dyDescent="0.2">
      <c r="D60" s="27" t="s">
        <v>48</v>
      </c>
      <c r="E60" s="12">
        <f>7.7*E36</f>
        <v>541.30999999999995</v>
      </c>
      <c r="F60" s="12">
        <f t="shared" ref="F60:K60" si="11">7.7*F36</f>
        <v>573.65</v>
      </c>
      <c r="G60" s="12">
        <f t="shared" si="11"/>
        <v>759.60500000000002</v>
      </c>
      <c r="H60" s="12">
        <f t="shared" si="11"/>
        <v>862.4</v>
      </c>
      <c r="I60" s="12">
        <f t="shared" si="11"/>
        <v>1370.6000000000001</v>
      </c>
      <c r="J60" s="12">
        <f t="shared" si="11"/>
        <v>42.35</v>
      </c>
      <c r="K60" s="12">
        <f t="shared" si="11"/>
        <v>454.3</v>
      </c>
      <c r="L60">
        <v>12.115817316595521</v>
      </c>
    </row>
    <row r="61" spans="4:12" x14ac:dyDescent="0.2">
      <c r="D61" s="27" t="s">
        <v>50</v>
      </c>
      <c r="E61" s="12" t="s">
        <v>51</v>
      </c>
      <c r="F61" s="12" t="s">
        <v>52</v>
      </c>
      <c r="G61" s="12" t="s">
        <v>51</v>
      </c>
      <c r="H61" s="12" t="s">
        <v>51</v>
      </c>
      <c r="I61" s="12" t="s">
        <v>51</v>
      </c>
      <c r="J61" s="12" t="s">
        <v>51</v>
      </c>
      <c r="K61" s="12" t="s">
        <v>53</v>
      </c>
      <c r="L61" s="12" t="s">
        <v>54</v>
      </c>
    </row>
    <row r="62" spans="4:12" x14ac:dyDescent="0.2">
      <c r="D62" s="27" t="s">
        <v>56</v>
      </c>
      <c r="E62" s="12" t="s">
        <v>57</v>
      </c>
      <c r="F62" s="12" t="s">
        <v>57</v>
      </c>
      <c r="G62" s="12" t="s">
        <v>57</v>
      </c>
      <c r="H62" s="12" t="s">
        <v>57</v>
      </c>
      <c r="I62" s="12" t="s">
        <v>58</v>
      </c>
      <c r="J62" s="12" t="s">
        <v>58</v>
      </c>
      <c r="K62" s="12" t="s">
        <v>59</v>
      </c>
      <c r="L62" s="12" t="s">
        <v>60</v>
      </c>
    </row>
    <row r="63" spans="4:12" x14ac:dyDescent="0.2">
      <c r="D63" s="27" t="s">
        <v>47</v>
      </c>
      <c r="E63" s="12">
        <v>91.74</v>
      </c>
      <c r="F63" s="12">
        <v>91.74</v>
      </c>
      <c r="G63" s="12">
        <v>91.74</v>
      </c>
      <c r="H63" s="12">
        <v>91.74</v>
      </c>
      <c r="I63" s="12">
        <f>91.74*0.98</f>
        <v>89.905199999999994</v>
      </c>
      <c r="J63" s="12">
        <v>91.74</v>
      </c>
      <c r="K63" s="12">
        <v>91.74</v>
      </c>
      <c r="L63" s="12">
        <f>91.74*0.965</f>
        <v>88.529099999999985</v>
      </c>
    </row>
    <row r="67" spans="3:13" x14ac:dyDescent="0.2">
      <c r="C67" s="109" t="s">
        <v>70</v>
      </c>
      <c r="D67" s="109"/>
      <c r="E67" s="109"/>
      <c r="F67" s="109"/>
      <c r="G67" s="109"/>
    </row>
    <row r="68" spans="3:13" x14ac:dyDescent="0.2">
      <c r="C68" s="3"/>
      <c r="D68" s="8" t="s">
        <v>71</v>
      </c>
      <c r="E68" s="8" t="s">
        <v>72</v>
      </c>
      <c r="F68" s="8" t="s">
        <v>73</v>
      </c>
      <c r="G68" s="8" t="s">
        <v>74</v>
      </c>
    </row>
    <row r="69" spans="3:13" x14ac:dyDescent="0.2">
      <c r="C69" s="3"/>
      <c r="D69" s="8"/>
      <c r="E69" s="8"/>
      <c r="F69" s="8"/>
      <c r="G69" s="8"/>
      <c r="M69" s="3">
        <v>1135256096</v>
      </c>
    </row>
    <row r="70" spans="3:13" x14ac:dyDescent="0.2">
      <c r="C70" s="8" t="s">
        <v>68</v>
      </c>
      <c r="D70" s="3">
        <f>(16*1024*1024*1024*10000000000000)/(F70*2100000000*2^25)</f>
        <v>10055290.084796</v>
      </c>
      <c r="E70" s="6">
        <v>10000000000000</v>
      </c>
      <c r="F70" s="3">
        <v>0.24246891114377053</v>
      </c>
      <c r="G70" s="3">
        <v>15912022.293809941</v>
      </c>
      <c r="M70" s="3">
        <v>567628048</v>
      </c>
    </row>
    <row r="71" spans="3:13" x14ac:dyDescent="0.2">
      <c r="C71" s="8" t="s">
        <v>69</v>
      </c>
      <c r="D71" s="3">
        <f t="shared" ref="D71:D73" si="12">(16*1024*1024*1024*10000000000000)/(F71*2100000000*2^25)</f>
        <v>9935440.0341570526</v>
      </c>
      <c r="E71" s="6">
        <v>10000000000000</v>
      </c>
      <c r="F71" s="3">
        <v>0.24539378524889788</v>
      </c>
      <c r="G71" s="3">
        <v>16103967.156958923</v>
      </c>
      <c r="M71" s="3">
        <v>567628048</v>
      </c>
    </row>
    <row r="72" spans="3:13" x14ac:dyDescent="0.2">
      <c r="C72" s="8" t="s">
        <v>28</v>
      </c>
      <c r="D72" s="3">
        <f t="shared" si="12"/>
        <v>332410145.03385848</v>
      </c>
      <c r="E72" s="6">
        <v>10000000000000</v>
      </c>
      <c r="F72" s="3">
        <v>7.3345993632261131E-3</v>
      </c>
      <c r="G72" s="3">
        <v>481333.08321171365</v>
      </c>
    </row>
    <row r="73" spans="3:13" x14ac:dyDescent="0.2">
      <c r="C73" s="8" t="s">
        <v>64</v>
      </c>
      <c r="D73" s="3">
        <f t="shared" si="12"/>
        <v>331955391.34204835</v>
      </c>
      <c r="E73" s="6">
        <v>10000000000000</v>
      </c>
      <c r="F73" s="3">
        <v>7.3446472076816299E-3</v>
      </c>
      <c r="G73" s="3">
        <v>481992.47300410696</v>
      </c>
    </row>
    <row r="75" spans="3:13" x14ac:dyDescent="0.2">
      <c r="J75" t="s">
        <v>75</v>
      </c>
    </row>
    <row r="76" spans="3:13" x14ac:dyDescent="0.2">
      <c r="C76" s="111" t="s">
        <v>76</v>
      </c>
      <c r="D76" s="112"/>
      <c r="E76" s="112"/>
      <c r="F76" s="112"/>
      <c r="G76" s="113"/>
    </row>
    <row r="77" spans="3:13" x14ac:dyDescent="0.2">
      <c r="C77" s="3"/>
      <c r="D77" s="8" t="s">
        <v>71</v>
      </c>
      <c r="E77" s="8" t="s">
        <v>72</v>
      </c>
      <c r="F77" s="8" t="s">
        <v>73</v>
      </c>
      <c r="G77" s="8" t="s">
        <v>74</v>
      </c>
    </row>
    <row r="78" spans="3:13" x14ac:dyDescent="0.2">
      <c r="C78" s="3"/>
      <c r="D78" s="8"/>
      <c r="E78" s="8"/>
      <c r="F78" s="8"/>
      <c r="G78" s="8"/>
    </row>
    <row r="79" spans="3:13" x14ac:dyDescent="0.2">
      <c r="C79" s="8" t="s">
        <v>68</v>
      </c>
      <c r="D79" s="3">
        <f>(16*1024*1024*1024*1000000000)/(F79*2100000000*2^25)</f>
        <v>1005.5290084796</v>
      </c>
      <c r="E79" s="6">
        <v>1000000000</v>
      </c>
      <c r="F79" s="3">
        <v>0.24246891114377053</v>
      </c>
      <c r="G79" s="3">
        <v>15912022.293809941</v>
      </c>
    </row>
    <row r="80" spans="3:13" x14ac:dyDescent="0.2">
      <c r="C80" s="8" t="s">
        <v>69</v>
      </c>
      <c r="D80" s="3">
        <f t="shared" ref="D80:D82" si="13">(16*1024*1024*1024*1000000000)/(F80*2100000000*2^25)</f>
        <v>993.54400341570522</v>
      </c>
      <c r="E80" s="6">
        <v>1000000000</v>
      </c>
      <c r="F80" s="3">
        <v>0.24539378524889788</v>
      </c>
      <c r="G80" s="3">
        <v>16103967.156958923</v>
      </c>
    </row>
    <row r="81" spans="3:7" x14ac:dyDescent="0.2">
      <c r="C81" s="8" t="s">
        <v>28</v>
      </c>
      <c r="D81" s="3">
        <f t="shared" si="13"/>
        <v>33241.01450338585</v>
      </c>
      <c r="E81" s="6">
        <v>1000000000</v>
      </c>
      <c r="F81" s="3">
        <v>7.3345993632261131E-3</v>
      </c>
      <c r="G81" s="3">
        <v>481333.08321171365</v>
      </c>
    </row>
    <row r="82" spans="3:7" x14ac:dyDescent="0.2">
      <c r="C82" s="8" t="s">
        <v>64</v>
      </c>
      <c r="D82" s="3">
        <f t="shared" si="13"/>
        <v>33195.539134204839</v>
      </c>
      <c r="E82" s="6">
        <v>1000000000</v>
      </c>
      <c r="F82" s="3">
        <v>7.3446472076816299E-3</v>
      </c>
      <c r="G82" s="3">
        <v>481992.47300410696</v>
      </c>
    </row>
    <row r="84" spans="3:7" x14ac:dyDescent="0.2">
      <c r="C84" s="111" t="s">
        <v>77</v>
      </c>
      <c r="D84" s="112"/>
      <c r="E84" s="112"/>
      <c r="F84" s="112"/>
      <c r="G84" s="113"/>
    </row>
    <row r="85" spans="3:7" x14ac:dyDescent="0.2">
      <c r="C85" s="3"/>
      <c r="D85" s="8" t="s">
        <v>71</v>
      </c>
      <c r="E85" s="8" t="s">
        <v>72</v>
      </c>
      <c r="F85" s="8" t="s">
        <v>73</v>
      </c>
      <c r="G85" s="8" t="s">
        <v>74</v>
      </c>
    </row>
    <row r="86" spans="3:7" x14ac:dyDescent="0.2">
      <c r="C86" s="3"/>
      <c r="D86" s="8"/>
      <c r="E86" s="8"/>
      <c r="F86" s="8"/>
      <c r="G86" s="8"/>
    </row>
    <row r="87" spans="3:7" x14ac:dyDescent="0.2">
      <c r="C87" s="8" t="s">
        <v>68</v>
      </c>
      <c r="D87" s="3">
        <f>(16*1024*1024*1024*50000)/(F87*2100000000*2^25)</f>
        <v>5.0276450423979997E-2</v>
      </c>
      <c r="E87" s="6">
        <v>50000</v>
      </c>
      <c r="F87" s="3">
        <v>0.24246891114377053</v>
      </c>
      <c r="G87" s="3">
        <v>15912022.293809941</v>
      </c>
    </row>
    <row r="88" spans="3:7" x14ac:dyDescent="0.2">
      <c r="C88" s="8" t="s">
        <v>69</v>
      </c>
      <c r="D88" s="3">
        <f t="shared" ref="D88:D90" si="14">(16*1024*1024*1024*50000)/(F88*2100000000*2^25)</f>
        <v>4.9677200170785259E-2</v>
      </c>
      <c r="E88" s="6">
        <v>50000</v>
      </c>
      <c r="F88" s="3">
        <v>0.24539378524889788</v>
      </c>
      <c r="G88" s="3">
        <v>16103967.156958923</v>
      </c>
    </row>
    <row r="89" spans="3:7" x14ac:dyDescent="0.2">
      <c r="C89" s="8" t="s">
        <v>28</v>
      </c>
      <c r="D89" s="3">
        <f t="shared" si="14"/>
        <v>1.6620507251692924</v>
      </c>
      <c r="E89" s="6">
        <v>50000</v>
      </c>
      <c r="F89" s="3">
        <v>7.3345993632261131E-3</v>
      </c>
      <c r="G89" s="3">
        <v>481333.08321171365</v>
      </c>
    </row>
    <row r="90" spans="3:7" x14ac:dyDescent="0.2">
      <c r="C90" s="8" t="s">
        <v>64</v>
      </c>
      <c r="D90" s="3">
        <f t="shared" si="14"/>
        <v>1.6597769567102418</v>
      </c>
      <c r="E90" s="6">
        <v>50000</v>
      </c>
      <c r="F90" s="3">
        <v>7.3446472076816299E-3</v>
      </c>
      <c r="G90" s="3">
        <v>481992.47300410696</v>
      </c>
    </row>
    <row r="92" spans="3:7" x14ac:dyDescent="0.2">
      <c r="C92" s="111" t="s">
        <v>78</v>
      </c>
      <c r="D92" s="112"/>
      <c r="E92" s="112"/>
      <c r="F92" s="112"/>
      <c r="G92" s="113"/>
    </row>
    <row r="93" spans="3:7" x14ac:dyDescent="0.2">
      <c r="C93" s="3"/>
      <c r="D93" s="8" t="s">
        <v>71</v>
      </c>
      <c r="E93" s="8" t="s">
        <v>72</v>
      </c>
      <c r="F93" s="8" t="s">
        <v>73</v>
      </c>
      <c r="G93" s="8" t="s">
        <v>74</v>
      </c>
    </row>
    <row r="94" spans="3:7" x14ac:dyDescent="0.2">
      <c r="C94" s="3"/>
      <c r="D94" s="8"/>
      <c r="E94" s="8"/>
      <c r="F94" s="8"/>
      <c r="G94" s="8"/>
    </row>
    <row r="95" spans="3:7" x14ac:dyDescent="0.2">
      <c r="C95" s="8" t="s">
        <v>68</v>
      </c>
      <c r="D95" s="3">
        <f>D87*20</f>
        <v>1.0055290084796</v>
      </c>
      <c r="E95" s="6">
        <v>50000</v>
      </c>
      <c r="F95" s="3">
        <v>0.24246891114377053</v>
      </c>
      <c r="G95" s="3">
        <v>15912022.293809941</v>
      </c>
    </row>
    <row r="96" spans="3:7" x14ac:dyDescent="0.2">
      <c r="C96" s="8" t="s">
        <v>69</v>
      </c>
      <c r="D96" s="3">
        <f t="shared" ref="D96:D98" si="15">D88*20</f>
        <v>0.99354400341570515</v>
      </c>
      <c r="E96" s="6">
        <v>50000</v>
      </c>
      <c r="F96" s="3">
        <v>0.24539378524889788</v>
      </c>
      <c r="G96" s="3">
        <v>16103967.156958923</v>
      </c>
    </row>
    <row r="97" spans="3:7" x14ac:dyDescent="0.2">
      <c r="C97" s="8" t="s">
        <v>28</v>
      </c>
      <c r="D97" s="3">
        <f>D89*20</f>
        <v>33.241014503385848</v>
      </c>
      <c r="E97" s="6">
        <v>50000</v>
      </c>
      <c r="F97" s="3">
        <v>7.3345993632261131E-3</v>
      </c>
      <c r="G97" s="3">
        <v>481333.08321171365</v>
      </c>
    </row>
    <row r="98" spans="3:7" x14ac:dyDescent="0.2">
      <c r="C98" s="8" t="s">
        <v>64</v>
      </c>
      <c r="D98" s="3">
        <f t="shared" si="15"/>
        <v>33.195539134204836</v>
      </c>
      <c r="E98" s="6">
        <v>50000</v>
      </c>
      <c r="F98" s="3">
        <v>7.3446472076816299E-3</v>
      </c>
      <c r="G98" s="3">
        <v>481992.47300410696</v>
      </c>
    </row>
  </sheetData>
  <mergeCells count="6">
    <mergeCell ref="Q22:R22"/>
    <mergeCell ref="P22:P23"/>
    <mergeCell ref="C92:G92"/>
    <mergeCell ref="C84:G84"/>
    <mergeCell ref="C67:G67"/>
    <mergeCell ref="C76:G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DDD7A-6E57-470A-96AC-BFFFAE0FC8E7}">
  <dimension ref="B5:Y34"/>
  <sheetViews>
    <sheetView zoomScale="85" zoomScaleNormal="85" workbookViewId="0">
      <selection activeCell="K13" sqref="K13"/>
    </sheetView>
  </sheetViews>
  <sheetFormatPr baseColWidth="10" defaultColWidth="8.83203125" defaultRowHeight="15" x14ac:dyDescent="0.2"/>
  <cols>
    <col min="3" max="3" width="15.33203125" bestFit="1" customWidth="1"/>
    <col min="4" max="4" width="12.83203125" bestFit="1" customWidth="1"/>
    <col min="6" max="7" width="14.1640625" bestFit="1" customWidth="1"/>
    <col min="8" max="8" width="14.6640625" bestFit="1" customWidth="1"/>
    <col min="9" max="9" width="13.1640625" bestFit="1" customWidth="1"/>
    <col min="10" max="11" width="12" bestFit="1" customWidth="1"/>
    <col min="12" max="12" width="10" bestFit="1" customWidth="1"/>
    <col min="14" max="14" width="10.83203125" bestFit="1" customWidth="1"/>
    <col min="15" max="15" width="12" bestFit="1" customWidth="1"/>
    <col min="18" max="18" width="12" bestFit="1" customWidth="1"/>
    <col min="21" max="21" width="12" bestFit="1" customWidth="1"/>
    <col min="22" max="22" width="11.1640625" bestFit="1" customWidth="1"/>
    <col min="23" max="23" width="13.6640625" bestFit="1" customWidth="1"/>
    <col min="24" max="24" width="13.6640625" customWidth="1"/>
    <col min="25" max="25" width="12" bestFit="1" customWidth="1"/>
  </cols>
  <sheetData>
    <row r="5" spans="2:18" ht="48" x14ac:dyDescent="0.2">
      <c r="C5" s="19" t="s">
        <v>79</v>
      </c>
      <c r="D5" s="17" t="s">
        <v>80</v>
      </c>
      <c r="E5" s="17" t="s">
        <v>81</v>
      </c>
      <c r="F5" s="17" t="s">
        <v>82</v>
      </c>
      <c r="G5" s="17" t="s">
        <v>83</v>
      </c>
      <c r="H5" s="17" t="s">
        <v>84</v>
      </c>
      <c r="I5" s="17" t="s">
        <v>85</v>
      </c>
      <c r="J5" s="17" t="s">
        <v>86</v>
      </c>
      <c r="K5" s="18"/>
    </row>
    <row r="6" spans="2:18" ht="26" x14ac:dyDescent="0.2">
      <c r="C6" s="116" t="s">
        <v>87</v>
      </c>
      <c r="D6" s="20" t="s">
        <v>88</v>
      </c>
      <c r="E6" s="20" t="s">
        <v>89</v>
      </c>
      <c r="F6" s="20" t="s">
        <v>90</v>
      </c>
      <c r="G6" s="20" t="s">
        <v>90</v>
      </c>
      <c r="H6" s="20" t="s">
        <v>88</v>
      </c>
      <c r="I6" s="21" t="s">
        <v>91</v>
      </c>
      <c r="J6" s="21" t="s">
        <v>92</v>
      </c>
      <c r="K6" s="20" t="s">
        <v>453</v>
      </c>
      <c r="L6" s="13"/>
      <c r="M6" s="2"/>
      <c r="N6" s="2"/>
      <c r="O6" s="13"/>
    </row>
    <row r="7" spans="2:18" x14ac:dyDescent="0.2">
      <c r="C7" s="117"/>
      <c r="D7" s="19">
        <f>0.25*256</f>
        <v>64</v>
      </c>
      <c r="E7" s="19" t="s">
        <v>93</v>
      </c>
      <c r="F7" s="19" t="s">
        <v>451</v>
      </c>
      <c r="G7" s="19" t="s">
        <v>451</v>
      </c>
      <c r="H7" s="19" t="s">
        <v>452</v>
      </c>
      <c r="I7" s="19" t="s">
        <v>94</v>
      </c>
      <c r="J7" s="19" t="s">
        <v>95</v>
      </c>
      <c r="K7" s="25">
        <v>285.66000000000003</v>
      </c>
    </row>
    <row r="8" spans="2:18" x14ac:dyDescent="0.2">
      <c r="C8" s="117"/>
      <c r="D8" s="19"/>
      <c r="E8" s="19"/>
      <c r="F8" s="19"/>
      <c r="G8" s="19"/>
      <c r="H8" s="19"/>
      <c r="I8" s="19"/>
      <c r="J8" s="19"/>
      <c r="K8" s="25"/>
    </row>
    <row r="9" spans="2:18" x14ac:dyDescent="0.2">
      <c r="C9" s="117"/>
      <c r="D9" s="22" t="s">
        <v>96</v>
      </c>
      <c r="E9" s="22" t="s">
        <v>97</v>
      </c>
      <c r="F9" s="22" t="s">
        <v>98</v>
      </c>
      <c r="G9" s="22" t="s">
        <v>96</v>
      </c>
      <c r="H9" s="22" t="s">
        <v>96</v>
      </c>
      <c r="I9" s="22" t="s">
        <v>98</v>
      </c>
      <c r="J9" s="22" t="s">
        <v>98</v>
      </c>
      <c r="K9" s="24" t="s">
        <v>454</v>
      </c>
      <c r="L9" s="2"/>
      <c r="O9" s="2"/>
    </row>
    <row r="10" spans="2:18" x14ac:dyDescent="0.2">
      <c r="C10" s="118"/>
      <c r="D10" s="19" t="s">
        <v>99</v>
      </c>
      <c r="E10" s="23" t="s">
        <v>448</v>
      </c>
      <c r="F10" s="19" t="s">
        <v>100</v>
      </c>
      <c r="G10" s="19" t="s">
        <v>100</v>
      </c>
      <c r="H10" s="19" t="s">
        <v>99</v>
      </c>
      <c r="I10" s="19" t="s">
        <v>101</v>
      </c>
      <c r="J10" s="19" t="s">
        <v>102</v>
      </c>
      <c r="K10" s="25">
        <v>298</v>
      </c>
    </row>
    <row r="11" spans="2:18" x14ac:dyDescent="0.2">
      <c r="N11" s="119" t="s">
        <v>450</v>
      </c>
      <c r="O11" s="119"/>
      <c r="P11" s="119"/>
      <c r="Q11" s="119"/>
      <c r="R11" s="119"/>
    </row>
    <row r="12" spans="2:18" x14ac:dyDescent="0.2">
      <c r="K12">
        <f>K7/32</f>
        <v>8.9268750000000008</v>
      </c>
    </row>
    <row r="13" spans="2:18" ht="64" x14ac:dyDescent="0.2">
      <c r="B13" s="8"/>
      <c r="C13" s="8" t="s">
        <v>103</v>
      </c>
      <c r="D13" s="8" t="s">
        <v>104</v>
      </c>
      <c r="E13" s="8" t="s">
        <v>105</v>
      </c>
      <c r="F13" s="8" t="s">
        <v>106</v>
      </c>
      <c r="G13" s="26" t="s">
        <v>107</v>
      </c>
      <c r="N13" s="14" t="s">
        <v>108</v>
      </c>
    </row>
    <row r="14" spans="2:18" x14ac:dyDescent="0.2">
      <c r="B14" s="8" t="s">
        <v>68</v>
      </c>
      <c r="C14" s="3">
        <f>D23*0.00000000001</f>
        <v>6.2744768529408006</v>
      </c>
      <c r="D14" s="3">
        <f>E23*0.00000000001</f>
        <v>0.70878349635071991</v>
      </c>
      <c r="E14" s="3">
        <f>(0.000000041509*L23)</f>
        <v>5.1322913097039997</v>
      </c>
      <c r="F14" s="3">
        <f>SUM(C14:E14)</f>
        <v>12.115551658995521</v>
      </c>
      <c r="G14">
        <f>F14/SUM(O23:Q23)</f>
        <v>4.7699808021002758E-2</v>
      </c>
      <c r="N14" t="s">
        <v>109</v>
      </c>
      <c r="O14">
        <v>3</v>
      </c>
    </row>
    <row r="15" spans="2:18" x14ac:dyDescent="0.2">
      <c r="B15" s="8" t="s">
        <v>69</v>
      </c>
      <c r="C15" s="3">
        <f t="shared" ref="C15:D17" si="0">D24*0.00000000001</f>
        <v>6.2744768529408006</v>
      </c>
      <c r="D15" s="3">
        <f t="shared" si="0"/>
        <v>0.70878349635071991</v>
      </c>
      <c r="E15" s="3">
        <f t="shared" ref="E15:E17" si="1">(0.000000041509*L24)</f>
        <v>5.1325569673039997</v>
      </c>
      <c r="F15" s="3">
        <f t="shared" ref="F15:F17" si="2">SUM(C15:E15)</f>
        <v>12.115817316595521</v>
      </c>
      <c r="G15">
        <f t="shared" ref="G15:G17" si="3">F15/SUM(O24:Q24)</f>
        <v>4.7700775432924669E-2</v>
      </c>
    </row>
    <row r="16" spans="2:18" x14ac:dyDescent="0.2">
      <c r="B16" s="8" t="s">
        <v>28</v>
      </c>
      <c r="C16" s="3">
        <f t="shared" si="0"/>
        <v>8.0649695999999993E-3</v>
      </c>
      <c r="D16" s="3">
        <f t="shared" si="0"/>
        <v>4.1649695999999995E-3</v>
      </c>
      <c r="E16" s="3">
        <f t="shared" si="1"/>
        <v>1.3017222399999999E-4</v>
      </c>
      <c r="F16" s="3">
        <f t="shared" si="2"/>
        <v>1.2360111423999998E-2</v>
      </c>
      <c r="G16">
        <f t="shared" si="3"/>
        <v>4.3672144617858885E-3</v>
      </c>
    </row>
    <row r="17" spans="2:25" x14ac:dyDescent="0.2">
      <c r="B17" s="8" t="s">
        <v>64</v>
      </c>
      <c r="C17" s="3">
        <f t="shared" si="0"/>
        <v>8.0649695999999993E-3</v>
      </c>
      <c r="D17" s="3">
        <f t="shared" si="0"/>
        <v>4.1649695999999995E-3</v>
      </c>
      <c r="E17" s="3">
        <f t="shared" si="1"/>
        <v>1.5192293999999998E-4</v>
      </c>
      <c r="F17" s="3">
        <f t="shared" si="2"/>
        <v>1.2381862139999998E-2</v>
      </c>
      <c r="G17">
        <f t="shared" si="3"/>
        <v>4.3748467686286286E-3</v>
      </c>
      <c r="I17" t="s">
        <v>110</v>
      </c>
      <c r="J17">
        <f>0.175/256</f>
        <v>6.8359374999999996E-4</v>
      </c>
    </row>
    <row r="18" spans="2:25" x14ac:dyDescent="0.2">
      <c r="I18" t="s">
        <v>111</v>
      </c>
      <c r="J18" t="s">
        <v>101</v>
      </c>
    </row>
    <row r="21" spans="2:25" x14ac:dyDescent="0.2">
      <c r="C21" t="s">
        <v>112</v>
      </c>
      <c r="K21" s="3"/>
      <c r="L21" s="109" t="s">
        <v>113</v>
      </c>
      <c r="M21" s="109"/>
      <c r="N21" s="109"/>
      <c r="O21" s="109" t="s">
        <v>114</v>
      </c>
      <c r="P21" s="109"/>
      <c r="Q21" s="109"/>
      <c r="R21" s="109" t="s">
        <v>115</v>
      </c>
      <c r="S21" s="109"/>
      <c r="T21" s="109"/>
      <c r="U21" s="109" t="s">
        <v>116</v>
      </c>
      <c r="V21" s="109"/>
      <c r="W21" s="109"/>
      <c r="X21" s="114" t="s">
        <v>117</v>
      </c>
      <c r="Y21" s="3" t="s">
        <v>73</v>
      </c>
    </row>
    <row r="22" spans="2:25" x14ac:dyDescent="0.2">
      <c r="B22" t="s">
        <v>68</v>
      </c>
      <c r="K22" s="8"/>
      <c r="L22" s="8" t="s">
        <v>118</v>
      </c>
      <c r="M22" s="8" t="s">
        <v>119</v>
      </c>
      <c r="N22" s="8" t="s">
        <v>120</v>
      </c>
      <c r="O22" s="8" t="s">
        <v>121</v>
      </c>
      <c r="P22" s="8" t="s">
        <v>122</v>
      </c>
      <c r="Q22" s="8" t="s">
        <v>123</v>
      </c>
      <c r="R22" s="8" t="s">
        <v>118</v>
      </c>
      <c r="S22" s="8" t="s">
        <v>119</v>
      </c>
      <c r="T22" s="8" t="s">
        <v>120</v>
      </c>
      <c r="U22" s="8" t="s">
        <v>124</v>
      </c>
      <c r="V22" s="8" t="s">
        <v>125</v>
      </c>
      <c r="W22" s="8" t="s">
        <v>126</v>
      </c>
      <c r="X22" s="115"/>
      <c r="Y22" s="8" t="s">
        <v>127</v>
      </c>
    </row>
    <row r="23" spans="2:25" x14ac:dyDescent="0.2">
      <c r="B23" t="s">
        <v>69</v>
      </c>
      <c r="D23">
        <v>627447685294.08008</v>
      </c>
      <c r="E23">
        <v>70878349635.071991</v>
      </c>
      <c r="K23" s="8" t="s">
        <v>68</v>
      </c>
      <c r="L23" s="3">
        <v>123642856</v>
      </c>
      <c r="M23" s="3">
        <v>13547520</v>
      </c>
      <c r="N23" s="3">
        <v>1530368</v>
      </c>
      <c r="O23" s="3">
        <v>8.0754626708925006</v>
      </c>
      <c r="P23" s="3">
        <v>220.96005119999998</v>
      </c>
      <c r="Q23" s="3">
        <v>24.960302079999998</v>
      </c>
      <c r="R23" s="3">
        <f>(L23/32)+(2*L23)</f>
        <v>251149551.25</v>
      </c>
      <c r="S23" s="3">
        <v>13547520</v>
      </c>
      <c r="T23" s="3">
        <v>1530368</v>
      </c>
      <c r="U23" s="3">
        <f>R23/O23</f>
        <v>31100329.66349443</v>
      </c>
      <c r="V23" s="3">
        <f>S23/P23</f>
        <v>61312.078479460462</v>
      </c>
      <c r="W23" s="3">
        <f>T23/Q23</f>
        <v>61312.078479460455</v>
      </c>
      <c r="X23" s="3">
        <f>SUM(U23:W23)</f>
        <v>31222953.820453353</v>
      </c>
      <c r="Y23" s="3">
        <f>(X23*32)/(2100000000)</f>
        <v>0.47577834393071777</v>
      </c>
    </row>
    <row r="24" spans="2:25" x14ac:dyDescent="0.2">
      <c r="B24" t="s">
        <v>28</v>
      </c>
      <c r="D24">
        <v>627447685294.08008</v>
      </c>
      <c r="E24">
        <v>70878349635.071991</v>
      </c>
      <c r="K24" s="8" t="s">
        <v>69</v>
      </c>
      <c r="L24" s="3">
        <v>123649256</v>
      </c>
      <c r="M24" s="3">
        <v>13547520</v>
      </c>
      <c r="N24" s="3">
        <v>1530368</v>
      </c>
      <c r="O24" s="3">
        <v>8.0758806728925006</v>
      </c>
      <c r="P24" s="3">
        <v>220.96005120000001</v>
      </c>
      <c r="Q24" s="3">
        <v>24.960302079999998</v>
      </c>
      <c r="R24" s="3">
        <f>(L24/32)+(2*L24)</f>
        <v>251162551.25</v>
      </c>
      <c r="S24" s="3">
        <v>13547520</v>
      </c>
      <c r="T24" s="3">
        <v>1530368</v>
      </c>
      <c r="U24" s="3">
        <v>31701427</v>
      </c>
      <c r="V24" s="3">
        <f t="shared" ref="V24:V26" si="4">S24/P24</f>
        <v>61312.078479460448</v>
      </c>
      <c r="W24" s="3">
        <f t="shared" ref="W24:W26" si="5">T24/Q24</f>
        <v>61312.078479460455</v>
      </c>
      <c r="X24" s="3">
        <f t="shared" ref="X24:X26" si="6">SUM(U24:W24)</f>
        <v>31824051.156958923</v>
      </c>
      <c r="Y24" s="3">
        <f t="shared" ref="Y24:Y26" si="7">(X24*32)/(2100000000)</f>
        <v>0.48493792239175504</v>
      </c>
    </row>
    <row r="25" spans="2:25" x14ac:dyDescent="0.2">
      <c r="B25" t="s">
        <v>64</v>
      </c>
      <c r="D25">
        <v>806496960</v>
      </c>
      <c r="E25">
        <v>416496960</v>
      </c>
      <c r="K25" s="8" t="s">
        <v>28</v>
      </c>
      <c r="L25" s="3">
        <v>3136</v>
      </c>
      <c r="M25" s="3">
        <v>784</v>
      </c>
      <c r="N25" s="3">
        <v>3136</v>
      </c>
      <c r="O25" s="3">
        <v>2.0482097999999999E-4</v>
      </c>
      <c r="P25" s="6">
        <v>1.49</v>
      </c>
      <c r="Q25" s="3">
        <v>1.34</v>
      </c>
      <c r="R25" s="3">
        <f>3136/32</f>
        <v>98</v>
      </c>
      <c r="S25" s="3">
        <v>784</v>
      </c>
      <c r="T25" s="3">
        <v>3136</v>
      </c>
      <c r="U25" s="3">
        <f>R25/O25</f>
        <v>478466.61020760669</v>
      </c>
      <c r="V25" s="3">
        <f t="shared" si="4"/>
        <v>526.17449664429535</v>
      </c>
      <c r="W25" s="3">
        <f t="shared" si="5"/>
        <v>2340.2985074626863</v>
      </c>
      <c r="X25" s="3">
        <f t="shared" si="6"/>
        <v>481333.08321171365</v>
      </c>
      <c r="Y25" s="3">
        <f t="shared" si="7"/>
        <v>7.3345993632261131E-3</v>
      </c>
    </row>
    <row r="26" spans="2:25" x14ac:dyDescent="0.2">
      <c r="D26">
        <v>806496960</v>
      </c>
      <c r="E26">
        <v>416496960</v>
      </c>
      <c r="K26" s="8" t="s">
        <v>64</v>
      </c>
      <c r="L26" s="3">
        <v>3660</v>
      </c>
      <c r="M26" s="3">
        <v>784</v>
      </c>
      <c r="N26" s="3">
        <v>3136</v>
      </c>
      <c r="O26" s="3">
        <v>2.3904489375E-4</v>
      </c>
      <c r="P26" s="6">
        <v>1.49</v>
      </c>
      <c r="Q26" s="3">
        <v>1.34</v>
      </c>
      <c r="R26" s="3">
        <f>L26/32</f>
        <v>114.375</v>
      </c>
      <c r="S26" s="3">
        <v>784</v>
      </c>
      <c r="T26" s="3">
        <v>3136</v>
      </c>
      <c r="U26" s="3">
        <v>479126</v>
      </c>
      <c r="V26" s="3">
        <f t="shared" si="4"/>
        <v>526.17449664429535</v>
      </c>
      <c r="W26" s="3">
        <f t="shared" si="5"/>
        <v>2340.2985074626863</v>
      </c>
      <c r="X26" s="3">
        <f t="shared" si="6"/>
        <v>481992.47300410696</v>
      </c>
      <c r="Y26" s="3">
        <f t="shared" si="7"/>
        <v>7.3446472076816299E-3</v>
      </c>
    </row>
    <row r="27" spans="2:25" x14ac:dyDescent="0.2">
      <c r="K27" s="26" t="s">
        <v>128</v>
      </c>
    </row>
    <row r="30" spans="2:25" x14ac:dyDescent="0.2">
      <c r="M30" t="s">
        <v>114</v>
      </c>
      <c r="N30" t="s">
        <v>129</v>
      </c>
    </row>
    <row r="31" spans="2:25" x14ac:dyDescent="0.2">
      <c r="L31" s="8" t="s">
        <v>68</v>
      </c>
      <c r="M31">
        <f>SUM(O23:Q23)</f>
        <v>253.99581595089248</v>
      </c>
      <c r="N31">
        <f>(1281167+50000)/M31</f>
        <v>5240.9012920802115</v>
      </c>
    </row>
    <row r="32" spans="2:25" x14ac:dyDescent="0.2">
      <c r="L32" s="8" t="s">
        <v>69</v>
      </c>
      <c r="M32">
        <f t="shared" ref="M32:M34" si="8">SUM(O24:Q24)</f>
        <v>253.99623395289251</v>
      </c>
      <c r="N32">
        <f>(1281167+50000)/M32</f>
        <v>5240.8926671207464</v>
      </c>
    </row>
    <row r="33" spans="12:14" x14ac:dyDescent="0.2">
      <c r="L33" s="8" t="s">
        <v>28</v>
      </c>
      <c r="M33">
        <f t="shared" si="8"/>
        <v>2.8302048209800001</v>
      </c>
      <c r="N33">
        <f>60000/M33</f>
        <v>21199.879088335423</v>
      </c>
    </row>
    <row r="34" spans="12:14" x14ac:dyDescent="0.2">
      <c r="L34" s="8" t="s">
        <v>64</v>
      </c>
      <c r="M34">
        <f t="shared" si="8"/>
        <v>2.8302390448937498</v>
      </c>
      <c r="N34">
        <f>60000/M34</f>
        <v>21199.622734429649</v>
      </c>
    </row>
  </sheetData>
  <mergeCells count="7">
    <mergeCell ref="X21:X22"/>
    <mergeCell ref="C6:C10"/>
    <mergeCell ref="L21:N21"/>
    <mergeCell ref="O21:Q21"/>
    <mergeCell ref="R21:T21"/>
    <mergeCell ref="U21:W21"/>
    <mergeCell ref="N11:R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238E-712C-4E8F-9382-B4003488468E}">
  <dimension ref="I1:BJ364"/>
  <sheetViews>
    <sheetView topLeftCell="W178" zoomScale="85" zoomScaleNormal="85" workbookViewId="0">
      <selection activeCell="AO224" sqref="AO224"/>
    </sheetView>
  </sheetViews>
  <sheetFormatPr baseColWidth="10" defaultColWidth="8.83203125" defaultRowHeight="15" x14ac:dyDescent="0.2"/>
  <cols>
    <col min="16" max="16" width="87.33203125" bestFit="1" customWidth="1"/>
    <col min="18" max="18" width="31" bestFit="1" customWidth="1"/>
    <col min="21" max="21" width="41.33203125" style="11" bestFit="1" customWidth="1"/>
    <col min="22" max="22" width="44.33203125" bestFit="1" customWidth="1"/>
    <col min="23" max="23" width="14.83203125" bestFit="1" customWidth="1"/>
    <col min="24" max="24" width="44.33203125" bestFit="1" customWidth="1"/>
    <col min="25" max="25" width="14.83203125" bestFit="1" customWidth="1"/>
    <col min="26" max="26" width="44.33203125" bestFit="1" customWidth="1"/>
    <col min="27" max="27" width="16.6640625" customWidth="1"/>
    <col min="28" max="29" width="41.83203125" customWidth="1"/>
    <col min="30" max="30" width="23.6640625" bestFit="1" customWidth="1"/>
    <col min="31" max="31" width="21.6640625" bestFit="1" customWidth="1"/>
    <col min="32" max="32" width="21.83203125" bestFit="1" customWidth="1"/>
    <col min="33" max="33" width="34.83203125" bestFit="1" customWidth="1"/>
    <col min="34" max="34" width="16.33203125" bestFit="1" customWidth="1"/>
    <col min="35" max="36" width="15.33203125" bestFit="1" customWidth="1"/>
    <col min="37" max="37" width="17.33203125" bestFit="1" customWidth="1"/>
    <col min="39" max="39" width="14.83203125" bestFit="1" customWidth="1"/>
    <col min="40" max="40" width="15.6640625" customWidth="1"/>
    <col min="41" max="41" width="16" bestFit="1" customWidth="1"/>
    <col min="42" max="42" width="21.83203125" bestFit="1" customWidth="1"/>
    <col min="43" max="43" width="28" customWidth="1"/>
    <col min="44" max="44" width="23.6640625" bestFit="1" customWidth="1"/>
    <col min="45" max="45" width="25.6640625" bestFit="1" customWidth="1"/>
    <col min="46" max="46" width="22.1640625" bestFit="1" customWidth="1"/>
    <col min="47" max="47" width="16.83203125" bestFit="1" customWidth="1"/>
    <col min="48" max="48" width="12.33203125" bestFit="1" customWidth="1"/>
    <col min="50" max="50" width="12.33203125" bestFit="1" customWidth="1"/>
    <col min="52" max="52" width="14.33203125" bestFit="1" customWidth="1"/>
    <col min="54" max="54" width="12.33203125" bestFit="1" customWidth="1"/>
    <col min="56" max="56" width="12.33203125" bestFit="1" customWidth="1"/>
    <col min="58" max="58" width="14.33203125" bestFit="1" customWidth="1"/>
    <col min="60" max="62" width="12.33203125" bestFit="1" customWidth="1"/>
  </cols>
  <sheetData>
    <row r="1" spans="35:47" x14ac:dyDescent="0.2">
      <c r="AI1" t="s">
        <v>68</v>
      </c>
    </row>
    <row r="2" spans="35:47" x14ac:dyDescent="0.2">
      <c r="AI2" s="12" t="s">
        <v>130</v>
      </c>
      <c r="AJ2" s="12" t="s">
        <v>131</v>
      </c>
      <c r="AK2" s="12" t="s">
        <v>132</v>
      </c>
      <c r="AL2" s="12" t="s">
        <v>133</v>
      </c>
      <c r="AM2" s="12" t="s">
        <v>134</v>
      </c>
      <c r="AN2" s="121" t="s">
        <v>135</v>
      </c>
      <c r="AO2" s="121"/>
      <c r="AP2" s="12" t="s">
        <v>118</v>
      </c>
      <c r="AQ2" s="12" t="s">
        <v>118</v>
      </c>
      <c r="AR2" s="12" t="s">
        <v>136</v>
      </c>
      <c r="AS2" s="12" t="s">
        <v>136</v>
      </c>
      <c r="AT2" s="12" t="s">
        <v>137</v>
      </c>
      <c r="AU2" s="12" t="s">
        <v>137</v>
      </c>
    </row>
    <row r="3" spans="35:47" x14ac:dyDescent="0.2">
      <c r="AI3" s="12" t="s">
        <v>138</v>
      </c>
      <c r="AJ3" s="12"/>
      <c r="AK3" s="12"/>
      <c r="AL3" s="3"/>
      <c r="AM3" s="12"/>
      <c r="AN3" s="12"/>
      <c r="AO3" s="12"/>
      <c r="AP3" s="12"/>
      <c r="AQ3" s="3"/>
      <c r="AR3" s="3"/>
      <c r="AS3" s="3"/>
      <c r="AT3" s="12"/>
      <c r="AU3" s="3"/>
    </row>
    <row r="4" spans="35:47" x14ac:dyDescent="0.2">
      <c r="AI4" s="27" t="s">
        <v>139</v>
      </c>
      <c r="AJ4" s="12" t="s">
        <v>140</v>
      </c>
      <c r="AK4" s="12">
        <v>64</v>
      </c>
      <c r="AL4" s="12">
        <v>1</v>
      </c>
      <c r="AM4" s="12">
        <v>1</v>
      </c>
      <c r="AN4" s="12" t="s">
        <v>141</v>
      </c>
      <c r="AO4" s="12">
        <v>2304</v>
      </c>
      <c r="AP4" s="12" t="s">
        <v>142</v>
      </c>
      <c r="AQ4" s="3">
        <v>86704128</v>
      </c>
      <c r="AR4" s="12" t="s">
        <v>143</v>
      </c>
      <c r="AS4" s="3">
        <f>(AQ4/3)*2</f>
        <v>57802752</v>
      </c>
      <c r="AT4" s="12" t="s">
        <v>142</v>
      </c>
      <c r="AU4" s="3">
        <v>86704128</v>
      </c>
    </row>
    <row r="5" spans="35:47" x14ac:dyDescent="0.2">
      <c r="AI5" s="12" t="s">
        <v>144</v>
      </c>
      <c r="AJ5" s="12"/>
      <c r="AK5" s="12"/>
      <c r="AL5" s="12"/>
      <c r="AM5" s="12"/>
      <c r="AN5" s="12"/>
      <c r="AO5" s="12"/>
      <c r="AP5" s="12"/>
      <c r="AQ5" s="3"/>
      <c r="AR5" s="12"/>
      <c r="AS5" s="3"/>
      <c r="AT5" s="12"/>
      <c r="AU5" s="3"/>
    </row>
    <row r="6" spans="35:47" x14ac:dyDescent="0.2">
      <c r="AI6" s="27" t="s">
        <v>145</v>
      </c>
      <c r="AJ6" s="12" t="s">
        <v>146</v>
      </c>
      <c r="AK6" s="12">
        <v>64</v>
      </c>
      <c r="AL6" s="12">
        <v>2</v>
      </c>
      <c r="AM6" s="12"/>
      <c r="AN6" s="12">
        <v>0</v>
      </c>
      <c r="AO6" s="12"/>
      <c r="AP6" s="12">
        <v>0</v>
      </c>
      <c r="AQ6" s="3"/>
      <c r="AR6" s="12">
        <v>0</v>
      </c>
      <c r="AS6" s="3"/>
      <c r="AT6" s="12">
        <v>0</v>
      </c>
      <c r="AU6" s="3"/>
    </row>
    <row r="7" spans="35:47" x14ac:dyDescent="0.2">
      <c r="AI7" s="12" t="s">
        <v>147</v>
      </c>
      <c r="AJ7" s="12"/>
      <c r="AK7" s="12"/>
      <c r="AL7" s="12"/>
      <c r="AM7" s="12"/>
      <c r="AN7" s="3"/>
      <c r="AO7" s="3"/>
      <c r="AP7" s="3"/>
      <c r="AQ7" s="3"/>
      <c r="AR7" s="3"/>
      <c r="AS7" s="3"/>
      <c r="AT7" s="3"/>
      <c r="AU7" s="3"/>
    </row>
    <row r="8" spans="35:47" x14ac:dyDescent="0.2">
      <c r="AI8" s="27" t="s">
        <v>148</v>
      </c>
      <c r="AJ8" s="12" t="s">
        <v>140</v>
      </c>
      <c r="AK8" s="12">
        <v>128</v>
      </c>
      <c r="AL8" s="12"/>
      <c r="AM8" s="12">
        <v>1</v>
      </c>
      <c r="AN8" s="12" t="s">
        <v>149</v>
      </c>
      <c r="AO8" s="12">
        <v>74880</v>
      </c>
      <c r="AP8" s="12" t="s">
        <v>150</v>
      </c>
      <c r="AQ8" s="3">
        <v>924844032</v>
      </c>
      <c r="AR8" s="12" t="s">
        <v>151</v>
      </c>
      <c r="AS8" s="3">
        <f>(AQ8/64)*63</f>
        <v>910393344</v>
      </c>
      <c r="AT8" s="12" t="s">
        <v>150</v>
      </c>
      <c r="AU8" s="3">
        <v>924844032</v>
      </c>
    </row>
    <row r="9" spans="35:47" x14ac:dyDescent="0.2">
      <c r="AI9" s="12" t="s">
        <v>152</v>
      </c>
      <c r="AJ9" s="12"/>
      <c r="AK9" s="12"/>
      <c r="AL9" s="12"/>
      <c r="AM9" s="12"/>
      <c r="AN9" s="12"/>
      <c r="AO9" s="12"/>
      <c r="AP9" s="12"/>
      <c r="AQ9" s="3"/>
      <c r="AR9" s="12"/>
      <c r="AS9" s="3"/>
      <c r="AT9" s="12"/>
      <c r="AU9" s="3"/>
    </row>
    <row r="10" spans="35:47" x14ac:dyDescent="0.2">
      <c r="AI10" s="27" t="s">
        <v>148</v>
      </c>
      <c r="AJ10" s="12" t="s">
        <v>140</v>
      </c>
      <c r="AK10" s="12">
        <v>128</v>
      </c>
      <c r="AL10" s="12"/>
      <c r="AM10" s="12">
        <v>1</v>
      </c>
      <c r="AN10" s="12" t="s">
        <v>153</v>
      </c>
      <c r="AO10" s="12">
        <v>148608</v>
      </c>
      <c r="AP10" s="12" t="s">
        <v>154</v>
      </c>
      <c r="AQ10" s="3">
        <v>1849688064</v>
      </c>
      <c r="AR10" s="12" t="s">
        <v>155</v>
      </c>
      <c r="AS10" s="3">
        <f>(AQ10/128)*127</f>
        <v>1835237376</v>
      </c>
      <c r="AT10" s="12" t="s">
        <v>154</v>
      </c>
      <c r="AU10" s="3">
        <v>1849688064</v>
      </c>
    </row>
    <row r="11" spans="35:47" x14ac:dyDescent="0.2">
      <c r="AI11" s="12" t="s">
        <v>152</v>
      </c>
      <c r="AJ11" s="12"/>
      <c r="AK11" s="12"/>
      <c r="AL11" s="12"/>
      <c r="AM11" s="12"/>
      <c r="AN11" s="12"/>
      <c r="AO11" s="12"/>
      <c r="AP11" s="12"/>
      <c r="AQ11" s="3"/>
      <c r="AR11" s="12"/>
      <c r="AS11" s="3"/>
      <c r="AT11" s="12"/>
      <c r="AU11" s="3"/>
    </row>
    <row r="12" spans="35:47" x14ac:dyDescent="0.2">
      <c r="AI12" s="27" t="s">
        <v>145</v>
      </c>
      <c r="AJ12" s="12" t="s">
        <v>146</v>
      </c>
      <c r="AK12" s="12">
        <v>128</v>
      </c>
      <c r="AL12" s="12">
        <v>2</v>
      </c>
      <c r="AM12" s="12"/>
      <c r="AN12" s="12">
        <v>0</v>
      </c>
      <c r="AO12" s="12"/>
      <c r="AP12" s="12">
        <v>0</v>
      </c>
      <c r="AQ12" s="3"/>
      <c r="AR12" s="12">
        <v>0</v>
      </c>
      <c r="AS12" s="3"/>
      <c r="AT12" s="12">
        <v>0</v>
      </c>
      <c r="AU12" s="3"/>
    </row>
    <row r="13" spans="35:47" x14ac:dyDescent="0.2">
      <c r="AI13" s="12" t="s">
        <v>156</v>
      </c>
      <c r="AJ13" s="12"/>
      <c r="AK13" s="12"/>
      <c r="AL13" s="12"/>
      <c r="AM13" s="12"/>
      <c r="AN13" s="12"/>
      <c r="AO13" s="12"/>
      <c r="AP13" s="12"/>
      <c r="AQ13" s="3"/>
      <c r="AR13" s="12"/>
      <c r="AS13" s="3"/>
      <c r="AT13" s="12"/>
      <c r="AU13" s="3"/>
    </row>
    <row r="14" spans="35:47" x14ac:dyDescent="0.2">
      <c r="AI14" s="27" t="s">
        <v>157</v>
      </c>
      <c r="AJ14" s="12" t="s">
        <v>140</v>
      </c>
      <c r="AK14" s="12">
        <v>256</v>
      </c>
      <c r="AL14" s="12"/>
      <c r="AM14" s="12">
        <v>1</v>
      </c>
      <c r="AN14" s="12" t="s">
        <v>158</v>
      </c>
      <c r="AO14" s="12">
        <v>297216</v>
      </c>
      <c r="AP14" s="12" t="s">
        <v>159</v>
      </c>
      <c r="AQ14" s="3">
        <v>924844032</v>
      </c>
      <c r="AR14" s="12" t="s">
        <v>160</v>
      </c>
      <c r="AS14" s="3">
        <f>(AQ14/128)*127</f>
        <v>917618688</v>
      </c>
      <c r="AT14" s="12" t="s">
        <v>159</v>
      </c>
      <c r="AU14" s="3">
        <v>924844032</v>
      </c>
    </row>
    <row r="15" spans="35:47" x14ac:dyDescent="0.2">
      <c r="AI15" s="12" t="s">
        <v>161</v>
      </c>
      <c r="AJ15" s="12"/>
      <c r="AK15" s="12"/>
      <c r="AL15" s="12"/>
      <c r="AM15" s="12"/>
      <c r="AN15" s="12"/>
      <c r="AO15" s="12"/>
      <c r="AP15" s="12"/>
      <c r="AQ15" s="3"/>
      <c r="AR15" s="12"/>
      <c r="AS15" s="3"/>
      <c r="AT15" s="12"/>
      <c r="AU15" s="3"/>
    </row>
    <row r="16" spans="35:47" x14ac:dyDescent="0.2">
      <c r="AI16" s="27" t="s">
        <v>157</v>
      </c>
      <c r="AJ16" s="12" t="s">
        <v>140</v>
      </c>
      <c r="AK16" s="12">
        <v>256</v>
      </c>
      <c r="AL16" s="12"/>
      <c r="AM16" s="12">
        <v>1</v>
      </c>
      <c r="AN16" s="12" t="s">
        <v>162</v>
      </c>
      <c r="AO16" s="12">
        <v>592128</v>
      </c>
      <c r="AP16" s="12" t="s">
        <v>163</v>
      </c>
      <c r="AQ16" s="3">
        <v>1849688064</v>
      </c>
      <c r="AR16" s="12" t="s">
        <v>164</v>
      </c>
      <c r="AS16" s="3">
        <f>(AQ16/256)*255</f>
        <v>1842462720</v>
      </c>
      <c r="AT16" s="12" t="s">
        <v>163</v>
      </c>
      <c r="AU16" s="3">
        <v>1849688064</v>
      </c>
    </row>
    <row r="17" spans="35:47" x14ac:dyDescent="0.2">
      <c r="AI17" s="12" t="s">
        <v>161</v>
      </c>
      <c r="AJ17" s="12"/>
      <c r="AK17" s="12"/>
      <c r="AL17" s="12"/>
      <c r="AM17" s="12"/>
      <c r="AN17" s="12"/>
      <c r="AO17" s="12"/>
      <c r="AP17" s="12"/>
      <c r="AQ17" s="3"/>
      <c r="AR17" s="12"/>
      <c r="AS17" s="3"/>
      <c r="AT17" s="12"/>
      <c r="AU17" s="3"/>
    </row>
    <row r="18" spans="35:47" x14ac:dyDescent="0.2">
      <c r="AI18" s="27" t="s">
        <v>157</v>
      </c>
      <c r="AJ18" s="12" t="s">
        <v>140</v>
      </c>
      <c r="AK18" s="12">
        <v>256</v>
      </c>
      <c r="AL18" s="12"/>
      <c r="AM18" s="12">
        <v>1</v>
      </c>
      <c r="AN18" s="12" t="s">
        <v>162</v>
      </c>
      <c r="AO18" s="12">
        <v>592128</v>
      </c>
      <c r="AP18" s="12" t="s">
        <v>163</v>
      </c>
      <c r="AQ18" s="3">
        <v>1849688064</v>
      </c>
      <c r="AR18" s="12" t="s">
        <v>164</v>
      </c>
      <c r="AS18" s="3">
        <f>(AQ18/256)*255</f>
        <v>1842462720</v>
      </c>
      <c r="AT18" s="12" t="s">
        <v>163</v>
      </c>
      <c r="AU18" s="3">
        <v>1849688064</v>
      </c>
    </row>
    <row r="19" spans="35:47" x14ac:dyDescent="0.2">
      <c r="AI19" s="12" t="s">
        <v>161</v>
      </c>
      <c r="AJ19" s="12"/>
      <c r="AK19" s="12"/>
      <c r="AL19" s="12"/>
      <c r="AM19" s="12"/>
      <c r="AN19" s="12"/>
      <c r="AO19" s="12"/>
      <c r="AP19" s="12"/>
      <c r="AQ19" s="3"/>
      <c r="AR19" s="12"/>
      <c r="AS19" s="3"/>
      <c r="AT19" s="12"/>
      <c r="AU19" s="3"/>
    </row>
    <row r="20" spans="35:47" x14ac:dyDescent="0.2">
      <c r="AI20" s="27" t="s">
        <v>145</v>
      </c>
      <c r="AJ20" s="12" t="s">
        <v>146</v>
      </c>
      <c r="AK20" s="12">
        <v>256</v>
      </c>
      <c r="AL20" s="12">
        <v>2</v>
      </c>
      <c r="AM20" s="12"/>
      <c r="AN20" s="12">
        <v>0</v>
      </c>
      <c r="AO20" s="12"/>
      <c r="AP20" s="12">
        <v>0</v>
      </c>
      <c r="AQ20" s="3"/>
      <c r="AR20" s="12">
        <v>0</v>
      </c>
      <c r="AS20" s="3"/>
      <c r="AT20" s="12">
        <v>0</v>
      </c>
      <c r="AU20" s="3"/>
    </row>
    <row r="21" spans="35:47" x14ac:dyDescent="0.2">
      <c r="AI21" s="12" t="s">
        <v>165</v>
      </c>
      <c r="AJ21" s="12"/>
      <c r="AK21" s="12"/>
      <c r="AL21" s="12"/>
      <c r="AM21" s="12"/>
      <c r="AN21" s="12"/>
      <c r="AO21" s="12"/>
      <c r="AP21" s="12"/>
      <c r="AQ21" s="3"/>
      <c r="AR21" s="12"/>
      <c r="AS21" s="3"/>
      <c r="AT21" s="12"/>
      <c r="AU21" s="3"/>
    </row>
    <row r="22" spans="35:47" x14ac:dyDescent="0.2">
      <c r="AI22" s="27" t="s">
        <v>166</v>
      </c>
      <c r="AJ22" s="12" t="s">
        <v>140</v>
      </c>
      <c r="AK22" s="12">
        <v>512</v>
      </c>
      <c r="AL22" s="12"/>
      <c r="AM22" s="12">
        <v>1</v>
      </c>
      <c r="AN22" s="12" t="s">
        <v>167</v>
      </c>
      <c r="AO22" s="12">
        <v>1184256</v>
      </c>
      <c r="AP22" s="12" t="s">
        <v>168</v>
      </c>
      <c r="AQ22" s="3">
        <v>924844032</v>
      </c>
      <c r="AR22" s="12" t="s">
        <v>169</v>
      </c>
      <c r="AS22" s="3">
        <f>(AQ22/256)*255</f>
        <v>921231360</v>
      </c>
      <c r="AT22" s="12" t="s">
        <v>168</v>
      </c>
      <c r="AU22" s="3">
        <v>924844032</v>
      </c>
    </row>
    <row r="23" spans="35:47" x14ac:dyDescent="0.2">
      <c r="AI23" s="12" t="s">
        <v>170</v>
      </c>
      <c r="AJ23" s="12"/>
      <c r="AK23" s="12"/>
      <c r="AL23" s="12"/>
      <c r="AM23" s="12"/>
      <c r="AN23" s="12"/>
      <c r="AO23" s="12"/>
      <c r="AP23" s="12"/>
      <c r="AQ23" s="3"/>
      <c r="AR23" s="12"/>
      <c r="AS23" s="3"/>
      <c r="AT23" s="12"/>
      <c r="AU23" s="3"/>
    </row>
    <row r="24" spans="35:47" x14ac:dyDescent="0.2">
      <c r="AI24" s="27" t="s">
        <v>166</v>
      </c>
      <c r="AJ24" s="12" t="s">
        <v>140</v>
      </c>
      <c r="AK24" s="12">
        <v>512</v>
      </c>
      <c r="AL24" s="12"/>
      <c r="AM24" s="12">
        <v>1</v>
      </c>
      <c r="AN24" s="12" t="s">
        <v>171</v>
      </c>
      <c r="AO24" s="12">
        <v>2363904</v>
      </c>
      <c r="AP24" s="12" t="s">
        <v>172</v>
      </c>
      <c r="AQ24" s="3">
        <v>924844032</v>
      </c>
      <c r="AR24" s="12" t="s">
        <v>173</v>
      </c>
      <c r="AS24" s="3">
        <f>(AQ24/512)*511</f>
        <v>923037696</v>
      </c>
      <c r="AT24" s="12" t="s">
        <v>172</v>
      </c>
      <c r="AU24" s="3">
        <v>924844032</v>
      </c>
    </row>
    <row r="25" spans="35:47" x14ac:dyDescent="0.2">
      <c r="AI25" s="12" t="s">
        <v>170</v>
      </c>
      <c r="AJ25" s="12"/>
      <c r="AK25" s="12"/>
      <c r="AL25" s="12"/>
      <c r="AM25" s="12"/>
      <c r="AN25" s="12"/>
      <c r="AO25" s="12"/>
      <c r="AP25" s="12"/>
      <c r="AQ25" s="3"/>
      <c r="AR25" s="12"/>
      <c r="AS25" s="3"/>
      <c r="AT25" s="12"/>
      <c r="AU25" s="3"/>
    </row>
    <row r="26" spans="35:47" x14ac:dyDescent="0.2">
      <c r="AI26" s="27" t="s">
        <v>166</v>
      </c>
      <c r="AJ26" s="12" t="s">
        <v>140</v>
      </c>
      <c r="AK26" s="12">
        <v>512</v>
      </c>
      <c r="AL26" s="12"/>
      <c r="AM26" s="12">
        <v>1</v>
      </c>
      <c r="AN26" s="12" t="s">
        <v>171</v>
      </c>
      <c r="AO26" s="12">
        <v>2363904</v>
      </c>
      <c r="AP26" s="12" t="s">
        <v>172</v>
      </c>
      <c r="AQ26" s="3">
        <v>924844032</v>
      </c>
      <c r="AR26" s="12" t="s">
        <v>173</v>
      </c>
      <c r="AS26" s="3">
        <f>(AQ26/512)*511</f>
        <v>923037696</v>
      </c>
      <c r="AT26" s="12" t="s">
        <v>172</v>
      </c>
      <c r="AU26" s="3">
        <v>924844032</v>
      </c>
    </row>
    <row r="27" spans="35:47" x14ac:dyDescent="0.2">
      <c r="AI27" s="12" t="s">
        <v>170</v>
      </c>
      <c r="AJ27" s="12"/>
      <c r="AK27" s="12"/>
      <c r="AL27" s="12"/>
      <c r="AM27" s="12"/>
      <c r="AN27" s="12"/>
      <c r="AO27" s="12"/>
      <c r="AP27" s="12"/>
      <c r="AQ27" s="3"/>
      <c r="AR27" s="12"/>
      <c r="AS27" s="3"/>
      <c r="AT27" s="12"/>
      <c r="AU27" s="3"/>
    </row>
    <row r="28" spans="35:47" x14ac:dyDescent="0.2">
      <c r="AI28" s="27" t="s">
        <v>145</v>
      </c>
      <c r="AJ28" s="12" t="s">
        <v>146</v>
      </c>
      <c r="AK28" s="12">
        <v>512</v>
      </c>
      <c r="AL28" s="12">
        <v>2</v>
      </c>
      <c r="AM28" s="12"/>
      <c r="AN28" s="12">
        <v>0</v>
      </c>
      <c r="AO28" s="12"/>
      <c r="AP28" s="12">
        <v>0</v>
      </c>
      <c r="AQ28" s="3"/>
      <c r="AR28" s="12">
        <v>0</v>
      </c>
      <c r="AS28" s="3"/>
      <c r="AT28" s="12">
        <v>0</v>
      </c>
      <c r="AU28" s="3"/>
    </row>
    <row r="29" spans="35:47" x14ac:dyDescent="0.2">
      <c r="AI29" s="12" t="s">
        <v>174</v>
      </c>
      <c r="AJ29" s="12"/>
      <c r="AK29" s="12"/>
      <c r="AL29" s="12"/>
      <c r="AM29" s="12"/>
      <c r="AN29" s="12"/>
      <c r="AO29" s="12"/>
      <c r="AP29" s="12"/>
      <c r="AQ29" s="3"/>
      <c r="AR29" s="12"/>
      <c r="AS29" s="3"/>
      <c r="AT29" s="12"/>
      <c r="AU29" s="3"/>
    </row>
    <row r="30" spans="35:47" x14ac:dyDescent="0.2">
      <c r="AI30" s="27" t="s">
        <v>175</v>
      </c>
      <c r="AJ30" s="12" t="s">
        <v>140</v>
      </c>
      <c r="AK30" s="12">
        <v>512</v>
      </c>
      <c r="AL30" s="12"/>
      <c r="AM30" s="12">
        <v>1</v>
      </c>
      <c r="AN30" s="12" t="s">
        <v>171</v>
      </c>
      <c r="AO30" s="12">
        <v>2363904</v>
      </c>
      <c r="AP30" s="12" t="s">
        <v>176</v>
      </c>
      <c r="AQ30" s="3">
        <v>231211008</v>
      </c>
      <c r="AR30" s="12" t="s">
        <v>177</v>
      </c>
      <c r="AS30" s="3">
        <f>(AQ30/512)*511</f>
        <v>230759424</v>
      </c>
      <c r="AT30" s="12" t="s">
        <v>176</v>
      </c>
      <c r="AU30" s="3">
        <v>231211008</v>
      </c>
    </row>
    <row r="31" spans="35:47" x14ac:dyDescent="0.2">
      <c r="AI31" s="12" t="s">
        <v>174</v>
      </c>
      <c r="AJ31" s="12"/>
      <c r="AK31" s="12"/>
      <c r="AL31" s="12"/>
      <c r="AM31" s="12"/>
      <c r="AN31" s="12"/>
      <c r="AO31" s="12"/>
      <c r="AP31" s="12"/>
      <c r="AQ31" s="3"/>
      <c r="AR31" s="12"/>
      <c r="AS31" s="3"/>
      <c r="AT31" s="12"/>
      <c r="AU31" s="3"/>
    </row>
    <row r="32" spans="35:47" x14ac:dyDescent="0.2">
      <c r="AI32" s="27" t="s">
        <v>175</v>
      </c>
      <c r="AJ32" s="12" t="s">
        <v>140</v>
      </c>
      <c r="AK32" s="12">
        <v>512</v>
      </c>
      <c r="AL32" s="12"/>
      <c r="AM32" s="12">
        <v>1</v>
      </c>
      <c r="AN32" s="12" t="s">
        <v>171</v>
      </c>
      <c r="AO32" s="12">
        <v>2363904</v>
      </c>
      <c r="AP32" s="12" t="s">
        <v>176</v>
      </c>
      <c r="AQ32" s="3">
        <v>231211008</v>
      </c>
      <c r="AR32" s="12" t="s">
        <v>177</v>
      </c>
      <c r="AS32" s="3">
        <f>(AQ32/512)*511</f>
        <v>230759424</v>
      </c>
      <c r="AT32" s="12" t="s">
        <v>176</v>
      </c>
      <c r="AU32" s="3">
        <v>231211008</v>
      </c>
    </row>
    <row r="33" spans="16:47" x14ac:dyDescent="0.2">
      <c r="AI33" s="12" t="s">
        <v>174</v>
      </c>
      <c r="AJ33" s="12"/>
      <c r="AK33" s="12"/>
      <c r="AL33" s="12"/>
      <c r="AM33" s="12"/>
      <c r="AN33" s="12"/>
      <c r="AO33" s="12"/>
      <c r="AP33" s="12"/>
      <c r="AQ33" s="3"/>
      <c r="AR33" s="12"/>
      <c r="AS33" s="3"/>
      <c r="AT33" s="12"/>
      <c r="AU33" s="3"/>
    </row>
    <row r="34" spans="16:47" x14ac:dyDescent="0.2">
      <c r="AI34" s="27" t="s">
        <v>175</v>
      </c>
      <c r="AJ34" s="12" t="s">
        <v>140</v>
      </c>
      <c r="AK34" s="12">
        <v>512</v>
      </c>
      <c r="AL34" s="12"/>
      <c r="AM34" s="12">
        <v>1</v>
      </c>
      <c r="AN34" s="12" t="s">
        <v>171</v>
      </c>
      <c r="AO34" s="12">
        <v>2363904</v>
      </c>
      <c r="AP34" s="12" t="s">
        <v>176</v>
      </c>
      <c r="AQ34" s="3">
        <v>231211008</v>
      </c>
      <c r="AR34" s="12" t="s">
        <v>177</v>
      </c>
      <c r="AS34" s="3">
        <v>230759424</v>
      </c>
      <c r="AT34" s="12" t="s">
        <v>176</v>
      </c>
      <c r="AU34" s="3">
        <v>231211008</v>
      </c>
    </row>
    <row r="35" spans="16:47" x14ac:dyDescent="0.2">
      <c r="AI35" s="12" t="s">
        <v>174</v>
      </c>
      <c r="AJ35" s="12"/>
      <c r="AK35" s="12"/>
      <c r="AL35" s="12"/>
      <c r="AM35" s="12"/>
      <c r="AN35" s="12"/>
      <c r="AO35" s="12"/>
      <c r="AP35" s="12"/>
      <c r="AQ35" s="3"/>
      <c r="AR35" s="12"/>
      <c r="AS35" s="3"/>
      <c r="AT35" s="12"/>
      <c r="AU35" s="3"/>
    </row>
    <row r="36" spans="16:47" x14ac:dyDescent="0.2">
      <c r="AI36" s="27" t="s">
        <v>145</v>
      </c>
      <c r="AJ36" s="12" t="s">
        <v>146</v>
      </c>
      <c r="AK36" s="12">
        <v>517</v>
      </c>
      <c r="AL36" s="12">
        <v>2</v>
      </c>
      <c r="AM36" s="12"/>
      <c r="AN36" s="12">
        <v>0</v>
      </c>
      <c r="AO36" s="12"/>
      <c r="AP36" s="12">
        <v>0</v>
      </c>
      <c r="AQ36" s="3"/>
      <c r="AR36" s="12">
        <v>0</v>
      </c>
      <c r="AS36" s="3"/>
      <c r="AT36" s="12">
        <v>0</v>
      </c>
      <c r="AU36" s="3"/>
    </row>
    <row r="37" spans="16:47" x14ac:dyDescent="0.2">
      <c r="AI37" s="12" t="s">
        <v>178</v>
      </c>
      <c r="AJ37" s="12"/>
      <c r="AK37" s="12"/>
      <c r="AL37" s="12"/>
      <c r="AM37" s="12"/>
      <c r="AN37" s="12"/>
      <c r="AO37" s="12"/>
      <c r="AP37" s="12"/>
      <c r="AQ37" s="3"/>
      <c r="AR37" s="12"/>
      <c r="AS37" s="3"/>
      <c r="AT37" s="12"/>
      <c r="AU37" s="3"/>
    </row>
    <row r="38" spans="16:47" x14ac:dyDescent="0.2">
      <c r="AI38" s="27" t="s">
        <v>179</v>
      </c>
      <c r="AJ38" s="12"/>
      <c r="AK38" s="12"/>
      <c r="AL38" s="12">
        <v>1</v>
      </c>
      <c r="AM38" s="12"/>
      <c r="AN38" s="12" t="s">
        <v>180</v>
      </c>
      <c r="AO38" s="12">
        <v>102760448</v>
      </c>
      <c r="AP38" s="12" t="s">
        <v>180</v>
      </c>
      <c r="AQ38" s="3">
        <v>102760448</v>
      </c>
      <c r="AR38" s="12" t="s">
        <v>180</v>
      </c>
      <c r="AS38" s="3">
        <v>102760448</v>
      </c>
      <c r="AT38" s="12" t="s">
        <v>180</v>
      </c>
      <c r="AU38" s="3">
        <v>102760448</v>
      </c>
    </row>
    <row r="39" spans="16:47" x14ac:dyDescent="0.2">
      <c r="AI39" s="12">
        <v>4096</v>
      </c>
      <c r="AJ39" s="12"/>
      <c r="AK39" s="12"/>
      <c r="AL39" s="12"/>
      <c r="AM39" s="12"/>
      <c r="AN39" s="12"/>
      <c r="AO39" s="12"/>
      <c r="AP39" s="12"/>
      <c r="AQ39" s="3"/>
      <c r="AR39" s="12"/>
      <c r="AS39" s="3"/>
      <c r="AT39" s="12"/>
      <c r="AU39" s="3"/>
    </row>
    <row r="40" spans="16:47" x14ac:dyDescent="0.2">
      <c r="AI40" s="27" t="s">
        <v>179</v>
      </c>
      <c r="AJ40" s="12"/>
      <c r="AK40" s="12"/>
      <c r="AL40" s="12">
        <v>1</v>
      </c>
      <c r="AM40" s="12"/>
      <c r="AN40" s="12" t="s">
        <v>181</v>
      </c>
      <c r="AO40" s="12">
        <v>1677216</v>
      </c>
      <c r="AP40" s="12" t="s">
        <v>181</v>
      </c>
      <c r="AQ40" s="3">
        <v>16777216</v>
      </c>
      <c r="AR40" s="12" t="s">
        <v>181</v>
      </c>
      <c r="AS40" s="3">
        <v>16777216</v>
      </c>
      <c r="AT40" s="12" t="s">
        <v>181</v>
      </c>
      <c r="AU40" s="3">
        <v>16777216</v>
      </c>
    </row>
    <row r="41" spans="16:47" x14ac:dyDescent="0.2">
      <c r="AI41" s="12">
        <v>4096</v>
      </c>
      <c r="AJ41" s="12"/>
      <c r="AK41" s="12"/>
      <c r="AL41" s="12"/>
      <c r="AM41" s="12"/>
      <c r="AN41" s="12"/>
      <c r="AO41" s="12"/>
      <c r="AP41" s="12"/>
      <c r="AQ41" s="3"/>
      <c r="AR41" s="12"/>
      <c r="AS41" s="3"/>
      <c r="AT41" s="12"/>
      <c r="AU41" s="3"/>
    </row>
    <row r="42" spans="16:47" x14ac:dyDescent="0.2">
      <c r="AI42" s="27" t="s">
        <v>179</v>
      </c>
      <c r="AJ42" s="12"/>
      <c r="AK42" s="12"/>
      <c r="AL42" s="12">
        <v>1</v>
      </c>
      <c r="AM42" s="12"/>
      <c r="AN42" s="12" t="s">
        <v>182</v>
      </c>
      <c r="AO42" s="12">
        <v>4096000</v>
      </c>
      <c r="AP42" s="12" t="s">
        <v>182</v>
      </c>
      <c r="AQ42" s="3">
        <v>4096000</v>
      </c>
      <c r="AR42" s="12" t="s">
        <v>182</v>
      </c>
      <c r="AS42" s="3">
        <v>4096000</v>
      </c>
      <c r="AT42" s="12" t="s">
        <v>182</v>
      </c>
      <c r="AU42" s="3">
        <v>4096000</v>
      </c>
    </row>
    <row r="43" spans="16:47" ht="16" thickBot="1" x14ac:dyDescent="0.25">
      <c r="AI43" s="43">
        <v>1000</v>
      </c>
      <c r="AJ43" s="43"/>
      <c r="AK43" s="43"/>
      <c r="AL43" s="43"/>
      <c r="AM43" s="43"/>
      <c r="AN43" s="43"/>
      <c r="AO43" s="43"/>
      <c r="AP43" s="43"/>
      <c r="AQ43" s="44"/>
    </row>
    <row r="44" spans="16:47" x14ac:dyDescent="0.2">
      <c r="P44" s="37" t="s">
        <v>128</v>
      </c>
      <c r="Q44" s="38"/>
      <c r="R44" s="38"/>
      <c r="S44" s="38"/>
      <c r="T44" s="38"/>
      <c r="U44" s="46"/>
      <c r="V44" s="38"/>
      <c r="W44" s="38"/>
      <c r="X44" s="38"/>
      <c r="Y44" s="38"/>
      <c r="Z44" s="38"/>
      <c r="AA44" s="38"/>
      <c r="AB44" s="38"/>
      <c r="AC44" s="38"/>
      <c r="AD44" s="39"/>
      <c r="AQ44" s="2">
        <f>SUM(AQ4:AQ43)</f>
        <v>11077255168</v>
      </c>
      <c r="AR44" s="2"/>
      <c r="AS44" s="2">
        <v>10989196288</v>
      </c>
      <c r="AT44" s="2"/>
      <c r="AU44" s="2">
        <f>SUM(AU4:AU43)</f>
        <v>11077255168</v>
      </c>
    </row>
    <row r="45" spans="16:47" x14ac:dyDescent="0.2">
      <c r="P45" s="31" t="s">
        <v>130</v>
      </c>
      <c r="Q45" s="3" t="s">
        <v>131</v>
      </c>
      <c r="R45" s="3" t="s">
        <v>132</v>
      </c>
      <c r="S45" s="3" t="s">
        <v>133</v>
      </c>
      <c r="T45" s="3" t="s">
        <v>134</v>
      </c>
      <c r="U45" s="12" t="s">
        <v>135</v>
      </c>
      <c r="V45" s="3" t="s">
        <v>183</v>
      </c>
      <c r="W45" s="3"/>
      <c r="X45" s="3" t="s">
        <v>136</v>
      </c>
      <c r="Y45" s="3"/>
      <c r="Z45" s="3" t="s">
        <v>137</v>
      </c>
      <c r="AA45" s="3" t="s">
        <v>137</v>
      </c>
      <c r="AB45" s="3" t="s">
        <v>184</v>
      </c>
      <c r="AC45" s="3" t="s">
        <v>184</v>
      </c>
      <c r="AD45" s="3" t="s">
        <v>185</v>
      </c>
      <c r="AQ45" t="s">
        <v>186</v>
      </c>
    </row>
    <row r="46" spans="16:47" x14ac:dyDescent="0.2">
      <c r="P46" s="40" t="s">
        <v>187</v>
      </c>
      <c r="Q46" s="12"/>
      <c r="R46" s="12"/>
      <c r="S46" s="12"/>
      <c r="T46" s="12"/>
      <c r="U46" s="12"/>
      <c r="V46" s="12"/>
      <c r="W46" s="12"/>
      <c r="X46" s="12"/>
      <c r="Y46" s="12"/>
      <c r="Z46" s="12"/>
      <c r="AA46" s="12"/>
      <c r="AB46" s="12"/>
      <c r="AC46" s="12"/>
      <c r="AD46" s="12"/>
      <c r="AF46" t="s">
        <v>188</v>
      </c>
      <c r="AH46" t="s">
        <v>189</v>
      </c>
      <c r="AI46" t="s">
        <v>190</v>
      </c>
      <c r="AJ46" t="s">
        <v>191</v>
      </c>
      <c r="AK46" t="s">
        <v>192</v>
      </c>
      <c r="AL46">
        <v>0</v>
      </c>
      <c r="AQ46" t="s">
        <v>193</v>
      </c>
    </row>
    <row r="47" spans="16:47" x14ac:dyDescent="0.2">
      <c r="P47" s="40" t="s">
        <v>194</v>
      </c>
      <c r="Q47" s="12" t="s">
        <v>195</v>
      </c>
      <c r="R47" s="12">
        <v>96</v>
      </c>
      <c r="S47" s="12">
        <v>4</v>
      </c>
      <c r="T47" s="12"/>
      <c r="U47" s="12" t="s">
        <v>196</v>
      </c>
      <c r="V47" s="12" t="s">
        <v>197</v>
      </c>
      <c r="W47" s="12">
        <v>105415200</v>
      </c>
      <c r="X47" s="12" t="s">
        <v>198</v>
      </c>
      <c r="Y47" s="12">
        <v>70276800</v>
      </c>
      <c r="Z47" s="12" t="s">
        <v>197</v>
      </c>
      <c r="AA47" s="12">
        <v>105415200</v>
      </c>
      <c r="AB47" s="12" t="s">
        <v>199</v>
      </c>
      <c r="AC47" s="12">
        <v>105705600</v>
      </c>
      <c r="AD47" s="12">
        <v>105705600</v>
      </c>
      <c r="AF47" t="s">
        <v>200</v>
      </c>
      <c r="AH47" t="s">
        <v>189</v>
      </c>
      <c r="AI47" t="s">
        <v>190</v>
      </c>
      <c r="AJ47" t="s">
        <v>191</v>
      </c>
      <c r="AK47" t="s">
        <v>192</v>
      </c>
      <c r="AL47" s="28">
        <v>36928</v>
      </c>
      <c r="AQ47" t="s">
        <v>201</v>
      </c>
    </row>
    <row r="48" spans="16:47" x14ac:dyDescent="0.2">
      <c r="P48" s="40" t="s">
        <v>202</v>
      </c>
      <c r="Q48" s="12"/>
      <c r="R48" s="12"/>
      <c r="S48" s="12"/>
      <c r="T48" s="12"/>
      <c r="U48" s="12"/>
      <c r="V48" s="12"/>
      <c r="W48" s="12"/>
      <c r="X48" s="12"/>
      <c r="Y48" s="12"/>
      <c r="Z48" s="12"/>
      <c r="AA48" s="12"/>
      <c r="AB48" s="12"/>
      <c r="AC48" s="12"/>
      <c r="AD48" s="12"/>
      <c r="AF48" t="s">
        <v>203</v>
      </c>
      <c r="AH48" t="s">
        <v>189</v>
      </c>
      <c r="AI48" t="s">
        <v>190</v>
      </c>
      <c r="AJ48" t="s">
        <v>191</v>
      </c>
      <c r="AK48" t="s">
        <v>192</v>
      </c>
      <c r="AL48">
        <v>0</v>
      </c>
      <c r="AQ48" t="s">
        <v>204</v>
      </c>
    </row>
    <row r="49" spans="16:43" x14ac:dyDescent="0.2">
      <c r="P49" s="40" t="s">
        <v>205</v>
      </c>
      <c r="Q49" s="12" t="s">
        <v>206</v>
      </c>
      <c r="R49" s="12"/>
      <c r="S49" s="12">
        <v>2</v>
      </c>
      <c r="T49" s="12"/>
      <c r="U49" s="12"/>
      <c r="V49" s="12"/>
      <c r="W49" s="12"/>
      <c r="X49" s="12"/>
      <c r="Y49" s="12"/>
      <c r="Z49" s="12"/>
      <c r="AA49" s="12"/>
      <c r="AB49" s="12"/>
      <c r="AC49" s="12"/>
      <c r="AD49" s="12"/>
      <c r="AF49" t="s">
        <v>207</v>
      </c>
      <c r="AH49" t="s">
        <v>189</v>
      </c>
      <c r="AI49" t="s">
        <v>190</v>
      </c>
      <c r="AJ49" t="s">
        <v>208</v>
      </c>
      <c r="AK49" t="s">
        <v>209</v>
      </c>
      <c r="AL49">
        <v>0</v>
      </c>
      <c r="AQ49" t="s">
        <v>210</v>
      </c>
    </row>
    <row r="50" spans="16:43" x14ac:dyDescent="0.2">
      <c r="P50" s="40" t="s">
        <v>211</v>
      </c>
      <c r="Q50" s="12"/>
      <c r="R50" s="12"/>
      <c r="S50" s="12"/>
      <c r="T50" s="12"/>
      <c r="U50" s="12"/>
      <c r="V50" s="12"/>
      <c r="W50" s="12"/>
      <c r="X50" s="12"/>
      <c r="Y50" s="12"/>
      <c r="Z50" s="12"/>
      <c r="AA50" s="12"/>
      <c r="AB50" s="12"/>
      <c r="AC50" s="12"/>
      <c r="AD50" s="12"/>
      <c r="AF50" t="s">
        <v>212</v>
      </c>
      <c r="AH50" t="s">
        <v>189</v>
      </c>
      <c r="AI50" t="s">
        <v>213</v>
      </c>
      <c r="AJ50" t="s">
        <v>208</v>
      </c>
      <c r="AK50" t="s">
        <v>209</v>
      </c>
      <c r="AL50" s="28">
        <v>73856</v>
      </c>
      <c r="AQ50" t="s">
        <v>214</v>
      </c>
    </row>
    <row r="51" spans="16:43" x14ac:dyDescent="0.2">
      <c r="P51" s="40" t="s">
        <v>215</v>
      </c>
      <c r="Q51" s="12"/>
      <c r="R51" s="12"/>
      <c r="S51" s="12"/>
      <c r="T51" s="12"/>
      <c r="U51" s="12"/>
      <c r="V51" s="12"/>
      <c r="W51" s="12"/>
      <c r="X51" s="12"/>
      <c r="Y51" s="12"/>
      <c r="Z51" s="12"/>
      <c r="AA51" s="12"/>
      <c r="AB51" s="12"/>
      <c r="AC51" s="12"/>
      <c r="AD51" s="12"/>
      <c r="AF51" t="s">
        <v>216</v>
      </c>
      <c r="AH51" t="s">
        <v>189</v>
      </c>
      <c r="AI51" t="s">
        <v>213</v>
      </c>
      <c r="AJ51" t="s">
        <v>208</v>
      </c>
      <c r="AK51" t="s">
        <v>209</v>
      </c>
      <c r="AL51">
        <v>0</v>
      </c>
      <c r="AQ51" t="s">
        <v>217</v>
      </c>
    </row>
    <row r="52" spans="16:43" x14ac:dyDescent="0.2">
      <c r="P52" s="40" t="s">
        <v>218</v>
      </c>
      <c r="Q52" s="12" t="s">
        <v>219</v>
      </c>
      <c r="R52" s="12">
        <v>256</v>
      </c>
      <c r="S52" s="12">
        <v>1</v>
      </c>
      <c r="T52" s="12">
        <v>2</v>
      </c>
      <c r="U52" s="12" t="s">
        <v>220</v>
      </c>
      <c r="V52" s="12" t="s">
        <v>221</v>
      </c>
      <c r="W52" s="12">
        <v>447897600</v>
      </c>
      <c r="X52" s="12" t="s">
        <v>222</v>
      </c>
      <c r="Y52" s="12">
        <v>443232000</v>
      </c>
      <c r="Z52" s="12" t="s">
        <v>221</v>
      </c>
      <c r="AA52" s="12">
        <v>447897600</v>
      </c>
      <c r="AB52" s="12" t="s">
        <v>223</v>
      </c>
      <c r="AC52" s="12">
        <v>448084224</v>
      </c>
      <c r="AD52" s="12">
        <v>448084224</v>
      </c>
      <c r="AF52" t="s">
        <v>224</v>
      </c>
      <c r="AH52" t="s">
        <v>189</v>
      </c>
      <c r="AI52" t="s">
        <v>213</v>
      </c>
      <c r="AJ52" t="s">
        <v>208</v>
      </c>
      <c r="AK52" t="s">
        <v>209</v>
      </c>
      <c r="AL52" s="28">
        <v>147584</v>
      </c>
      <c r="AQ52" t="s">
        <v>225</v>
      </c>
    </row>
    <row r="53" spans="16:43" x14ac:dyDescent="0.2">
      <c r="P53" s="40" t="s">
        <v>226</v>
      </c>
      <c r="Q53" s="12"/>
      <c r="R53" s="12"/>
      <c r="S53" s="12"/>
      <c r="T53" s="12"/>
      <c r="U53" s="12"/>
      <c r="V53" s="12"/>
      <c r="W53" s="12"/>
      <c r="X53" s="12"/>
      <c r="Y53" s="12"/>
      <c r="Z53" s="12"/>
      <c r="AA53" s="12"/>
      <c r="AB53" s="12"/>
      <c r="AC53" s="12"/>
      <c r="AD53" s="12"/>
      <c r="AF53" t="s">
        <v>227</v>
      </c>
      <c r="AH53" t="s">
        <v>189</v>
      </c>
      <c r="AI53" t="s">
        <v>213</v>
      </c>
      <c r="AJ53" t="s">
        <v>208</v>
      </c>
      <c r="AK53" t="s">
        <v>209</v>
      </c>
      <c r="AL53">
        <v>0</v>
      </c>
      <c r="AQ53" t="s">
        <v>228</v>
      </c>
    </row>
    <row r="54" spans="16:43" x14ac:dyDescent="0.2">
      <c r="P54" s="40" t="s">
        <v>205</v>
      </c>
      <c r="Q54" s="12" t="s">
        <v>206</v>
      </c>
      <c r="R54" s="12"/>
      <c r="S54" s="12">
        <v>2</v>
      </c>
      <c r="T54" s="12"/>
      <c r="U54" s="12"/>
      <c r="V54" s="12"/>
      <c r="W54" s="12"/>
      <c r="X54" s="12"/>
      <c r="Y54" s="12"/>
      <c r="Z54" s="12"/>
      <c r="AA54" s="12"/>
      <c r="AB54" s="12"/>
      <c r="AC54" s="12"/>
      <c r="AD54" s="12"/>
      <c r="AF54" t="s">
        <v>229</v>
      </c>
      <c r="AH54" t="s">
        <v>189</v>
      </c>
      <c r="AI54" t="s">
        <v>213</v>
      </c>
      <c r="AJ54" t="s">
        <v>230</v>
      </c>
      <c r="AK54" t="s">
        <v>231</v>
      </c>
      <c r="AL54">
        <v>0</v>
      </c>
      <c r="AQ54" t="s">
        <v>232</v>
      </c>
    </row>
    <row r="55" spans="16:43" x14ac:dyDescent="0.2">
      <c r="P55" s="40" t="s">
        <v>233</v>
      </c>
      <c r="Q55" s="12"/>
      <c r="R55" s="12"/>
      <c r="S55" s="12"/>
      <c r="T55" s="12"/>
      <c r="U55" s="12"/>
      <c r="V55" s="12"/>
      <c r="W55" s="12"/>
      <c r="X55" s="12"/>
      <c r="Y55" s="12"/>
      <c r="Z55" s="12"/>
      <c r="AA55" s="12"/>
      <c r="AB55" s="12"/>
      <c r="AC55" s="12"/>
      <c r="AD55" s="12"/>
      <c r="AF55" t="s">
        <v>234</v>
      </c>
      <c r="AH55" t="s">
        <v>189</v>
      </c>
      <c r="AI55" t="s">
        <v>235</v>
      </c>
      <c r="AJ55" t="s">
        <v>230</v>
      </c>
      <c r="AK55" t="s">
        <v>231</v>
      </c>
      <c r="AL55" s="28">
        <v>295168</v>
      </c>
      <c r="AQ55" t="s">
        <v>236</v>
      </c>
    </row>
    <row r="56" spans="16:43" x14ac:dyDescent="0.2">
      <c r="P56" s="40" t="s">
        <v>215</v>
      </c>
      <c r="Q56" s="12"/>
      <c r="R56" s="12"/>
      <c r="S56" s="12"/>
      <c r="T56" s="12"/>
      <c r="U56" s="12"/>
      <c r="V56" s="12"/>
      <c r="W56" s="12"/>
      <c r="X56" s="12"/>
      <c r="Y56" s="12"/>
      <c r="Z56" s="12"/>
      <c r="AA56" s="12"/>
      <c r="AB56" s="12"/>
      <c r="AC56" s="12"/>
      <c r="AD56" s="12"/>
      <c r="AF56" t="s">
        <v>237</v>
      </c>
      <c r="AH56" t="s">
        <v>189</v>
      </c>
      <c r="AI56" t="s">
        <v>235</v>
      </c>
      <c r="AJ56" t="s">
        <v>230</v>
      </c>
      <c r="AK56" t="s">
        <v>231</v>
      </c>
      <c r="AL56">
        <v>0</v>
      </c>
      <c r="AQ56" t="s">
        <v>238</v>
      </c>
    </row>
    <row r="57" spans="16:43" x14ac:dyDescent="0.2">
      <c r="P57" s="40" t="s">
        <v>239</v>
      </c>
      <c r="Q57" s="12" t="s">
        <v>206</v>
      </c>
      <c r="R57" s="12">
        <v>384</v>
      </c>
      <c r="S57" s="12">
        <v>1</v>
      </c>
      <c r="T57" s="12">
        <v>1</v>
      </c>
      <c r="U57" s="12" t="s">
        <v>240</v>
      </c>
      <c r="V57" s="12" t="s">
        <v>241</v>
      </c>
      <c r="W57" s="12">
        <v>149520384</v>
      </c>
      <c r="X57" s="12" t="s">
        <v>242</v>
      </c>
      <c r="Y57" s="12">
        <v>148936320</v>
      </c>
      <c r="Z57" s="12" t="s">
        <v>241</v>
      </c>
      <c r="AA57" s="12">
        <v>149520384</v>
      </c>
      <c r="AB57" s="12" t="s">
        <v>243</v>
      </c>
      <c r="AC57" s="12">
        <v>149585280</v>
      </c>
      <c r="AD57" s="12">
        <v>149585280</v>
      </c>
      <c r="AF57" t="s">
        <v>244</v>
      </c>
      <c r="AH57" t="s">
        <v>189</v>
      </c>
      <c r="AI57" t="s">
        <v>235</v>
      </c>
      <c r="AJ57" t="s">
        <v>230</v>
      </c>
      <c r="AK57" t="s">
        <v>231</v>
      </c>
      <c r="AL57" s="28">
        <v>590080</v>
      </c>
      <c r="AQ57" t="s">
        <v>245</v>
      </c>
    </row>
    <row r="58" spans="16:43" x14ac:dyDescent="0.2">
      <c r="P58" s="40" t="s">
        <v>246</v>
      </c>
      <c r="Q58" s="12"/>
      <c r="R58" s="12"/>
      <c r="S58" s="12"/>
      <c r="T58" s="12"/>
      <c r="U58" s="12"/>
      <c r="V58" s="12"/>
      <c r="W58" s="12"/>
      <c r="X58" s="12"/>
      <c r="Y58" s="12"/>
      <c r="Z58" s="12"/>
      <c r="AA58" s="12"/>
      <c r="AB58" s="12"/>
      <c r="AC58" s="12"/>
      <c r="AD58" s="12"/>
      <c r="AF58" t="s">
        <v>247</v>
      </c>
      <c r="AH58" t="s">
        <v>189</v>
      </c>
      <c r="AI58" t="s">
        <v>235</v>
      </c>
      <c r="AJ58" t="s">
        <v>230</v>
      </c>
      <c r="AK58" t="s">
        <v>231</v>
      </c>
      <c r="AL58">
        <v>0</v>
      </c>
      <c r="AQ58" t="s">
        <v>248</v>
      </c>
    </row>
    <row r="59" spans="16:43" x14ac:dyDescent="0.2">
      <c r="P59" s="40" t="s">
        <v>249</v>
      </c>
      <c r="Q59" s="12" t="s">
        <v>206</v>
      </c>
      <c r="R59" s="12">
        <v>384</v>
      </c>
      <c r="S59" s="12">
        <v>1</v>
      </c>
      <c r="T59" s="12">
        <v>1</v>
      </c>
      <c r="U59" s="12" t="s">
        <v>250</v>
      </c>
      <c r="V59" s="12" t="s">
        <v>251</v>
      </c>
      <c r="W59" s="12">
        <v>224280576</v>
      </c>
      <c r="X59" s="12" t="s">
        <v>252</v>
      </c>
      <c r="Y59" s="12">
        <v>223696512</v>
      </c>
      <c r="Z59" s="12" t="s">
        <v>251</v>
      </c>
      <c r="AA59" s="12">
        <v>224280576</v>
      </c>
      <c r="AB59" s="12" t="s">
        <v>253</v>
      </c>
      <c r="AC59" s="12">
        <v>224345472</v>
      </c>
      <c r="AD59" s="12">
        <v>224345472</v>
      </c>
      <c r="AF59" t="s">
        <v>254</v>
      </c>
      <c r="AH59" t="s">
        <v>189</v>
      </c>
      <c r="AI59" t="s">
        <v>235</v>
      </c>
      <c r="AJ59" t="s">
        <v>230</v>
      </c>
      <c r="AK59" t="s">
        <v>231</v>
      </c>
      <c r="AL59" s="28">
        <v>590080</v>
      </c>
      <c r="AQ59" t="s">
        <v>255</v>
      </c>
    </row>
    <row r="60" spans="16:43" x14ac:dyDescent="0.2">
      <c r="P60" s="40" t="s">
        <v>246</v>
      </c>
      <c r="Q60" s="12"/>
      <c r="R60" s="12"/>
      <c r="S60" s="12"/>
      <c r="T60" s="12"/>
      <c r="U60" s="12"/>
      <c r="V60" s="12"/>
      <c r="W60" s="12"/>
      <c r="X60" s="12"/>
      <c r="Y60" s="12"/>
      <c r="Z60" s="12"/>
      <c r="AA60" s="12"/>
      <c r="AB60" s="12"/>
      <c r="AC60" s="12"/>
      <c r="AD60" s="12"/>
      <c r="AF60" t="s">
        <v>256</v>
      </c>
      <c r="AH60" t="s">
        <v>189</v>
      </c>
      <c r="AI60" t="s">
        <v>235</v>
      </c>
      <c r="AJ60" t="s">
        <v>230</v>
      </c>
      <c r="AK60" t="s">
        <v>231</v>
      </c>
      <c r="AL60">
        <v>0</v>
      </c>
      <c r="AQ60" t="s">
        <v>257</v>
      </c>
    </row>
    <row r="61" spans="16:43" x14ac:dyDescent="0.2">
      <c r="P61" s="40" t="s">
        <v>258</v>
      </c>
      <c r="Q61" s="12" t="s">
        <v>206</v>
      </c>
      <c r="R61" s="12">
        <v>256</v>
      </c>
      <c r="S61" s="12">
        <v>1</v>
      </c>
      <c r="T61" s="12">
        <v>1</v>
      </c>
      <c r="U61" s="12" t="s">
        <v>259</v>
      </c>
      <c r="V61" s="12" t="s">
        <v>260</v>
      </c>
      <c r="W61" s="12">
        <v>149520384</v>
      </c>
      <c r="X61" s="12" t="s">
        <v>261</v>
      </c>
      <c r="Y61" s="12">
        <v>149131008</v>
      </c>
      <c r="Z61" s="12" t="s">
        <v>260</v>
      </c>
      <c r="AA61" s="12">
        <v>149520384</v>
      </c>
      <c r="AB61" s="12" t="s">
        <v>262</v>
      </c>
      <c r="AC61" s="12">
        <v>149563648</v>
      </c>
      <c r="AD61" s="12">
        <v>149563648</v>
      </c>
      <c r="AF61" t="s">
        <v>263</v>
      </c>
      <c r="AH61" t="s">
        <v>189</v>
      </c>
      <c r="AI61" t="s">
        <v>235</v>
      </c>
      <c r="AJ61" t="s">
        <v>264</v>
      </c>
      <c r="AK61" t="s">
        <v>265</v>
      </c>
      <c r="AL61">
        <v>0</v>
      </c>
      <c r="AQ61" t="s">
        <v>266</v>
      </c>
    </row>
    <row r="62" spans="16:43" x14ac:dyDescent="0.2">
      <c r="P62" s="40" t="s">
        <v>233</v>
      </c>
      <c r="Q62" s="12"/>
      <c r="R62" s="12"/>
      <c r="S62" s="12"/>
      <c r="T62" s="12"/>
      <c r="U62" s="12"/>
      <c r="V62" s="12"/>
      <c r="W62" s="12"/>
      <c r="X62" s="12"/>
      <c r="Y62" s="12"/>
      <c r="Z62" s="12"/>
      <c r="AA62" s="12"/>
      <c r="AB62" s="12"/>
      <c r="AC62" s="12"/>
      <c r="AD62" s="12"/>
      <c r="AF62" t="s">
        <v>267</v>
      </c>
      <c r="AH62" t="s">
        <v>189</v>
      </c>
      <c r="AI62" t="s">
        <v>268</v>
      </c>
      <c r="AJ62" t="s">
        <v>264</v>
      </c>
      <c r="AK62" t="s">
        <v>265</v>
      </c>
      <c r="AL62" s="28">
        <v>1180160</v>
      </c>
      <c r="AQ62" t="s">
        <v>269</v>
      </c>
    </row>
    <row r="63" spans="16:43" x14ac:dyDescent="0.2">
      <c r="P63" s="40" t="s">
        <v>205</v>
      </c>
      <c r="Q63" s="12" t="s">
        <v>206</v>
      </c>
      <c r="R63" s="12"/>
      <c r="S63" s="12">
        <v>2</v>
      </c>
      <c r="T63" s="12"/>
      <c r="U63" s="12"/>
      <c r="V63" s="12"/>
      <c r="W63" s="12"/>
      <c r="X63" s="12"/>
      <c r="Y63" s="12"/>
      <c r="Z63" s="12"/>
      <c r="AA63" s="12"/>
      <c r="AB63" s="12"/>
      <c r="AC63" s="12"/>
      <c r="AD63" s="12"/>
      <c r="AF63" t="s">
        <v>270</v>
      </c>
      <c r="AH63" t="s">
        <v>189</v>
      </c>
      <c r="AI63" t="s">
        <v>268</v>
      </c>
      <c r="AJ63" t="s">
        <v>264</v>
      </c>
      <c r="AK63" t="s">
        <v>265</v>
      </c>
      <c r="AL63">
        <v>0</v>
      </c>
      <c r="AQ63" t="s">
        <v>271</v>
      </c>
    </row>
    <row r="64" spans="16:43" x14ac:dyDescent="0.2">
      <c r="P64" s="40" t="s">
        <v>272</v>
      </c>
      <c r="Q64" s="12"/>
      <c r="R64" s="12"/>
      <c r="S64" s="12"/>
      <c r="T64" s="12"/>
      <c r="U64" s="12"/>
      <c r="V64" s="12"/>
      <c r="W64" s="12"/>
      <c r="X64" s="12"/>
      <c r="Y64" s="12"/>
      <c r="Z64" s="12"/>
      <c r="AA64" s="12"/>
      <c r="AB64" s="12"/>
      <c r="AC64" s="12"/>
      <c r="AD64" s="12"/>
      <c r="AF64" t="s">
        <v>273</v>
      </c>
      <c r="AH64" t="s">
        <v>189</v>
      </c>
      <c r="AI64" t="s">
        <v>268</v>
      </c>
      <c r="AJ64" t="s">
        <v>264</v>
      </c>
      <c r="AK64" t="s">
        <v>265</v>
      </c>
      <c r="AL64" s="28">
        <v>2359808</v>
      </c>
      <c r="AQ64" t="s">
        <v>274</v>
      </c>
    </row>
    <row r="65" spans="16:43" x14ac:dyDescent="0.2">
      <c r="P65" s="40" t="s">
        <v>275</v>
      </c>
      <c r="Q65" s="12"/>
      <c r="R65" s="12"/>
      <c r="S65" s="12"/>
      <c r="T65" s="12"/>
      <c r="U65" s="12"/>
      <c r="V65" s="12"/>
      <c r="W65" s="12"/>
      <c r="X65" s="12"/>
      <c r="Y65" s="12"/>
      <c r="Z65" s="12"/>
      <c r="AA65" s="12"/>
      <c r="AB65" s="12"/>
      <c r="AC65" s="12"/>
      <c r="AD65" s="12"/>
      <c r="AF65" t="s">
        <v>276</v>
      </c>
      <c r="AH65" t="s">
        <v>189</v>
      </c>
      <c r="AI65" t="s">
        <v>268</v>
      </c>
      <c r="AJ65" t="s">
        <v>264</v>
      </c>
      <c r="AK65" t="s">
        <v>265</v>
      </c>
      <c r="AL65">
        <v>0</v>
      </c>
      <c r="AQ65" t="s">
        <v>277</v>
      </c>
    </row>
    <row r="66" spans="16:43" x14ac:dyDescent="0.2">
      <c r="P66" s="40" t="s">
        <v>278</v>
      </c>
      <c r="Q66" s="12"/>
      <c r="R66" s="12"/>
      <c r="S66" s="12"/>
      <c r="T66" s="12"/>
      <c r="U66" s="12" t="s">
        <v>279</v>
      </c>
      <c r="V66" s="12" t="s">
        <v>279</v>
      </c>
      <c r="W66" s="12">
        <v>37748736</v>
      </c>
      <c r="X66" s="12" t="s">
        <v>279</v>
      </c>
      <c r="Y66" s="12">
        <v>37748736</v>
      </c>
      <c r="Z66" s="12" t="s">
        <v>279</v>
      </c>
      <c r="AA66" s="12">
        <v>37748736</v>
      </c>
      <c r="AB66" s="12" t="s">
        <v>279</v>
      </c>
      <c r="AC66" s="12">
        <v>37748736</v>
      </c>
      <c r="AD66" s="12">
        <v>37748736</v>
      </c>
      <c r="AF66" t="s">
        <v>280</v>
      </c>
      <c r="AH66" t="s">
        <v>189</v>
      </c>
      <c r="AI66" t="s">
        <v>268</v>
      </c>
      <c r="AJ66" t="s">
        <v>264</v>
      </c>
      <c r="AK66" t="s">
        <v>265</v>
      </c>
      <c r="AL66" s="28">
        <v>2359808</v>
      </c>
      <c r="AQ66" t="s">
        <v>281</v>
      </c>
    </row>
    <row r="67" spans="16:43" x14ac:dyDescent="0.2">
      <c r="P67" s="40">
        <v>4096</v>
      </c>
      <c r="Q67" s="12"/>
      <c r="R67" s="12"/>
      <c r="S67" s="12"/>
      <c r="T67" s="12"/>
      <c r="U67" s="12"/>
      <c r="V67" s="12"/>
      <c r="W67" s="12"/>
      <c r="X67" s="12"/>
      <c r="Y67" s="12"/>
      <c r="Z67" s="12"/>
      <c r="AA67" s="12"/>
      <c r="AB67" s="12"/>
      <c r="AC67" s="12"/>
      <c r="AD67" s="12"/>
      <c r="AF67" t="s">
        <v>282</v>
      </c>
      <c r="AH67" t="s">
        <v>189</v>
      </c>
      <c r="AI67" t="s">
        <v>268</v>
      </c>
      <c r="AJ67" t="s">
        <v>264</v>
      </c>
      <c r="AK67" t="s">
        <v>265</v>
      </c>
      <c r="AL67">
        <v>0</v>
      </c>
      <c r="AQ67" t="s">
        <v>283</v>
      </c>
    </row>
    <row r="68" spans="16:43" x14ac:dyDescent="0.2">
      <c r="P68" s="40" t="s">
        <v>275</v>
      </c>
      <c r="Q68" s="12"/>
      <c r="R68" s="12"/>
      <c r="S68" s="12"/>
      <c r="T68" s="12"/>
      <c r="U68" s="12"/>
      <c r="V68" s="12"/>
      <c r="W68" s="12"/>
      <c r="X68" s="12"/>
      <c r="Y68" s="12"/>
      <c r="Z68" s="12"/>
      <c r="AA68" s="12"/>
      <c r="AB68" s="12"/>
      <c r="AC68" s="12"/>
      <c r="AD68" s="12"/>
      <c r="AF68" t="s">
        <v>284</v>
      </c>
      <c r="AH68" t="s">
        <v>189</v>
      </c>
      <c r="AI68" t="s">
        <v>268</v>
      </c>
      <c r="AJ68" t="s">
        <v>285</v>
      </c>
      <c r="AK68" t="s">
        <v>286</v>
      </c>
      <c r="AL68">
        <v>0</v>
      </c>
      <c r="AQ68" t="s">
        <v>287</v>
      </c>
    </row>
    <row r="69" spans="16:43" x14ac:dyDescent="0.2">
      <c r="P69" s="40" t="s">
        <v>288</v>
      </c>
      <c r="Q69" s="12"/>
      <c r="R69" s="12"/>
      <c r="S69" s="12"/>
      <c r="T69" s="12"/>
      <c r="U69" s="12" t="s">
        <v>289</v>
      </c>
      <c r="V69" s="12" t="s">
        <v>289</v>
      </c>
      <c r="W69" s="12">
        <v>16777216</v>
      </c>
      <c r="X69" s="12" t="s">
        <v>289</v>
      </c>
      <c r="Y69" s="12">
        <v>16777216</v>
      </c>
      <c r="Z69" s="12" t="s">
        <v>289</v>
      </c>
      <c r="AA69" s="12">
        <v>16777216</v>
      </c>
      <c r="AB69" s="12" t="s">
        <v>289</v>
      </c>
      <c r="AC69" s="12">
        <v>16777216</v>
      </c>
      <c r="AD69" s="12">
        <v>16777216</v>
      </c>
      <c r="AF69" t="s">
        <v>290</v>
      </c>
      <c r="AH69" t="s">
        <v>189</v>
      </c>
      <c r="AI69" t="s">
        <v>268</v>
      </c>
      <c r="AJ69" t="s">
        <v>285</v>
      </c>
      <c r="AK69" t="s">
        <v>286</v>
      </c>
      <c r="AL69" s="28">
        <v>2359808</v>
      </c>
      <c r="AQ69" t="s">
        <v>291</v>
      </c>
    </row>
    <row r="70" spans="16:43" x14ac:dyDescent="0.2">
      <c r="P70" s="40">
        <v>4096</v>
      </c>
      <c r="Q70" s="12"/>
      <c r="R70" s="12"/>
      <c r="S70" s="12"/>
      <c r="T70" s="12"/>
      <c r="U70" s="12"/>
      <c r="V70" s="12"/>
      <c r="W70" s="12"/>
      <c r="X70" s="12"/>
      <c r="Y70" s="12"/>
      <c r="Z70" s="12"/>
      <c r="AA70" s="12"/>
      <c r="AB70" s="12"/>
      <c r="AC70" s="12"/>
      <c r="AD70" s="12"/>
      <c r="AF70" t="s">
        <v>292</v>
      </c>
      <c r="AH70" t="s">
        <v>189</v>
      </c>
      <c r="AI70" t="s">
        <v>268</v>
      </c>
      <c r="AJ70" t="s">
        <v>285</v>
      </c>
      <c r="AK70" t="s">
        <v>286</v>
      </c>
      <c r="AL70">
        <v>0</v>
      </c>
      <c r="AQ70" t="s">
        <v>293</v>
      </c>
    </row>
    <row r="71" spans="16:43" x14ac:dyDescent="0.2">
      <c r="P71" s="40" t="s">
        <v>294</v>
      </c>
      <c r="Q71" s="12"/>
      <c r="R71" s="12"/>
      <c r="S71" s="12"/>
      <c r="T71" s="12"/>
      <c r="U71" s="12" t="s">
        <v>295</v>
      </c>
      <c r="V71" s="12" t="s">
        <v>295</v>
      </c>
      <c r="W71" s="12">
        <v>4096000</v>
      </c>
      <c r="X71" s="12" t="s">
        <v>295</v>
      </c>
      <c r="Y71" s="12">
        <v>4096000</v>
      </c>
      <c r="Z71" s="12" t="s">
        <v>295</v>
      </c>
      <c r="AA71" s="12">
        <v>4096000</v>
      </c>
      <c r="AB71" s="12" t="s">
        <v>295</v>
      </c>
      <c r="AC71" s="12">
        <v>4096000</v>
      </c>
      <c r="AD71" s="12">
        <v>4096000</v>
      </c>
      <c r="AF71" t="s">
        <v>296</v>
      </c>
      <c r="AH71" t="s">
        <v>189</v>
      </c>
      <c r="AI71" t="s">
        <v>268</v>
      </c>
      <c r="AJ71" t="s">
        <v>285</v>
      </c>
      <c r="AK71" t="s">
        <v>286</v>
      </c>
      <c r="AL71" s="28">
        <v>2359808</v>
      </c>
      <c r="AQ71" t="s">
        <v>297</v>
      </c>
    </row>
    <row r="72" spans="16:43" x14ac:dyDescent="0.2">
      <c r="P72" s="40" t="s">
        <v>298</v>
      </c>
      <c r="Q72" s="12"/>
      <c r="R72" s="12"/>
      <c r="S72" s="12"/>
      <c r="T72" s="12"/>
      <c r="U72" s="12"/>
      <c r="V72" s="12"/>
      <c r="W72" s="12"/>
      <c r="X72" s="12"/>
      <c r="Y72" s="12"/>
      <c r="Z72" s="12"/>
      <c r="AA72" s="12"/>
      <c r="AB72" s="12"/>
      <c r="AC72" s="12"/>
      <c r="AD72" s="12"/>
      <c r="AF72" t="s">
        <v>299</v>
      </c>
      <c r="AH72" t="s">
        <v>189</v>
      </c>
      <c r="AI72" t="s">
        <v>268</v>
      </c>
      <c r="AJ72" t="s">
        <v>285</v>
      </c>
      <c r="AK72" t="s">
        <v>286</v>
      </c>
      <c r="AL72">
        <v>0</v>
      </c>
      <c r="AQ72" t="s">
        <v>300</v>
      </c>
    </row>
    <row r="73" spans="16:43" x14ac:dyDescent="0.2">
      <c r="P73" s="40" t="s">
        <v>301</v>
      </c>
      <c r="Q73" s="12"/>
      <c r="R73" s="12"/>
      <c r="S73" s="12"/>
      <c r="T73" s="12"/>
      <c r="U73" s="12" t="s">
        <v>302</v>
      </c>
      <c r="V73" s="12" t="s">
        <v>303</v>
      </c>
      <c r="W73" s="12"/>
      <c r="X73" s="12" t="s">
        <v>303</v>
      </c>
      <c r="Y73" s="12"/>
      <c r="Z73" s="12" t="s">
        <v>303</v>
      </c>
      <c r="AA73" s="12"/>
      <c r="AB73" s="12" t="s">
        <v>303</v>
      </c>
      <c r="AC73" s="12"/>
      <c r="AD73" s="12"/>
      <c r="AF73" t="s">
        <v>304</v>
      </c>
      <c r="AH73" t="s">
        <v>189</v>
      </c>
      <c r="AI73" t="s">
        <v>268</v>
      </c>
      <c r="AJ73" t="s">
        <v>285</v>
      </c>
      <c r="AK73" t="s">
        <v>286</v>
      </c>
      <c r="AL73" s="28">
        <v>2359808</v>
      </c>
      <c r="AQ73" t="s">
        <v>305</v>
      </c>
    </row>
    <row r="74" spans="16:43" ht="16" thickBot="1" x14ac:dyDescent="0.25">
      <c r="P74" s="41" t="s">
        <v>306</v>
      </c>
      <c r="Q74" s="42"/>
      <c r="R74" s="42"/>
      <c r="S74" s="42"/>
      <c r="T74" s="42"/>
      <c r="U74" s="42" t="s">
        <v>307</v>
      </c>
      <c r="V74" s="42" t="s">
        <v>308</v>
      </c>
      <c r="W74" s="42">
        <v>1135256096</v>
      </c>
      <c r="X74" s="42" t="s">
        <v>308</v>
      </c>
      <c r="Y74" s="42">
        <f>SUM(Y47:Y73)</f>
        <v>1093894592</v>
      </c>
      <c r="Z74" s="42" t="s">
        <v>308</v>
      </c>
      <c r="AA74" s="42">
        <v>1135256096</v>
      </c>
      <c r="AB74" s="42" t="s">
        <v>308</v>
      </c>
      <c r="AC74" s="12">
        <f>SUM(AC47:AC73)</f>
        <v>1135906176</v>
      </c>
      <c r="AD74" s="12">
        <f>SUM(AD47:AD73)</f>
        <v>1135906176</v>
      </c>
      <c r="AF74" t="s">
        <v>309</v>
      </c>
      <c r="AH74" t="s">
        <v>189</v>
      </c>
      <c r="AI74" t="s">
        <v>268</v>
      </c>
      <c r="AJ74" t="s">
        <v>285</v>
      </c>
      <c r="AK74" t="s">
        <v>286</v>
      </c>
      <c r="AL74">
        <v>0</v>
      </c>
      <c r="AQ74" t="s">
        <v>310</v>
      </c>
    </row>
    <row r="75" spans="16:43" x14ac:dyDescent="0.2">
      <c r="AF75" t="s">
        <v>311</v>
      </c>
      <c r="AH75" t="s">
        <v>189</v>
      </c>
      <c r="AI75" t="s">
        <v>268</v>
      </c>
      <c r="AJ75" t="s">
        <v>312</v>
      </c>
      <c r="AK75" t="s">
        <v>313</v>
      </c>
      <c r="AL75">
        <v>0</v>
      </c>
      <c r="AQ75" t="s">
        <v>314</v>
      </c>
    </row>
    <row r="76" spans="16:43" x14ac:dyDescent="0.2">
      <c r="AF76" t="s">
        <v>189</v>
      </c>
      <c r="AH76" t="s">
        <v>268</v>
      </c>
      <c r="AI76" t="s">
        <v>312</v>
      </c>
      <c r="AJ76" t="s">
        <v>313</v>
      </c>
      <c r="AL76">
        <v>0</v>
      </c>
      <c r="AQ76" t="s">
        <v>315</v>
      </c>
    </row>
    <row r="77" spans="16:43" x14ac:dyDescent="0.2">
      <c r="AF77" t="s">
        <v>316</v>
      </c>
      <c r="AH77" t="s">
        <v>189</v>
      </c>
      <c r="AI77" t="s">
        <v>317</v>
      </c>
      <c r="AL77" s="28">
        <v>102764544</v>
      </c>
      <c r="AQ77" t="s">
        <v>318</v>
      </c>
    </row>
    <row r="78" spans="16:43" x14ac:dyDescent="0.2">
      <c r="X78">
        <v>1035272640</v>
      </c>
      <c r="Y78">
        <v>0.94640987127213105</v>
      </c>
      <c r="AF78" t="s">
        <v>319</v>
      </c>
      <c r="AH78" t="s">
        <v>189</v>
      </c>
      <c r="AI78" t="s">
        <v>317</v>
      </c>
      <c r="AL78">
        <v>0</v>
      </c>
      <c r="AQ78" t="s">
        <v>320</v>
      </c>
    </row>
    <row r="79" spans="16:43" x14ac:dyDescent="0.2">
      <c r="X79">
        <v>58621952</v>
      </c>
      <c r="Y79">
        <v>5.3590128727869203E-2</v>
      </c>
    </row>
    <row r="80" spans="16:43" x14ac:dyDescent="0.2">
      <c r="AF80" t="s">
        <v>321</v>
      </c>
      <c r="AH80" t="s">
        <v>189</v>
      </c>
      <c r="AI80" t="s">
        <v>317</v>
      </c>
      <c r="AL80" s="28">
        <v>16781312</v>
      </c>
      <c r="AQ80" t="s">
        <v>322</v>
      </c>
    </row>
    <row r="81" spans="9:43" ht="16" thickBot="1" x14ac:dyDescent="0.25">
      <c r="AF81" t="s">
        <v>323</v>
      </c>
      <c r="AH81" t="s">
        <v>189</v>
      </c>
      <c r="AI81" t="s">
        <v>317</v>
      </c>
      <c r="AL81">
        <v>0</v>
      </c>
      <c r="AQ81" t="s">
        <v>201</v>
      </c>
    </row>
    <row r="82" spans="9:43" x14ac:dyDescent="0.2">
      <c r="V82" s="127" t="s">
        <v>118</v>
      </c>
      <c r="W82" s="128"/>
      <c r="X82" s="128" t="s">
        <v>136</v>
      </c>
      <c r="Y82" s="128"/>
      <c r="Z82" s="128" t="s">
        <v>43</v>
      </c>
      <c r="AA82" s="129"/>
    </row>
    <row r="83" spans="9:43" x14ac:dyDescent="0.2">
      <c r="V83" s="31"/>
      <c r="W83" s="3" t="s">
        <v>324</v>
      </c>
      <c r="X83" s="3"/>
      <c r="Y83" s="3" t="s">
        <v>324</v>
      </c>
      <c r="Z83" s="3"/>
      <c r="AA83" s="32" t="s">
        <v>324</v>
      </c>
      <c r="AF83" t="s">
        <v>325</v>
      </c>
      <c r="AH83" t="s">
        <v>189</v>
      </c>
      <c r="AI83" t="s">
        <v>326</v>
      </c>
      <c r="AL83" s="28">
        <v>4097000</v>
      </c>
      <c r="AQ83" t="s">
        <v>327</v>
      </c>
    </row>
    <row r="84" spans="9:43" x14ac:dyDescent="0.2">
      <c r="V84" s="31" t="s">
        <v>328</v>
      </c>
      <c r="W84" s="3">
        <v>94.836235435638656</v>
      </c>
      <c r="X84" s="3" t="s">
        <v>329</v>
      </c>
      <c r="Y84" s="3">
        <v>94.640987127213108</v>
      </c>
      <c r="Z84" s="3" t="s">
        <v>328</v>
      </c>
      <c r="AA84" s="32">
        <v>94.836235435638656</v>
      </c>
      <c r="AL84" s="29">
        <f>SUM(AL44:AL83)</f>
        <v>138355752</v>
      </c>
      <c r="AQ84" t="s">
        <v>330</v>
      </c>
    </row>
    <row r="85" spans="9:43" ht="16" thickBot="1" x14ac:dyDescent="0.25">
      <c r="V85" s="33" t="s">
        <v>331</v>
      </c>
      <c r="W85" s="34">
        <v>5.1637645643613439</v>
      </c>
      <c r="X85" s="34" t="s">
        <v>332</v>
      </c>
      <c r="Y85" s="34">
        <v>5.35901287278692</v>
      </c>
      <c r="Z85" s="34" t="s">
        <v>331</v>
      </c>
      <c r="AA85" s="35">
        <v>5.1637645643613439</v>
      </c>
      <c r="AQ85" t="s">
        <v>333</v>
      </c>
    </row>
    <row r="86" spans="9:43" x14ac:dyDescent="0.2">
      <c r="AQ86" t="s">
        <v>334</v>
      </c>
    </row>
    <row r="87" spans="9:43" x14ac:dyDescent="0.2">
      <c r="I87" t="s">
        <v>335</v>
      </c>
    </row>
    <row r="95" spans="9:43" x14ac:dyDescent="0.2">
      <c r="V95" s="11"/>
      <c r="W95" s="11"/>
      <c r="X95" s="11"/>
      <c r="Y95" s="11"/>
      <c r="Z95" s="130"/>
      <c r="AA95" s="130"/>
      <c r="AB95" s="11"/>
      <c r="AC95" s="11"/>
      <c r="AD95" s="11"/>
      <c r="AE95" s="11"/>
      <c r="AF95" s="11"/>
      <c r="AG95" s="11"/>
    </row>
    <row r="96" spans="9:43" x14ac:dyDescent="0.2">
      <c r="V96" s="11"/>
      <c r="W96" s="11"/>
      <c r="Y96" s="11"/>
      <c r="Z96" s="11"/>
      <c r="AA96" s="11"/>
      <c r="AB96" s="11"/>
      <c r="AF96" s="11"/>
    </row>
    <row r="97" spans="16:32" x14ac:dyDescent="0.2">
      <c r="U97" s="45"/>
      <c r="V97" s="11"/>
      <c r="W97" s="11"/>
      <c r="X97" s="11"/>
      <c r="Y97" s="11"/>
      <c r="Z97" s="11"/>
      <c r="AA97" s="11"/>
      <c r="AB97" s="11"/>
      <c r="AD97" s="11"/>
      <c r="AF97" s="11"/>
    </row>
    <row r="98" spans="16:32" x14ac:dyDescent="0.2">
      <c r="P98" t="s">
        <v>28</v>
      </c>
      <c r="R98" t="s">
        <v>336</v>
      </c>
      <c r="S98">
        <v>16</v>
      </c>
      <c r="T98">
        <v>1</v>
      </c>
      <c r="U98">
        <v>28</v>
      </c>
      <c r="V98">
        <v>28</v>
      </c>
      <c r="W98" s="11"/>
      <c r="X98" s="11"/>
      <c r="Y98" s="11"/>
      <c r="Z98" s="11"/>
      <c r="AA98" s="11"/>
      <c r="AB98" s="11"/>
      <c r="AD98" s="11"/>
      <c r="AF98" s="11"/>
    </row>
    <row r="99" spans="16:32" ht="16" x14ac:dyDescent="0.2">
      <c r="P99" s="49" t="s">
        <v>337</v>
      </c>
      <c r="R99" t="s">
        <v>338</v>
      </c>
      <c r="S99">
        <v>16</v>
      </c>
      <c r="T99">
        <v>4</v>
      </c>
      <c r="U99">
        <v>28</v>
      </c>
      <c r="V99">
        <v>28</v>
      </c>
      <c r="W99" s="11"/>
      <c r="X99" s="11"/>
      <c r="Y99" s="11"/>
      <c r="Z99" s="11"/>
      <c r="AA99" s="11"/>
      <c r="AB99" s="11"/>
      <c r="AD99" s="11"/>
      <c r="AF99" s="11"/>
    </row>
    <row r="100" spans="16:32" ht="16" x14ac:dyDescent="0.2">
      <c r="P100" s="49" t="s">
        <v>339</v>
      </c>
      <c r="R100" t="s">
        <v>340</v>
      </c>
      <c r="S100">
        <v>16</v>
      </c>
      <c r="T100">
        <v>4</v>
      </c>
      <c r="U100">
        <v>14</v>
      </c>
      <c r="V100">
        <v>14</v>
      </c>
      <c r="W100" s="11"/>
      <c r="X100" s="11"/>
      <c r="Y100" s="11"/>
    </row>
    <row r="101" spans="16:32" ht="16" x14ac:dyDescent="0.2">
      <c r="P101" s="49" t="s">
        <v>341</v>
      </c>
      <c r="R101" t="s">
        <v>342</v>
      </c>
      <c r="S101">
        <v>16</v>
      </c>
      <c r="T101">
        <v>784</v>
      </c>
      <c r="U101"/>
      <c r="W101" s="11"/>
      <c r="X101" s="11"/>
      <c r="Y101" s="11"/>
      <c r="Z101" s="11"/>
      <c r="AA101" s="11"/>
      <c r="AB101" s="11"/>
      <c r="AD101" s="11"/>
      <c r="AF101" s="11"/>
    </row>
    <row r="102" spans="16:32" ht="16" x14ac:dyDescent="0.2">
      <c r="P102" s="49" t="s">
        <v>343</v>
      </c>
      <c r="R102" t="s">
        <v>344</v>
      </c>
      <c r="S102">
        <v>16</v>
      </c>
      <c r="T102">
        <v>70</v>
      </c>
      <c r="U102"/>
      <c r="W102" s="11"/>
      <c r="X102" s="11"/>
      <c r="Y102" s="11"/>
      <c r="Z102" s="11"/>
      <c r="AA102" s="11"/>
      <c r="AB102" s="11"/>
      <c r="AD102" s="11"/>
      <c r="AF102" s="11"/>
    </row>
    <row r="103" spans="16:32" ht="16" x14ac:dyDescent="0.2">
      <c r="P103" s="49" t="s">
        <v>345</v>
      </c>
      <c r="R103" t="s">
        <v>346</v>
      </c>
      <c r="S103">
        <v>16</v>
      </c>
      <c r="T103">
        <v>70</v>
      </c>
      <c r="U103"/>
      <c r="W103" s="11"/>
      <c r="X103" s="11"/>
      <c r="Y103" s="11"/>
      <c r="Z103" s="11"/>
      <c r="AA103" s="11"/>
      <c r="AB103" s="11"/>
      <c r="AD103" s="11"/>
      <c r="AF103" s="11"/>
    </row>
    <row r="104" spans="16:32" ht="16" x14ac:dyDescent="0.2">
      <c r="P104" s="49" t="s">
        <v>339</v>
      </c>
      <c r="R104" s="50" t="s">
        <v>347</v>
      </c>
      <c r="S104" s="50">
        <v>70</v>
      </c>
      <c r="T104" s="50">
        <v>70</v>
      </c>
      <c r="U104"/>
      <c r="W104" s="11"/>
      <c r="X104" s="11"/>
      <c r="Y104" s="11"/>
      <c r="Z104" s="11"/>
      <c r="AA104" s="11"/>
      <c r="AB104" s="11"/>
      <c r="AD104" s="11"/>
      <c r="AF104" s="11"/>
    </row>
    <row r="105" spans="16:32" ht="16" x14ac:dyDescent="0.2">
      <c r="P105" s="49" t="s">
        <v>348</v>
      </c>
      <c r="R105" t="s">
        <v>349</v>
      </c>
      <c r="S105">
        <v>16</v>
      </c>
      <c r="T105">
        <v>10</v>
      </c>
      <c r="U105"/>
      <c r="W105" s="11"/>
      <c r="X105" s="11"/>
      <c r="Y105" s="11"/>
      <c r="Z105" s="11"/>
      <c r="AA105" s="11"/>
      <c r="AB105" s="11"/>
      <c r="AD105" s="11"/>
      <c r="AF105" s="11"/>
    </row>
    <row r="106" spans="16:32" ht="16" x14ac:dyDescent="0.2">
      <c r="P106" s="49" t="s">
        <v>339</v>
      </c>
      <c r="R106" t="s">
        <v>350</v>
      </c>
      <c r="S106">
        <v>10</v>
      </c>
      <c r="T106">
        <v>70</v>
      </c>
      <c r="U106"/>
      <c r="W106" s="11"/>
      <c r="X106" s="11"/>
      <c r="Y106" s="11"/>
      <c r="Z106" s="11"/>
      <c r="AA106" s="11"/>
      <c r="AB106" s="11"/>
      <c r="AD106" s="11"/>
      <c r="AF106" s="11"/>
    </row>
    <row r="107" spans="16:32" ht="16" x14ac:dyDescent="0.2">
      <c r="P107" s="49" t="s">
        <v>351</v>
      </c>
      <c r="U107" s="45"/>
      <c r="V107" s="11"/>
      <c r="W107" s="11"/>
      <c r="X107" s="11"/>
      <c r="Y107" s="11"/>
      <c r="Z107" s="11"/>
      <c r="AA107" s="11"/>
      <c r="AB107" s="11"/>
      <c r="AD107" s="11"/>
      <c r="AF107" s="11"/>
    </row>
    <row r="108" spans="16:32" ht="16" x14ac:dyDescent="0.2">
      <c r="P108" s="49" t="s">
        <v>339</v>
      </c>
      <c r="V108" s="11"/>
      <c r="W108" s="11"/>
      <c r="X108" s="11"/>
      <c r="Y108" s="11"/>
      <c r="Z108" s="11"/>
      <c r="AA108" s="11"/>
      <c r="AB108" s="11"/>
      <c r="AD108" s="11"/>
      <c r="AF108" s="11"/>
    </row>
    <row r="109" spans="16:32" ht="16" x14ac:dyDescent="0.2">
      <c r="P109" s="49" t="s">
        <v>352</v>
      </c>
      <c r="U109" s="45"/>
      <c r="V109" s="11"/>
      <c r="W109" s="11"/>
      <c r="X109" s="11"/>
      <c r="Y109" s="11"/>
      <c r="Z109" s="11"/>
      <c r="AA109" s="11"/>
      <c r="AB109" s="11"/>
      <c r="AD109" s="11"/>
      <c r="AF109" s="11"/>
    </row>
    <row r="110" spans="16:32" ht="16" x14ac:dyDescent="0.2">
      <c r="P110" s="49" t="s">
        <v>339</v>
      </c>
      <c r="V110" s="11"/>
      <c r="W110" s="11"/>
      <c r="X110" s="11"/>
      <c r="Y110" s="11"/>
      <c r="Z110" s="11"/>
      <c r="AA110" s="11"/>
      <c r="AB110" s="11"/>
      <c r="AD110" s="11"/>
      <c r="AF110" s="11"/>
    </row>
    <row r="111" spans="16:32" ht="16" x14ac:dyDescent="0.2">
      <c r="P111" s="49" t="s">
        <v>353</v>
      </c>
      <c r="U111" s="45"/>
      <c r="V111" s="11"/>
      <c r="W111" s="11"/>
      <c r="X111" s="11"/>
      <c r="Y111" s="11"/>
      <c r="Z111" s="11"/>
      <c r="AA111" s="11"/>
      <c r="AB111" s="11"/>
      <c r="AD111" s="11"/>
      <c r="AF111" s="11"/>
    </row>
    <row r="112" spans="16:32" ht="16" x14ac:dyDescent="0.2">
      <c r="P112" s="49" t="s">
        <v>339</v>
      </c>
      <c r="V112" s="11"/>
      <c r="W112" s="11"/>
      <c r="X112" s="11"/>
      <c r="Y112" s="11"/>
      <c r="Z112" s="11"/>
      <c r="AA112" s="11"/>
      <c r="AB112" s="11"/>
      <c r="AD112" s="11"/>
      <c r="AF112" s="11"/>
    </row>
    <row r="113" spans="16:32" ht="16" x14ac:dyDescent="0.2">
      <c r="P113" s="49" t="s">
        <v>354</v>
      </c>
      <c r="U113" s="45"/>
      <c r="V113" s="11"/>
      <c r="W113" s="11"/>
      <c r="X113" s="11"/>
      <c r="Y113" s="11"/>
      <c r="Z113" s="11"/>
      <c r="AA113" s="11"/>
      <c r="AB113" s="11"/>
      <c r="AD113" s="11"/>
      <c r="AF113" s="11"/>
    </row>
    <row r="114" spans="16:32" ht="16" x14ac:dyDescent="0.2">
      <c r="P114" s="49" t="s">
        <v>339</v>
      </c>
      <c r="V114" s="11"/>
      <c r="W114" s="11"/>
      <c r="X114" s="11"/>
      <c r="Y114" s="11"/>
      <c r="Z114" s="11"/>
      <c r="AA114" s="11"/>
      <c r="AB114" s="11"/>
      <c r="AD114" s="11"/>
      <c r="AF114" s="11"/>
    </row>
    <row r="115" spans="16:32" ht="16" x14ac:dyDescent="0.2">
      <c r="P115" s="49" t="s">
        <v>355</v>
      </c>
      <c r="U115" s="45"/>
      <c r="V115" s="11"/>
      <c r="W115" s="11"/>
      <c r="X115" s="11"/>
      <c r="Y115" s="11"/>
      <c r="Z115" s="11"/>
      <c r="AA115" s="11"/>
      <c r="AB115" s="11"/>
      <c r="AD115" s="11"/>
      <c r="AF115" s="11"/>
    </row>
    <row r="116" spans="16:32" ht="16" x14ac:dyDescent="0.2">
      <c r="P116" s="49" t="s">
        <v>339</v>
      </c>
      <c r="V116" s="11"/>
      <c r="W116" s="11"/>
      <c r="X116" s="11"/>
      <c r="Y116" s="11"/>
      <c r="Z116" s="11"/>
      <c r="AA116" s="11"/>
      <c r="AB116" s="11"/>
      <c r="AD116" s="11"/>
      <c r="AF116" s="11"/>
    </row>
    <row r="117" spans="16:32" ht="16" x14ac:dyDescent="0.2">
      <c r="P117" s="49" t="s">
        <v>356</v>
      </c>
      <c r="U117" s="45"/>
      <c r="V117" s="11"/>
      <c r="W117" s="11"/>
      <c r="X117" s="11"/>
      <c r="Y117" s="11"/>
      <c r="Z117" s="11"/>
      <c r="AA117" s="11"/>
      <c r="AB117" s="11"/>
      <c r="AD117" s="11"/>
      <c r="AF117" s="11"/>
    </row>
    <row r="118" spans="16:32" ht="16" x14ac:dyDescent="0.2">
      <c r="P118" s="49" t="s">
        <v>343</v>
      </c>
      <c r="V118" s="11"/>
      <c r="W118" s="11"/>
      <c r="X118" s="11"/>
      <c r="Y118" s="11"/>
      <c r="Z118" s="11"/>
      <c r="AA118" s="11"/>
      <c r="AB118" s="11"/>
      <c r="AD118" s="11"/>
      <c r="AF118" s="11"/>
    </row>
    <row r="119" spans="16:32" ht="16" x14ac:dyDescent="0.2">
      <c r="P119" s="49" t="s">
        <v>357</v>
      </c>
      <c r="U119" s="45"/>
      <c r="V119" s="11"/>
      <c r="W119" s="11"/>
      <c r="X119" s="11"/>
      <c r="Y119" s="11"/>
      <c r="Z119" s="11"/>
      <c r="AA119" s="11"/>
      <c r="AB119" s="11"/>
      <c r="AD119" s="11"/>
      <c r="AF119" s="11"/>
    </row>
    <row r="120" spans="16:32" ht="16" x14ac:dyDescent="0.2">
      <c r="P120" s="49" t="s">
        <v>358</v>
      </c>
      <c r="V120" s="11"/>
      <c r="W120" s="11"/>
      <c r="X120" s="11"/>
      <c r="Y120" s="11"/>
      <c r="Z120" s="11"/>
      <c r="AA120" s="11"/>
      <c r="AB120" s="11"/>
      <c r="AD120" s="11"/>
      <c r="AF120" s="11"/>
    </row>
    <row r="121" spans="16:32" ht="16" x14ac:dyDescent="0.2">
      <c r="P121" s="49" t="s">
        <v>359</v>
      </c>
      <c r="U121" s="45"/>
      <c r="V121" s="11"/>
      <c r="W121" s="11"/>
      <c r="X121" s="11"/>
      <c r="Y121" s="11"/>
      <c r="Z121" s="11"/>
      <c r="AA121" s="11"/>
      <c r="AB121" s="11"/>
      <c r="AD121" s="11"/>
      <c r="AF121" s="11"/>
    </row>
    <row r="122" spans="16:32" ht="16" x14ac:dyDescent="0.2">
      <c r="P122" s="49" t="s">
        <v>339</v>
      </c>
      <c r="V122" s="11"/>
      <c r="W122" s="11"/>
      <c r="X122" s="11"/>
      <c r="Y122" s="11"/>
      <c r="Z122" s="11"/>
      <c r="AA122" s="11"/>
      <c r="AB122" s="11"/>
      <c r="AD122" s="11"/>
      <c r="AF122" s="11"/>
    </row>
    <row r="123" spans="16:32" ht="16" x14ac:dyDescent="0.2">
      <c r="P123" s="49"/>
      <c r="U123" s="45"/>
      <c r="V123" s="11"/>
      <c r="W123" s="11"/>
      <c r="X123" s="11"/>
      <c r="Y123" s="11"/>
      <c r="Z123" s="11"/>
      <c r="AA123" s="11"/>
      <c r="AB123" s="11"/>
      <c r="AD123" s="11"/>
      <c r="AF123" s="11"/>
    </row>
    <row r="124" spans="16:32" ht="16" x14ac:dyDescent="0.2">
      <c r="P124" s="49" t="s">
        <v>28</v>
      </c>
      <c r="V124" s="11"/>
      <c r="W124" s="11"/>
      <c r="X124" s="11"/>
      <c r="Y124" s="11"/>
      <c r="Z124" s="11"/>
      <c r="AA124" s="11"/>
      <c r="AB124" s="11"/>
      <c r="AD124" s="11"/>
      <c r="AF124" s="11"/>
    </row>
    <row r="125" spans="16:32" x14ac:dyDescent="0.2">
      <c r="P125" t="s">
        <v>360</v>
      </c>
      <c r="Q125">
        <v>60408</v>
      </c>
      <c r="U125" s="45"/>
      <c r="V125" s="11"/>
      <c r="W125" s="11"/>
      <c r="X125" s="11"/>
      <c r="Y125" s="11"/>
      <c r="Z125" s="11"/>
      <c r="AA125" s="11"/>
      <c r="AB125" s="11"/>
      <c r="AD125" s="11"/>
      <c r="AF125" s="11"/>
    </row>
    <row r="126" spans="16:32" x14ac:dyDescent="0.2">
      <c r="P126" t="s">
        <v>361</v>
      </c>
      <c r="Q126">
        <v>3136</v>
      </c>
      <c r="V126" s="11"/>
      <c r="W126" s="11"/>
      <c r="X126" s="11"/>
      <c r="Y126" s="11"/>
      <c r="Z126" s="11"/>
      <c r="AA126" s="11"/>
      <c r="AB126" s="11"/>
      <c r="AD126" s="11"/>
      <c r="AF126" s="11"/>
    </row>
    <row r="127" spans="16:32" x14ac:dyDescent="0.2">
      <c r="P127" t="s">
        <v>362</v>
      </c>
      <c r="Q127">
        <v>784</v>
      </c>
      <c r="U127" s="45"/>
      <c r="V127" s="11"/>
      <c r="W127" s="11"/>
      <c r="X127" s="11"/>
      <c r="Y127" s="11"/>
      <c r="Z127" s="11"/>
      <c r="AA127" s="11"/>
      <c r="AB127" s="11"/>
      <c r="AD127" s="11"/>
      <c r="AF127" s="11"/>
    </row>
    <row r="128" spans="16:32" x14ac:dyDescent="0.2">
      <c r="P128" t="s">
        <v>363</v>
      </c>
      <c r="Q128">
        <v>784</v>
      </c>
      <c r="V128" s="11"/>
      <c r="W128" s="11"/>
      <c r="X128" s="11"/>
      <c r="Y128" s="11"/>
      <c r="Z128" s="11"/>
      <c r="AA128" s="11"/>
      <c r="AB128" s="11"/>
      <c r="AD128" s="11"/>
      <c r="AF128" s="11"/>
    </row>
    <row r="129" spans="16:33" x14ac:dyDescent="0.2">
      <c r="P129" t="s">
        <v>364</v>
      </c>
      <c r="Q129">
        <v>3136</v>
      </c>
      <c r="U129" s="45"/>
      <c r="V129" s="11"/>
      <c r="W129" s="11"/>
      <c r="X129" s="11"/>
      <c r="Y129" s="11"/>
      <c r="Z129" s="11"/>
      <c r="AA129" s="11"/>
      <c r="AB129" s="11"/>
      <c r="AD129" s="11"/>
      <c r="AF129" s="11"/>
    </row>
    <row r="130" spans="16:33" x14ac:dyDescent="0.2">
      <c r="V130" s="11"/>
      <c r="W130" s="11"/>
      <c r="X130" s="11"/>
      <c r="Y130" s="11"/>
      <c r="Z130" s="11"/>
      <c r="AA130" s="11"/>
      <c r="AB130" s="11"/>
      <c r="AD130" s="11"/>
      <c r="AF130" s="11"/>
    </row>
    <row r="131" spans="16:33" x14ac:dyDescent="0.2">
      <c r="U131" s="45"/>
      <c r="V131" s="11"/>
      <c r="W131" s="11"/>
      <c r="X131" s="11"/>
      <c r="Y131" s="11"/>
      <c r="Z131" s="11"/>
      <c r="AA131" s="11"/>
      <c r="AB131" s="11"/>
      <c r="AD131" s="11"/>
      <c r="AF131" s="11"/>
    </row>
    <row r="132" spans="16:33" x14ac:dyDescent="0.2">
      <c r="V132" s="11"/>
      <c r="W132" s="11"/>
      <c r="X132" s="11"/>
      <c r="Y132" s="11"/>
      <c r="Z132" s="11"/>
      <c r="AA132" s="11"/>
      <c r="AB132" s="11"/>
      <c r="AD132" s="11"/>
      <c r="AF132" s="11"/>
    </row>
    <row r="133" spans="16:33" x14ac:dyDescent="0.2">
      <c r="U133" s="45"/>
      <c r="V133" s="11"/>
      <c r="W133" s="11"/>
      <c r="X133" s="11"/>
      <c r="Y133" s="11"/>
      <c r="Z133" s="11"/>
      <c r="AA133" s="11"/>
      <c r="AB133" s="11"/>
      <c r="AD133" s="11"/>
      <c r="AF133" s="11"/>
    </row>
    <row r="134" spans="16:33" ht="16" x14ac:dyDescent="0.2">
      <c r="P134" s="49" t="s">
        <v>64</v>
      </c>
      <c r="V134" s="11"/>
      <c r="W134" s="11"/>
      <c r="X134" s="11"/>
      <c r="Y134" s="11"/>
      <c r="Z134" s="11"/>
      <c r="AA134" s="11"/>
      <c r="AB134" s="11"/>
      <c r="AD134" s="11"/>
      <c r="AF134" s="11"/>
    </row>
    <row r="135" spans="16:33" x14ac:dyDescent="0.2">
      <c r="P135" t="s">
        <v>360</v>
      </c>
      <c r="Q135">
        <v>60408</v>
      </c>
      <c r="U135" s="45"/>
      <c r="V135" s="11"/>
      <c r="W135" s="11"/>
      <c r="X135" s="11"/>
      <c r="Y135" s="11"/>
      <c r="Z135" s="11"/>
      <c r="AA135" s="11"/>
      <c r="AB135" s="11"/>
      <c r="AD135" s="11"/>
      <c r="AF135" s="11"/>
    </row>
    <row r="136" spans="16:33" x14ac:dyDescent="0.2">
      <c r="P136" t="s">
        <v>361</v>
      </c>
      <c r="Q136">
        <v>3360</v>
      </c>
      <c r="V136" s="11"/>
      <c r="W136" s="11"/>
      <c r="X136" s="11"/>
      <c r="Y136" s="11"/>
      <c r="Z136" s="11"/>
      <c r="AA136" s="11"/>
      <c r="AB136" s="11"/>
    </row>
    <row r="137" spans="16:33" x14ac:dyDescent="0.2">
      <c r="P137" t="s">
        <v>362</v>
      </c>
      <c r="Q137">
        <v>784</v>
      </c>
      <c r="AC137" s="2"/>
      <c r="AD137" s="2"/>
      <c r="AE137" s="2"/>
      <c r="AF137" s="2"/>
      <c r="AG137" s="2"/>
    </row>
    <row r="138" spans="16:33" x14ac:dyDescent="0.2">
      <c r="P138" t="s">
        <v>363</v>
      </c>
      <c r="Q138">
        <v>784</v>
      </c>
    </row>
    <row r="139" spans="16:33" x14ac:dyDescent="0.2">
      <c r="P139" t="s">
        <v>364</v>
      </c>
      <c r="Q139">
        <v>3136</v>
      </c>
    </row>
    <row r="140" spans="16:33" ht="16" x14ac:dyDescent="0.2">
      <c r="U140" s="47" t="s">
        <v>69</v>
      </c>
      <c r="V140" s="15"/>
      <c r="W140" s="15"/>
      <c r="X140" s="15"/>
      <c r="Y140" s="15"/>
      <c r="Z140" s="123" t="s">
        <v>135</v>
      </c>
      <c r="AA140" s="124"/>
      <c r="AB140" s="15"/>
      <c r="AC140" s="15"/>
      <c r="AD140" s="15"/>
      <c r="AE140" s="15"/>
      <c r="AF140" s="15"/>
      <c r="AG140" s="15"/>
    </row>
    <row r="141" spans="16:33" ht="16" x14ac:dyDescent="0.2">
      <c r="U141" s="47" t="s">
        <v>130</v>
      </c>
      <c r="V141" s="16" t="s">
        <v>131</v>
      </c>
      <c r="W141" s="16" t="s">
        <v>132</v>
      </c>
      <c r="X141" s="16" t="s">
        <v>133</v>
      </c>
      <c r="Y141" s="16" t="s">
        <v>134</v>
      </c>
      <c r="Z141" s="125"/>
      <c r="AA141" s="126"/>
      <c r="AB141" s="16" t="s">
        <v>118</v>
      </c>
      <c r="AC141" s="16" t="s">
        <v>118</v>
      </c>
      <c r="AD141" s="16" t="s">
        <v>136</v>
      </c>
      <c r="AE141" s="16" t="s">
        <v>136</v>
      </c>
      <c r="AF141" s="16" t="s">
        <v>137</v>
      </c>
      <c r="AG141" s="16" t="s">
        <v>137</v>
      </c>
    </row>
    <row r="142" spans="16:33" ht="16" x14ac:dyDescent="0.2">
      <c r="U142" s="48" t="s">
        <v>138</v>
      </c>
      <c r="V142" s="15"/>
      <c r="W142" s="15"/>
      <c r="X142" s="15"/>
      <c r="Y142" s="15"/>
      <c r="Z142" s="15"/>
      <c r="AA142" s="15"/>
      <c r="AB142" s="15"/>
      <c r="AC142" s="15"/>
      <c r="AD142" s="15"/>
      <c r="AE142" s="15"/>
      <c r="AF142" s="15"/>
      <c r="AG142" s="15"/>
    </row>
    <row r="143" spans="16:33" ht="16" x14ac:dyDescent="0.2">
      <c r="U143" s="47" t="s">
        <v>139</v>
      </c>
      <c r="V143" s="15" t="s">
        <v>140</v>
      </c>
      <c r="W143" s="15">
        <v>64</v>
      </c>
      <c r="X143" s="15">
        <v>1</v>
      </c>
      <c r="Y143" s="15">
        <v>1</v>
      </c>
      <c r="Z143" s="15" t="s">
        <v>141</v>
      </c>
      <c r="AA143" s="15">
        <v>2304</v>
      </c>
      <c r="AB143" s="15" t="s">
        <v>142</v>
      </c>
      <c r="AC143" s="15">
        <v>86704128</v>
      </c>
      <c r="AD143" s="15" t="s">
        <v>143</v>
      </c>
      <c r="AE143" s="15">
        <v>57802752</v>
      </c>
      <c r="AF143" s="15" t="s">
        <v>142</v>
      </c>
      <c r="AG143" s="15">
        <v>86704128</v>
      </c>
    </row>
    <row r="144" spans="16:33" ht="16" x14ac:dyDescent="0.2">
      <c r="U144" s="48" t="s">
        <v>144</v>
      </c>
      <c r="V144" s="15"/>
      <c r="W144" s="15"/>
      <c r="X144" s="15"/>
      <c r="Y144" s="15"/>
      <c r="Z144" s="15"/>
      <c r="AA144" s="15"/>
      <c r="AB144" s="15"/>
      <c r="AC144" s="15"/>
      <c r="AD144" s="15"/>
      <c r="AE144" s="15"/>
      <c r="AF144" s="15"/>
      <c r="AG144" s="15"/>
    </row>
    <row r="145" spans="21:33" ht="16" x14ac:dyDescent="0.2">
      <c r="U145" s="47" t="s">
        <v>145</v>
      </c>
      <c r="V145" s="15" t="s">
        <v>146</v>
      </c>
      <c r="W145" s="15">
        <v>64</v>
      </c>
      <c r="X145" s="15">
        <v>2</v>
      </c>
      <c r="Y145" s="15"/>
      <c r="Z145" s="15">
        <v>0</v>
      </c>
      <c r="AA145" s="15"/>
      <c r="AB145" s="15">
        <v>0</v>
      </c>
      <c r="AC145" s="15"/>
      <c r="AD145" s="15">
        <v>0</v>
      </c>
      <c r="AE145" s="15"/>
      <c r="AF145" s="15">
        <v>0</v>
      </c>
      <c r="AG145" s="15"/>
    </row>
    <row r="146" spans="21:33" ht="16" x14ac:dyDescent="0.2">
      <c r="U146" s="48" t="s">
        <v>147</v>
      </c>
      <c r="V146" s="15"/>
      <c r="W146" s="15"/>
      <c r="X146" s="15"/>
      <c r="Y146" s="15"/>
      <c r="Z146" s="15"/>
      <c r="AA146" s="15"/>
      <c r="AB146" s="15"/>
      <c r="AC146" s="15"/>
      <c r="AD146" s="15"/>
      <c r="AE146" s="15"/>
      <c r="AF146" s="15"/>
      <c r="AG146" s="15"/>
    </row>
    <row r="147" spans="21:33" ht="16" x14ac:dyDescent="0.2">
      <c r="U147" s="47" t="s">
        <v>148</v>
      </c>
      <c r="V147" s="15" t="s">
        <v>140</v>
      </c>
      <c r="W147" s="15">
        <v>128</v>
      </c>
      <c r="X147" s="15"/>
      <c r="Y147" s="15">
        <v>1</v>
      </c>
      <c r="Z147" s="15" t="s">
        <v>149</v>
      </c>
      <c r="AA147" s="15">
        <v>74880</v>
      </c>
      <c r="AB147" s="15" t="s">
        <v>150</v>
      </c>
      <c r="AC147" s="15">
        <v>924844032</v>
      </c>
      <c r="AD147" s="15" t="s">
        <v>151</v>
      </c>
      <c r="AE147" s="15">
        <v>910393344</v>
      </c>
      <c r="AF147" s="15" t="s">
        <v>150</v>
      </c>
      <c r="AG147" s="15">
        <v>924844032</v>
      </c>
    </row>
    <row r="148" spans="21:33" ht="16" x14ac:dyDescent="0.2">
      <c r="U148" s="48" t="s">
        <v>152</v>
      </c>
      <c r="V148" s="15"/>
      <c r="W148" s="15"/>
      <c r="X148" s="15"/>
      <c r="Y148" s="15"/>
      <c r="Z148" s="15"/>
      <c r="AA148" s="15"/>
      <c r="AB148" s="15"/>
      <c r="AC148" s="15"/>
      <c r="AD148" s="15"/>
      <c r="AE148" s="15"/>
      <c r="AF148" s="15"/>
      <c r="AG148" s="15"/>
    </row>
    <row r="149" spans="21:33" ht="16" x14ac:dyDescent="0.2">
      <c r="U149" s="47" t="s">
        <v>148</v>
      </c>
      <c r="V149" s="15" t="s">
        <v>140</v>
      </c>
      <c r="W149" s="15">
        <v>128</v>
      </c>
      <c r="X149" s="15"/>
      <c r="Y149" s="15">
        <v>1</v>
      </c>
      <c r="Z149" s="15" t="s">
        <v>153</v>
      </c>
      <c r="AA149" s="15">
        <v>148608</v>
      </c>
      <c r="AB149" s="15" t="s">
        <v>154</v>
      </c>
      <c r="AC149" s="15">
        <v>1849688064</v>
      </c>
      <c r="AD149" s="15" t="s">
        <v>155</v>
      </c>
      <c r="AE149" s="15">
        <v>1835237376</v>
      </c>
      <c r="AF149" s="15" t="s">
        <v>154</v>
      </c>
      <c r="AG149" s="15">
        <v>1849688064</v>
      </c>
    </row>
    <row r="150" spans="21:33" ht="16" x14ac:dyDescent="0.2">
      <c r="U150" s="48" t="s">
        <v>152</v>
      </c>
      <c r="V150" s="15"/>
      <c r="W150" s="15"/>
      <c r="X150" s="15"/>
      <c r="Y150" s="15"/>
      <c r="Z150" s="15"/>
      <c r="AA150" s="15"/>
      <c r="AB150" s="15"/>
      <c r="AC150" s="15"/>
      <c r="AD150" s="15"/>
      <c r="AE150" s="15"/>
      <c r="AF150" s="15"/>
      <c r="AG150" s="15"/>
    </row>
    <row r="151" spans="21:33" ht="16" x14ac:dyDescent="0.2">
      <c r="U151" s="47" t="s">
        <v>145</v>
      </c>
      <c r="V151" s="15" t="s">
        <v>146</v>
      </c>
      <c r="W151" s="15">
        <v>128</v>
      </c>
      <c r="X151" s="15">
        <v>2</v>
      </c>
      <c r="Y151" s="15"/>
      <c r="Z151" s="15">
        <v>0</v>
      </c>
      <c r="AA151" s="15"/>
      <c r="AB151" s="15">
        <v>0</v>
      </c>
      <c r="AC151" s="15"/>
      <c r="AD151" s="15">
        <v>0</v>
      </c>
      <c r="AE151" s="15"/>
      <c r="AF151" s="15">
        <v>0</v>
      </c>
      <c r="AG151" s="15"/>
    </row>
    <row r="152" spans="21:33" ht="16" x14ac:dyDescent="0.2">
      <c r="U152" s="48" t="s">
        <v>156</v>
      </c>
      <c r="V152" s="15"/>
      <c r="W152" s="15"/>
      <c r="X152" s="15"/>
      <c r="Y152" s="15"/>
      <c r="Z152" s="15"/>
      <c r="AA152" s="15"/>
      <c r="AB152" s="15"/>
      <c r="AC152" s="15"/>
      <c r="AD152" s="15"/>
      <c r="AE152" s="15"/>
      <c r="AF152" s="15"/>
      <c r="AG152" s="15"/>
    </row>
    <row r="153" spans="21:33" ht="16" x14ac:dyDescent="0.2">
      <c r="U153" s="47" t="s">
        <v>157</v>
      </c>
      <c r="V153" s="15" t="s">
        <v>140</v>
      </c>
      <c r="W153" s="15">
        <v>256</v>
      </c>
      <c r="X153" s="15"/>
      <c r="Y153" s="15">
        <v>1</v>
      </c>
      <c r="Z153" s="15" t="s">
        <v>158</v>
      </c>
      <c r="AA153" s="15">
        <v>297216</v>
      </c>
      <c r="AB153" s="15" t="s">
        <v>159</v>
      </c>
      <c r="AC153" s="15">
        <v>924844032</v>
      </c>
      <c r="AD153" s="15" t="s">
        <v>160</v>
      </c>
      <c r="AE153" s="15">
        <v>917618688</v>
      </c>
      <c r="AF153" s="15" t="s">
        <v>159</v>
      </c>
      <c r="AG153" s="15">
        <v>924844032</v>
      </c>
    </row>
    <row r="154" spans="21:33" ht="16" x14ac:dyDescent="0.2">
      <c r="U154" s="48" t="s">
        <v>161</v>
      </c>
      <c r="V154" s="15"/>
      <c r="W154" s="15"/>
      <c r="X154" s="15"/>
      <c r="Y154" s="15"/>
      <c r="Z154" s="15"/>
      <c r="AA154" s="15"/>
      <c r="AB154" s="15"/>
      <c r="AC154" s="15"/>
      <c r="AD154" s="15"/>
      <c r="AE154" s="15"/>
      <c r="AF154" s="15"/>
      <c r="AG154" s="15"/>
    </row>
    <row r="155" spans="21:33" ht="16" x14ac:dyDescent="0.2">
      <c r="U155" s="47" t="s">
        <v>157</v>
      </c>
      <c r="V155" s="15" t="s">
        <v>140</v>
      </c>
      <c r="W155" s="15">
        <v>256</v>
      </c>
      <c r="X155" s="15"/>
      <c r="Y155" s="15">
        <v>1</v>
      </c>
      <c r="Z155" s="15" t="s">
        <v>162</v>
      </c>
      <c r="AA155" s="15">
        <v>592128</v>
      </c>
      <c r="AB155" s="15" t="s">
        <v>163</v>
      </c>
      <c r="AC155" s="15">
        <v>1849688064</v>
      </c>
      <c r="AD155" s="15" t="s">
        <v>164</v>
      </c>
      <c r="AE155" s="15">
        <v>1842462720</v>
      </c>
      <c r="AF155" s="15" t="s">
        <v>163</v>
      </c>
      <c r="AG155" s="15">
        <v>1849688064</v>
      </c>
    </row>
    <row r="156" spans="21:33" ht="16" x14ac:dyDescent="0.2">
      <c r="U156" s="48" t="s">
        <v>161</v>
      </c>
      <c r="V156" s="15"/>
      <c r="W156" s="15"/>
      <c r="X156" s="15"/>
      <c r="Y156" s="15"/>
      <c r="Z156" s="15"/>
      <c r="AA156" s="15"/>
      <c r="AB156" s="15"/>
      <c r="AC156" s="15"/>
      <c r="AD156" s="15"/>
      <c r="AE156" s="15"/>
      <c r="AF156" s="15"/>
      <c r="AG156" s="15"/>
    </row>
    <row r="157" spans="21:33" ht="16" x14ac:dyDescent="0.2">
      <c r="U157" s="47" t="s">
        <v>157</v>
      </c>
      <c r="V157" s="15" t="s">
        <v>140</v>
      </c>
      <c r="W157" s="15">
        <v>256</v>
      </c>
      <c r="X157" s="15"/>
      <c r="Y157" s="15">
        <v>1</v>
      </c>
      <c r="Z157" s="15" t="s">
        <v>162</v>
      </c>
      <c r="AA157" s="15">
        <v>592128</v>
      </c>
      <c r="AB157" s="15" t="s">
        <v>163</v>
      </c>
      <c r="AC157" s="15">
        <v>1849688064</v>
      </c>
      <c r="AD157" s="15" t="s">
        <v>164</v>
      </c>
      <c r="AE157" s="15">
        <v>1842462720</v>
      </c>
      <c r="AF157" s="15" t="s">
        <v>163</v>
      </c>
      <c r="AG157" s="15">
        <v>1849688064</v>
      </c>
    </row>
    <row r="158" spans="21:33" ht="16" x14ac:dyDescent="0.2">
      <c r="U158" s="48" t="s">
        <v>161</v>
      </c>
      <c r="V158" s="15"/>
      <c r="W158" s="15"/>
      <c r="X158" s="15"/>
      <c r="Y158" s="15"/>
      <c r="Z158" s="15"/>
      <c r="AA158" s="15"/>
      <c r="AB158" s="15"/>
      <c r="AC158" s="15"/>
      <c r="AD158" s="15"/>
      <c r="AE158" s="15"/>
      <c r="AF158" s="15"/>
      <c r="AG158" s="15"/>
    </row>
    <row r="159" spans="21:33" ht="16" x14ac:dyDescent="0.2">
      <c r="U159" s="47" t="s">
        <v>175</v>
      </c>
      <c r="V159" s="15" t="s">
        <v>140</v>
      </c>
      <c r="W159" s="15">
        <v>512</v>
      </c>
      <c r="X159" s="15"/>
      <c r="Y159" s="15">
        <v>1</v>
      </c>
      <c r="Z159" s="15" t="s">
        <v>167</v>
      </c>
      <c r="AA159" s="15">
        <v>592128</v>
      </c>
      <c r="AB159" s="15" t="s">
        <v>163</v>
      </c>
      <c r="AC159" s="15">
        <v>1849688064</v>
      </c>
      <c r="AD159" s="15" t="s">
        <v>164</v>
      </c>
      <c r="AE159" s="15">
        <v>1842462720</v>
      </c>
      <c r="AF159" s="15" t="s">
        <v>163</v>
      </c>
      <c r="AG159" s="15">
        <v>1849688064</v>
      </c>
    </row>
    <row r="160" spans="21:33" ht="16" x14ac:dyDescent="0.2">
      <c r="U160" s="48" t="s">
        <v>365</v>
      </c>
      <c r="V160" s="15"/>
      <c r="W160" s="15"/>
      <c r="X160" s="15"/>
      <c r="Y160" s="15"/>
      <c r="Z160" s="15"/>
      <c r="AA160" s="15"/>
      <c r="AB160" s="15"/>
      <c r="AC160" s="15"/>
      <c r="AD160" s="15"/>
      <c r="AE160" s="15"/>
      <c r="AF160" s="15"/>
      <c r="AG160" s="15"/>
    </row>
    <row r="161" spans="21:33" ht="16" x14ac:dyDescent="0.2">
      <c r="U161" s="47" t="s">
        <v>145</v>
      </c>
      <c r="V161" s="15" t="s">
        <v>146</v>
      </c>
      <c r="W161" s="15">
        <v>256</v>
      </c>
      <c r="X161" s="15">
        <v>2</v>
      </c>
      <c r="Y161" s="15"/>
      <c r="Z161" s="15">
        <v>0</v>
      </c>
      <c r="AA161" s="15"/>
      <c r="AB161" s="15">
        <v>0</v>
      </c>
      <c r="AC161" s="15"/>
      <c r="AD161" s="15">
        <v>0</v>
      </c>
      <c r="AE161" s="15"/>
      <c r="AF161" s="15">
        <v>0</v>
      </c>
      <c r="AG161" s="15"/>
    </row>
    <row r="162" spans="21:33" ht="16" x14ac:dyDescent="0.2">
      <c r="U162" s="48" t="s">
        <v>165</v>
      </c>
      <c r="V162" s="15"/>
      <c r="W162" s="15"/>
      <c r="X162" s="15"/>
      <c r="Y162" s="15"/>
      <c r="Z162" s="15"/>
      <c r="AA162" s="15"/>
      <c r="AB162" s="15"/>
      <c r="AC162" s="15"/>
      <c r="AD162" s="15"/>
      <c r="AE162" s="15"/>
      <c r="AF162" s="15"/>
      <c r="AG162" s="15"/>
    </row>
    <row r="163" spans="21:33" ht="16" x14ac:dyDescent="0.2">
      <c r="U163" s="47" t="s">
        <v>166</v>
      </c>
      <c r="V163" s="15" t="s">
        <v>140</v>
      </c>
      <c r="W163" s="15">
        <v>512</v>
      </c>
      <c r="X163" s="15"/>
      <c r="Y163" s="15">
        <v>1</v>
      </c>
      <c r="Z163" s="15" t="s">
        <v>167</v>
      </c>
      <c r="AA163" s="15">
        <v>1184256</v>
      </c>
      <c r="AB163" s="15" t="s">
        <v>168</v>
      </c>
      <c r="AC163" s="15">
        <v>924844032</v>
      </c>
      <c r="AD163" s="15" t="s">
        <v>169</v>
      </c>
      <c r="AE163" s="15">
        <v>921231360</v>
      </c>
      <c r="AF163" s="15" t="s">
        <v>168</v>
      </c>
      <c r="AG163" s="15">
        <v>924844032</v>
      </c>
    </row>
    <row r="164" spans="21:33" ht="16" x14ac:dyDescent="0.2">
      <c r="U164" s="48" t="s">
        <v>170</v>
      </c>
      <c r="V164" s="15"/>
      <c r="W164" s="15"/>
      <c r="X164" s="15"/>
      <c r="Y164" s="15"/>
      <c r="Z164" s="15"/>
      <c r="AA164" s="15"/>
      <c r="AB164" s="15"/>
      <c r="AC164" s="15"/>
      <c r="AD164" s="15"/>
      <c r="AE164" s="15"/>
      <c r="AF164" s="15"/>
      <c r="AG164" s="15"/>
    </row>
    <row r="165" spans="21:33" ht="16" x14ac:dyDescent="0.2">
      <c r="U165" s="47" t="s">
        <v>166</v>
      </c>
      <c r="V165" s="15" t="s">
        <v>140</v>
      </c>
      <c r="W165" s="15">
        <v>512</v>
      </c>
      <c r="X165" s="15">
        <v>1</v>
      </c>
      <c r="Y165" s="15">
        <v>1</v>
      </c>
      <c r="Z165" s="15" t="s">
        <v>171</v>
      </c>
      <c r="AA165" s="15">
        <v>2363904</v>
      </c>
      <c r="AB165" s="15"/>
      <c r="AC165" s="15"/>
      <c r="AD165" s="15"/>
      <c r="AE165" s="15"/>
      <c r="AF165" s="15"/>
      <c r="AG165" s="15"/>
    </row>
    <row r="166" spans="21:33" ht="16" x14ac:dyDescent="0.2">
      <c r="U166" s="48" t="s">
        <v>170</v>
      </c>
      <c r="V166" s="15"/>
      <c r="W166" s="15"/>
      <c r="X166" s="15"/>
      <c r="Y166" s="15"/>
      <c r="Z166" s="15"/>
      <c r="AA166" s="15"/>
      <c r="AB166" s="15"/>
      <c r="AC166" s="15"/>
      <c r="AD166" s="15"/>
      <c r="AE166" s="15"/>
      <c r="AF166" s="15"/>
      <c r="AG166" s="15"/>
    </row>
    <row r="167" spans="21:33" ht="16" x14ac:dyDescent="0.2">
      <c r="U167" s="47" t="s">
        <v>166</v>
      </c>
      <c r="V167" s="15" t="s">
        <v>140</v>
      </c>
      <c r="W167" s="15">
        <v>512</v>
      </c>
      <c r="X167" s="15"/>
      <c r="Y167" s="15">
        <v>1</v>
      </c>
      <c r="Z167" s="15" t="s">
        <v>171</v>
      </c>
      <c r="AA167" s="15">
        <v>2363904</v>
      </c>
      <c r="AB167" s="15" t="s">
        <v>172</v>
      </c>
      <c r="AC167" s="15">
        <v>924844032</v>
      </c>
      <c r="AD167" s="15" t="s">
        <v>173</v>
      </c>
      <c r="AE167" s="15">
        <v>923037696</v>
      </c>
      <c r="AF167" s="15" t="s">
        <v>172</v>
      </c>
      <c r="AG167" s="15">
        <v>924844032</v>
      </c>
    </row>
    <row r="168" spans="21:33" ht="16" x14ac:dyDescent="0.2">
      <c r="U168" s="48" t="s">
        <v>170</v>
      </c>
      <c r="V168" s="15"/>
      <c r="W168" s="15"/>
      <c r="X168" s="15"/>
      <c r="Y168" s="15"/>
      <c r="Z168" s="15"/>
      <c r="AA168" s="15"/>
      <c r="AB168" s="15"/>
      <c r="AC168" s="15"/>
      <c r="AD168" s="15"/>
      <c r="AE168" s="15"/>
      <c r="AF168" s="15"/>
      <c r="AG168" s="15"/>
    </row>
    <row r="169" spans="21:33" ht="16" x14ac:dyDescent="0.2">
      <c r="U169" s="47" t="s">
        <v>166</v>
      </c>
      <c r="V169" s="15" t="s">
        <v>140</v>
      </c>
      <c r="W169" s="15">
        <v>512</v>
      </c>
      <c r="X169" s="15"/>
      <c r="Y169" s="15">
        <v>1</v>
      </c>
      <c r="Z169" s="15" t="s">
        <v>171</v>
      </c>
      <c r="AA169" s="15">
        <v>2363904</v>
      </c>
      <c r="AB169" s="15" t="s">
        <v>172</v>
      </c>
      <c r="AC169" s="15">
        <v>924844032</v>
      </c>
      <c r="AD169" s="15" t="s">
        <v>173</v>
      </c>
      <c r="AE169" s="15">
        <v>923037696</v>
      </c>
      <c r="AF169" s="15" t="s">
        <v>172</v>
      </c>
      <c r="AG169" s="15">
        <v>924844032</v>
      </c>
    </row>
    <row r="170" spans="21:33" ht="16" x14ac:dyDescent="0.2">
      <c r="U170" s="48" t="s">
        <v>170</v>
      </c>
      <c r="V170" s="15"/>
      <c r="W170" s="15"/>
      <c r="X170" s="15"/>
      <c r="Y170" s="15"/>
      <c r="Z170" s="15"/>
      <c r="AA170" s="15"/>
      <c r="AB170" s="15"/>
      <c r="AC170" s="15"/>
      <c r="AD170" s="15"/>
      <c r="AE170" s="15"/>
      <c r="AF170" s="15"/>
      <c r="AG170" s="15"/>
    </row>
    <row r="171" spans="21:33" ht="16" x14ac:dyDescent="0.2">
      <c r="U171" s="47" t="s">
        <v>145</v>
      </c>
      <c r="V171" s="15" t="s">
        <v>146</v>
      </c>
      <c r="W171" s="15">
        <v>512</v>
      </c>
      <c r="X171" s="15">
        <v>2</v>
      </c>
      <c r="Y171" s="15"/>
      <c r="Z171" s="15">
        <v>0</v>
      </c>
      <c r="AA171" s="15"/>
      <c r="AB171" s="15">
        <v>0</v>
      </c>
      <c r="AC171" s="15"/>
      <c r="AD171" s="15">
        <v>0</v>
      </c>
      <c r="AE171" s="15"/>
      <c r="AF171" s="15">
        <v>0</v>
      </c>
      <c r="AG171" s="15"/>
    </row>
    <row r="172" spans="21:33" ht="16" x14ac:dyDescent="0.2">
      <c r="U172" s="48" t="s">
        <v>174</v>
      </c>
      <c r="V172" s="15"/>
      <c r="W172" s="15"/>
      <c r="X172" s="15"/>
      <c r="Y172" s="15"/>
      <c r="Z172" s="15"/>
      <c r="AA172" s="15"/>
      <c r="AB172" s="15"/>
      <c r="AC172" s="15"/>
      <c r="AD172" s="15"/>
      <c r="AE172" s="15"/>
      <c r="AF172" s="15"/>
      <c r="AG172" s="15"/>
    </row>
    <row r="173" spans="21:33" ht="16" x14ac:dyDescent="0.2">
      <c r="U173" s="47" t="s">
        <v>175</v>
      </c>
      <c r="V173" s="15" t="s">
        <v>140</v>
      </c>
      <c r="W173" s="15">
        <v>512</v>
      </c>
      <c r="X173" s="15"/>
      <c r="Y173" s="15">
        <v>1</v>
      </c>
      <c r="Z173" s="15" t="s">
        <v>171</v>
      </c>
      <c r="AA173" s="15">
        <v>2363904</v>
      </c>
      <c r="AB173" s="15" t="s">
        <v>176</v>
      </c>
      <c r="AC173" s="15">
        <v>231211008</v>
      </c>
      <c r="AD173" s="15" t="s">
        <v>177</v>
      </c>
      <c r="AE173" s="15">
        <v>230759424</v>
      </c>
      <c r="AF173" s="15" t="s">
        <v>176</v>
      </c>
      <c r="AG173" s="15">
        <v>231211008</v>
      </c>
    </row>
    <row r="174" spans="21:33" ht="16" x14ac:dyDescent="0.2">
      <c r="U174" s="48" t="s">
        <v>174</v>
      </c>
      <c r="V174" s="15"/>
      <c r="W174" s="15"/>
      <c r="X174" s="15"/>
      <c r="Y174" s="15"/>
      <c r="Z174" s="15"/>
      <c r="AA174" s="15"/>
      <c r="AB174" s="15"/>
      <c r="AC174" s="15"/>
      <c r="AD174" s="15"/>
      <c r="AE174" s="15"/>
      <c r="AF174" s="15"/>
      <c r="AG174" s="15"/>
    </row>
    <row r="175" spans="21:33" ht="16" x14ac:dyDescent="0.2">
      <c r="U175" s="47" t="s">
        <v>175</v>
      </c>
      <c r="V175" s="15" t="s">
        <v>140</v>
      </c>
      <c r="W175" s="15">
        <v>512</v>
      </c>
      <c r="X175" s="15"/>
      <c r="Y175" s="15">
        <v>1</v>
      </c>
      <c r="Z175" s="15" t="s">
        <v>171</v>
      </c>
      <c r="AA175" s="15">
        <v>2363904</v>
      </c>
      <c r="AB175" s="15" t="s">
        <v>176</v>
      </c>
      <c r="AC175" s="15">
        <v>231211008</v>
      </c>
      <c r="AD175" s="15" t="s">
        <v>177</v>
      </c>
      <c r="AE175" s="15">
        <v>230759424</v>
      </c>
      <c r="AF175" s="15" t="s">
        <v>176</v>
      </c>
      <c r="AG175" s="15">
        <v>231211008</v>
      </c>
    </row>
    <row r="176" spans="21:33" ht="16" x14ac:dyDescent="0.2">
      <c r="U176" s="48" t="s">
        <v>174</v>
      </c>
      <c r="V176" s="15"/>
      <c r="W176" s="15"/>
      <c r="X176" s="15"/>
      <c r="Y176" s="15"/>
      <c r="Z176" s="15"/>
      <c r="AA176" s="15"/>
      <c r="AB176" s="15"/>
      <c r="AC176" s="15"/>
      <c r="AD176" s="15"/>
      <c r="AE176" s="15"/>
      <c r="AF176" s="15"/>
      <c r="AG176" s="15"/>
    </row>
    <row r="177" spans="21:33" ht="16" x14ac:dyDescent="0.2">
      <c r="U177" s="47" t="s">
        <v>175</v>
      </c>
      <c r="V177" s="15" t="s">
        <v>140</v>
      </c>
      <c r="W177" s="15">
        <v>512</v>
      </c>
      <c r="X177" s="15"/>
      <c r="Y177" s="15">
        <v>1</v>
      </c>
      <c r="Z177" s="15" t="s">
        <v>171</v>
      </c>
      <c r="AA177" s="15">
        <v>2363904</v>
      </c>
      <c r="AB177" s="15" t="s">
        <v>176</v>
      </c>
      <c r="AC177" s="15">
        <v>231211008</v>
      </c>
      <c r="AD177" s="15" t="s">
        <v>177</v>
      </c>
      <c r="AE177" s="15">
        <v>230759424</v>
      </c>
      <c r="AF177" s="15" t="s">
        <v>176</v>
      </c>
      <c r="AG177" s="15">
        <v>231211008</v>
      </c>
    </row>
    <row r="178" spans="21:33" ht="16" x14ac:dyDescent="0.2">
      <c r="U178" s="48" t="s">
        <v>174</v>
      </c>
      <c r="V178" s="15"/>
      <c r="W178" s="15"/>
      <c r="X178" s="15"/>
      <c r="Y178" s="15"/>
      <c r="Z178" s="15"/>
      <c r="AA178" s="15"/>
      <c r="AB178" s="15"/>
      <c r="AC178" s="15"/>
      <c r="AD178" s="15"/>
      <c r="AE178" s="15"/>
      <c r="AF178" s="15"/>
      <c r="AG178" s="15"/>
    </row>
    <row r="179" spans="21:33" ht="16" x14ac:dyDescent="0.2">
      <c r="U179" s="47" t="s">
        <v>145</v>
      </c>
      <c r="V179" s="15" t="s">
        <v>146</v>
      </c>
      <c r="W179" s="15">
        <v>517</v>
      </c>
      <c r="X179" s="15">
        <v>2</v>
      </c>
      <c r="Y179" s="15"/>
      <c r="Z179" s="15">
        <v>0</v>
      </c>
      <c r="AA179" s="15"/>
      <c r="AB179" s="15">
        <v>0</v>
      </c>
      <c r="AC179" s="15"/>
      <c r="AD179" s="15">
        <v>0</v>
      </c>
      <c r="AE179" s="15"/>
      <c r="AF179" s="15">
        <v>0</v>
      </c>
      <c r="AG179" s="15"/>
    </row>
    <row r="180" spans="21:33" ht="16" x14ac:dyDescent="0.2">
      <c r="U180" s="48" t="s">
        <v>178</v>
      </c>
      <c r="V180" s="15"/>
      <c r="W180" s="15"/>
      <c r="X180" s="15"/>
      <c r="Y180" s="15"/>
      <c r="Z180" s="15"/>
      <c r="AA180" s="15"/>
      <c r="AB180" s="15"/>
      <c r="AC180" s="15"/>
      <c r="AD180" s="15"/>
      <c r="AE180" s="15"/>
      <c r="AF180" s="15"/>
      <c r="AG180" s="15"/>
    </row>
    <row r="181" spans="21:33" ht="16" x14ac:dyDescent="0.2">
      <c r="U181" s="47" t="s">
        <v>179</v>
      </c>
      <c r="V181" s="15"/>
      <c r="W181" s="15"/>
      <c r="X181" s="15">
        <v>1</v>
      </c>
      <c r="Y181" s="15"/>
      <c r="Z181" s="15" t="s">
        <v>180</v>
      </c>
      <c r="AA181" s="15">
        <v>102760448</v>
      </c>
      <c r="AB181" s="15" t="s">
        <v>180</v>
      </c>
      <c r="AC181" s="15">
        <v>102760448</v>
      </c>
      <c r="AD181" s="15" t="s">
        <v>180</v>
      </c>
      <c r="AE181" s="15">
        <v>102760448</v>
      </c>
      <c r="AF181" s="15" t="s">
        <v>180</v>
      </c>
      <c r="AG181" s="15">
        <v>102760448</v>
      </c>
    </row>
    <row r="182" spans="21:33" x14ac:dyDescent="0.2">
      <c r="U182" s="48">
        <v>4096</v>
      </c>
      <c r="V182" s="15"/>
      <c r="W182" s="15"/>
      <c r="X182" s="15"/>
      <c r="Y182" s="15"/>
      <c r="Z182" s="15"/>
      <c r="AA182" s="15"/>
      <c r="AB182" s="15"/>
      <c r="AC182" s="15"/>
      <c r="AD182" s="15"/>
      <c r="AE182" s="15"/>
      <c r="AF182" s="15"/>
      <c r="AG182" s="15"/>
    </row>
    <row r="183" spans="21:33" ht="16" x14ac:dyDescent="0.2">
      <c r="U183" s="47" t="s">
        <v>179</v>
      </c>
      <c r="V183" s="15"/>
      <c r="W183" s="15"/>
      <c r="X183" s="15">
        <v>1</v>
      </c>
      <c r="Y183" s="15"/>
      <c r="Z183" s="15" t="s">
        <v>181</v>
      </c>
      <c r="AA183" s="15">
        <v>1677216</v>
      </c>
      <c r="AB183" s="15" t="s">
        <v>181</v>
      </c>
      <c r="AC183" s="15">
        <v>16777216</v>
      </c>
      <c r="AD183" s="15" t="s">
        <v>181</v>
      </c>
      <c r="AE183" s="15">
        <v>16777216</v>
      </c>
      <c r="AF183" s="15" t="s">
        <v>181</v>
      </c>
      <c r="AG183" s="15">
        <v>16777216</v>
      </c>
    </row>
    <row r="184" spans="21:33" x14ac:dyDescent="0.2">
      <c r="U184" s="48">
        <v>4096</v>
      </c>
      <c r="V184" s="15"/>
      <c r="W184" s="15"/>
      <c r="X184" s="15"/>
      <c r="Y184" s="15"/>
      <c r="Z184" s="15"/>
      <c r="AA184" s="15"/>
      <c r="AB184" s="15"/>
      <c r="AC184" s="15"/>
      <c r="AD184" s="15"/>
      <c r="AE184" s="15"/>
      <c r="AF184" s="15"/>
      <c r="AG184" s="15"/>
    </row>
    <row r="185" spans="21:33" ht="16" x14ac:dyDescent="0.2">
      <c r="U185" s="47" t="s">
        <v>179</v>
      </c>
      <c r="V185" s="15"/>
      <c r="W185" s="15"/>
      <c r="X185" s="15">
        <v>1</v>
      </c>
      <c r="Y185" s="15"/>
      <c r="Z185" s="15" t="s">
        <v>182</v>
      </c>
      <c r="AA185" s="15">
        <v>4096000</v>
      </c>
      <c r="AB185" s="15" t="s">
        <v>182</v>
      </c>
      <c r="AC185" s="15">
        <v>4096000</v>
      </c>
      <c r="AD185" s="15" t="s">
        <v>182</v>
      </c>
      <c r="AE185" s="15">
        <v>4096000</v>
      </c>
      <c r="AF185" s="15" t="s">
        <v>182</v>
      </c>
      <c r="AG185" s="15">
        <v>4096000</v>
      </c>
    </row>
    <row r="186" spans="21:33" x14ac:dyDescent="0.2">
      <c r="U186" s="48">
        <v>1000</v>
      </c>
      <c r="V186" s="15"/>
      <c r="W186" s="15"/>
      <c r="X186" s="15"/>
      <c r="Y186" s="15"/>
      <c r="Z186" s="15"/>
      <c r="AA186" s="15"/>
      <c r="AB186" s="15"/>
      <c r="AC186" s="15"/>
      <c r="AD186" s="15"/>
      <c r="AE186" s="15"/>
      <c r="AF186" s="15"/>
      <c r="AG186" s="15"/>
    </row>
    <row r="187" spans="21:33" x14ac:dyDescent="0.2">
      <c r="AA187" s="15">
        <f>SUM(AA142:AA186)</f>
        <v>126200736</v>
      </c>
      <c r="AC187" s="3">
        <f>SUM(AC142:AC186)</f>
        <v>12926943232</v>
      </c>
      <c r="AE187">
        <f>SUM(AE142:AE186)</f>
        <v>12831659008</v>
      </c>
      <c r="AG187">
        <f>SUM(AG142:AG186)</f>
        <v>12926943232</v>
      </c>
    </row>
    <row r="192" spans="21:33" x14ac:dyDescent="0.2">
      <c r="AB192" s="111" t="s">
        <v>128</v>
      </c>
      <c r="AC192" s="113"/>
    </row>
    <row r="193" spans="28:48" x14ac:dyDescent="0.2">
      <c r="AB193" s="8" t="s">
        <v>118</v>
      </c>
      <c r="AC193" s="3">
        <v>1135256096</v>
      </c>
    </row>
    <row r="194" spans="28:48" x14ac:dyDescent="0.2">
      <c r="AB194" s="8" t="s">
        <v>43</v>
      </c>
      <c r="AC194" s="3">
        <v>1135256096</v>
      </c>
    </row>
    <row r="195" spans="28:48" x14ac:dyDescent="0.2">
      <c r="AB195" s="8" t="s">
        <v>136</v>
      </c>
      <c r="AC195" s="3">
        <v>1093894592</v>
      </c>
      <c r="AG195" s="8" t="s">
        <v>28</v>
      </c>
      <c r="AH195" s="8" t="s">
        <v>29</v>
      </c>
      <c r="AI195" s="8" t="s">
        <v>30</v>
      </c>
      <c r="AJ195" s="8" t="s">
        <v>31</v>
      </c>
      <c r="AK195" s="8" t="s">
        <v>32</v>
      </c>
      <c r="AL195" s="8" t="s">
        <v>33</v>
      </c>
      <c r="AM195" s="8" t="s">
        <v>34</v>
      </c>
      <c r="AN195" s="8" t="s">
        <v>35</v>
      </c>
      <c r="AO195" s="8" t="s">
        <v>36</v>
      </c>
    </row>
    <row r="196" spans="28:48" x14ac:dyDescent="0.2">
      <c r="AB196" s="8" t="s">
        <v>366</v>
      </c>
      <c r="AC196" s="3">
        <f>AC193/2</f>
        <v>567628048</v>
      </c>
      <c r="AG196" s="8" t="s">
        <v>37</v>
      </c>
      <c r="AH196" s="12">
        <v>29</v>
      </c>
      <c r="AI196" s="12">
        <v>135</v>
      </c>
      <c r="AJ196" s="12">
        <v>147</v>
      </c>
      <c r="AK196" s="12">
        <v>220</v>
      </c>
      <c r="AL196" s="12">
        <v>2528</v>
      </c>
      <c r="AM196" s="12">
        <v>95.6</v>
      </c>
      <c r="AN196" s="12">
        <v>7.2</v>
      </c>
      <c r="AO196" s="12">
        <f>AL196*32</f>
        <v>80896</v>
      </c>
    </row>
    <row r="197" spans="28:48" x14ac:dyDescent="0.2">
      <c r="AB197" s="8" t="s">
        <v>367</v>
      </c>
      <c r="AC197" s="3">
        <f>AC194/2</f>
        <v>567628048</v>
      </c>
      <c r="AG197" s="8" t="s">
        <v>368</v>
      </c>
      <c r="AH197" s="12">
        <f>AH196/(AH199*AH201)</f>
        <v>3.163479915175104E-3</v>
      </c>
      <c r="AI197" s="12">
        <f t="shared" ref="AI197:AN197" si="0">AI196/(AI199*AI201)</f>
        <v>3.3006931455605681E-2</v>
      </c>
      <c r="AJ197" s="12">
        <f t="shared" si="0"/>
        <v>2.2854548677079218E-2</v>
      </c>
      <c r="AK197" s="12">
        <f t="shared" si="0"/>
        <v>1.8829425942156002E-3</v>
      </c>
      <c r="AL197" s="12">
        <f t="shared" si="0"/>
        <v>5.2022883483557644E-2</v>
      </c>
      <c r="AM197" s="12">
        <f t="shared" si="0"/>
        <v>0.32915576366891613</v>
      </c>
      <c r="AN197" s="12">
        <f t="shared" si="0"/>
        <v>1.3201320132013201E-2</v>
      </c>
      <c r="AO197" s="12" t="e">
        <f>AO196/(AO199*#REF!)</f>
        <v>#REF!</v>
      </c>
    </row>
    <row r="198" spans="28:48" x14ac:dyDescent="0.2">
      <c r="AB198" s="26" t="s">
        <v>369</v>
      </c>
      <c r="AC198" s="30">
        <v>50176</v>
      </c>
      <c r="AG198" s="8" t="s">
        <v>39</v>
      </c>
      <c r="AH198" s="12">
        <f>AH196/AH199</f>
        <v>0.22239263803680981</v>
      </c>
      <c r="AI198" s="12">
        <f t="shared" ref="AI198:AO198" si="1">AI196/AI199</f>
        <v>2.459016393442623</v>
      </c>
      <c r="AJ198" s="12">
        <f t="shared" si="1"/>
        <v>2.2546012269938651</v>
      </c>
      <c r="AK198" s="12">
        <f t="shared" si="1"/>
        <v>0.21088957055214724</v>
      </c>
      <c r="AL198" s="12">
        <f t="shared" si="1"/>
        <v>9.2600732600732609</v>
      </c>
      <c r="AM198" s="12">
        <f t="shared" si="1"/>
        <v>1.7445255474452555</v>
      </c>
      <c r="AN198" s="12">
        <f t="shared" si="1"/>
        <v>0.71287128712871295</v>
      </c>
      <c r="AO198" s="12">
        <f t="shared" si="1"/>
        <v>22851.977401129945</v>
      </c>
    </row>
    <row r="199" spans="28:48" x14ac:dyDescent="0.2">
      <c r="AB199" s="111" t="s">
        <v>68</v>
      </c>
      <c r="AC199" s="113"/>
      <c r="AG199" s="8" t="s">
        <v>40</v>
      </c>
      <c r="AH199" s="12">
        <f>AJ199*2</f>
        <v>130.4</v>
      </c>
      <c r="AI199" s="12">
        <v>54.9</v>
      </c>
      <c r="AJ199" s="12">
        <v>65.2</v>
      </c>
      <c r="AK199" s="12">
        <f>AJ199*16</f>
        <v>1043.2</v>
      </c>
      <c r="AL199" s="12">
        <v>273</v>
      </c>
      <c r="AM199" s="12">
        <v>54.8</v>
      </c>
      <c r="AN199" s="12">
        <v>10.1</v>
      </c>
      <c r="AO199" s="12">
        <v>3.54</v>
      </c>
    </row>
    <row r="200" spans="28:48" x14ac:dyDescent="0.2">
      <c r="AB200" s="8" t="s">
        <v>118</v>
      </c>
      <c r="AC200" s="3">
        <v>11077255168</v>
      </c>
      <c r="AG200" s="8" t="s">
        <v>44</v>
      </c>
      <c r="AH200" s="12">
        <v>75</v>
      </c>
      <c r="AI200" s="12">
        <v>90</v>
      </c>
      <c r="AJ200" s="12">
        <v>96</v>
      </c>
      <c r="AK200" s="12">
        <v>145</v>
      </c>
      <c r="AL200" s="12">
        <v>176.4</v>
      </c>
      <c r="AM200" s="12">
        <v>5.3</v>
      </c>
      <c r="AN200" s="12">
        <v>53</v>
      </c>
      <c r="AO200" s="3">
        <v>4.3672144617858885E-3</v>
      </c>
    </row>
    <row r="201" spans="28:48" x14ac:dyDescent="0.2">
      <c r="AB201" s="8" t="s">
        <v>43</v>
      </c>
      <c r="AC201" s="3">
        <v>11077255168</v>
      </c>
      <c r="AG201" s="8" t="s">
        <v>48</v>
      </c>
      <c r="AH201" s="12">
        <v>70.3</v>
      </c>
      <c r="AI201" s="12">
        <v>74.5</v>
      </c>
      <c r="AJ201" s="12">
        <v>98.65</v>
      </c>
      <c r="AK201" s="12">
        <v>112</v>
      </c>
      <c r="AL201" s="12">
        <v>178</v>
      </c>
      <c r="AM201" s="12">
        <v>5.3</v>
      </c>
      <c r="AN201" s="12">
        <v>54</v>
      </c>
      <c r="AO201" s="3">
        <v>1.2360111423999998E-2</v>
      </c>
    </row>
    <row r="202" spans="28:48" x14ac:dyDescent="0.2">
      <c r="AB202" s="8" t="s">
        <v>136</v>
      </c>
      <c r="AC202" s="3">
        <v>10989196288</v>
      </c>
      <c r="AG202" s="8" t="s">
        <v>50</v>
      </c>
      <c r="AH202" s="12" t="s">
        <v>51</v>
      </c>
      <c r="AI202" s="12" t="s">
        <v>52</v>
      </c>
      <c r="AJ202" s="12" t="s">
        <v>51</v>
      </c>
      <c r="AK202" s="12" t="s">
        <v>51</v>
      </c>
      <c r="AL202" s="12" t="s">
        <v>51</v>
      </c>
      <c r="AM202" s="12" t="s">
        <v>51</v>
      </c>
      <c r="AN202" s="12" t="s">
        <v>53</v>
      </c>
      <c r="AO202" s="12" t="s">
        <v>54</v>
      </c>
      <c r="AR202" s="3"/>
      <c r="AS202" s="8" t="s">
        <v>370</v>
      </c>
      <c r="AT202" s="8" t="s">
        <v>371</v>
      </c>
      <c r="AU202" s="8" t="s">
        <v>372</v>
      </c>
      <c r="AV202" s="8" t="s">
        <v>373</v>
      </c>
    </row>
    <row r="203" spans="28:48" x14ac:dyDescent="0.2">
      <c r="AB203" s="8" t="s">
        <v>366</v>
      </c>
      <c r="AC203" s="3">
        <f>AC200/2</f>
        <v>5538627584</v>
      </c>
      <c r="AG203" s="8" t="s">
        <v>56</v>
      </c>
      <c r="AH203" s="12" t="s">
        <v>57</v>
      </c>
      <c r="AI203" s="12" t="s">
        <v>57</v>
      </c>
      <c r="AJ203" s="12" t="s">
        <v>57</v>
      </c>
      <c r="AK203" s="12" t="s">
        <v>57</v>
      </c>
      <c r="AL203" s="12" t="s">
        <v>58</v>
      </c>
      <c r="AM203" s="12" t="s">
        <v>58</v>
      </c>
      <c r="AN203" s="12" t="s">
        <v>59</v>
      </c>
      <c r="AO203" s="12" t="s">
        <v>60</v>
      </c>
      <c r="AR203" s="8" t="s">
        <v>374</v>
      </c>
      <c r="AS203" s="3">
        <f>AC236*0.000000001</f>
        <v>1.43E-7</v>
      </c>
      <c r="AT203" s="3">
        <f>AD236*0.000000001</f>
        <v>4.6500000000000005E-7</v>
      </c>
      <c r="AU203" s="3">
        <f>AE236*0.000000000001</f>
        <v>9.3000000000000002E-11</v>
      </c>
      <c r="AV203" s="3">
        <f>AF236*0.000000000001</f>
        <v>1.6699999999999999E-10</v>
      </c>
    </row>
    <row r="204" spans="28:48" x14ac:dyDescent="0.2">
      <c r="AB204" s="8" t="s">
        <v>120</v>
      </c>
      <c r="AC204" s="3">
        <f>AC200/2</f>
        <v>5538627584</v>
      </c>
      <c r="AG204" s="8" t="s">
        <v>47</v>
      </c>
      <c r="AH204" s="12">
        <v>95.7</v>
      </c>
      <c r="AI204" s="12">
        <v>95.7</v>
      </c>
      <c r="AJ204" s="12">
        <v>95.7</v>
      </c>
      <c r="AK204" s="12">
        <v>95.7</v>
      </c>
      <c r="AL204" s="12">
        <f>95.7*0.98</f>
        <v>93.786000000000001</v>
      </c>
      <c r="AM204" s="12">
        <v>95.7</v>
      </c>
      <c r="AN204" s="12">
        <v>95.7</v>
      </c>
      <c r="AO204" s="12">
        <f>95.7*0.965</f>
        <v>92.350499999999997</v>
      </c>
      <c r="AR204" s="8" t="s">
        <v>375</v>
      </c>
      <c r="AS204" s="3">
        <f t="shared" ref="AS204:AS209" si="2">AC237*0.000000001</f>
        <v>1.5000000000000002E-7</v>
      </c>
      <c r="AT204" s="3">
        <f t="shared" ref="AT204:AT209" si="3">AD237*0.000000001</f>
        <v>4.5000000000000003E-7</v>
      </c>
      <c r="AU204" s="3">
        <f t="shared" ref="AU204:AU209" si="4">AE237*0.000000000001</f>
        <v>9.0999999999999996E-11</v>
      </c>
      <c r="AV204" s="3">
        <f t="shared" ref="AV204:AV208" si="5">AF237*0.000000000001</f>
        <v>1.5500000000000001E-10</v>
      </c>
    </row>
    <row r="205" spans="28:48" x14ac:dyDescent="0.2">
      <c r="AB205" s="26" t="s">
        <v>376</v>
      </c>
      <c r="AC205" s="30">
        <v>65536</v>
      </c>
      <c r="AR205" s="8" t="s">
        <v>377</v>
      </c>
      <c r="AS205" s="3">
        <f t="shared" si="2"/>
        <v>1.2500000000000002E-7</v>
      </c>
      <c r="AT205" s="3">
        <f t="shared" si="3"/>
        <v>1.7000000000000001E-7</v>
      </c>
      <c r="AU205" s="3">
        <f t="shared" si="4"/>
        <v>9.8999999999999994E-11</v>
      </c>
      <c r="AV205" s="3">
        <f t="shared" si="5"/>
        <v>1.8E-10</v>
      </c>
    </row>
    <row r="206" spans="28:48" x14ac:dyDescent="0.2">
      <c r="AR206" s="8" t="s">
        <v>378</v>
      </c>
      <c r="AS206" s="3">
        <f t="shared" si="2"/>
        <v>1.7000000000000001E-7</v>
      </c>
      <c r="AT206" s="3">
        <f t="shared" si="3"/>
        <v>4.6800000000000001E-7</v>
      </c>
      <c r="AU206" s="3">
        <f t="shared" si="4"/>
        <v>8.9999999999999999E-11</v>
      </c>
      <c r="AV206" s="3">
        <f t="shared" si="5"/>
        <v>1.8E-10</v>
      </c>
    </row>
    <row r="207" spans="28:48" x14ac:dyDescent="0.2">
      <c r="AB207" s="111" t="s">
        <v>69</v>
      </c>
      <c r="AC207" s="113"/>
      <c r="AR207" s="8" t="s">
        <v>379</v>
      </c>
      <c r="AS207" s="3">
        <f t="shared" si="2"/>
        <v>2.1000000000000003E-8</v>
      </c>
      <c r="AT207" s="3">
        <f>AD240*0.000000001</f>
        <v>1.7000000000000001E-7</v>
      </c>
      <c r="AU207" s="3">
        <f t="shared" si="4"/>
        <v>2.1299999999999999E-10</v>
      </c>
      <c r="AV207" s="3">
        <f t="shared" si="5"/>
        <v>2.8000000000000002E-10</v>
      </c>
    </row>
    <row r="208" spans="28:48" x14ac:dyDescent="0.2">
      <c r="AB208" s="8" t="s">
        <v>118</v>
      </c>
      <c r="AC208" s="3">
        <v>12926943232</v>
      </c>
      <c r="AR208" s="8" t="s">
        <v>35</v>
      </c>
      <c r="AS208" s="3">
        <f t="shared" si="2"/>
        <v>1.176E-6</v>
      </c>
      <c r="AT208" s="3">
        <f t="shared" si="3"/>
        <v>4.7300000000000001E-7</v>
      </c>
      <c r="AU208" s="3">
        <f t="shared" si="4"/>
        <v>4.5E-11</v>
      </c>
      <c r="AV208" s="3">
        <f t="shared" si="5"/>
        <v>6.4999999999999995E-11</v>
      </c>
    </row>
    <row r="209" spans="28:62" x14ac:dyDescent="0.2">
      <c r="AB209" s="8" t="s">
        <v>43</v>
      </c>
      <c r="AC209" s="3">
        <v>12926943232</v>
      </c>
      <c r="AR209" s="8" t="s">
        <v>34</v>
      </c>
      <c r="AS209" s="3">
        <f t="shared" si="2"/>
        <v>3.2000000000000001E-7</v>
      </c>
      <c r="AT209" s="3">
        <f t="shared" si="3"/>
        <v>4.5000000000000003E-7</v>
      </c>
      <c r="AU209" s="3">
        <f t="shared" si="4"/>
        <v>7.5E-12</v>
      </c>
      <c r="AV209" s="3">
        <f>AF242*0.000000000001</f>
        <v>2.4000000000000001E-11</v>
      </c>
    </row>
    <row r="210" spans="28:62" x14ac:dyDescent="0.2">
      <c r="AB210" s="8" t="s">
        <v>136</v>
      </c>
      <c r="AC210" s="3">
        <v>12831659008</v>
      </c>
      <c r="AR210" s="52" t="s">
        <v>380</v>
      </c>
      <c r="AS210" s="120">
        <f>298*0.000000001</f>
        <v>2.9799999999999999E-7</v>
      </c>
      <c r="AT210" s="120"/>
      <c r="AU210" s="120">
        <f>285*0.000000000001</f>
        <v>2.85E-10</v>
      </c>
      <c r="AV210" s="120"/>
    </row>
    <row r="211" spans="28:62" x14ac:dyDescent="0.2">
      <c r="AB211" s="8" t="s">
        <v>366</v>
      </c>
      <c r="AC211" s="3">
        <f>AC208/2</f>
        <v>6463471616</v>
      </c>
    </row>
    <row r="212" spans="28:62" x14ac:dyDescent="0.2">
      <c r="AB212" s="8" t="s">
        <v>120</v>
      </c>
      <c r="AC212" s="3">
        <f>AC208/2</f>
        <v>6463471616</v>
      </c>
      <c r="AF212" t="s">
        <v>381</v>
      </c>
      <c r="AG212">
        <v>50000</v>
      </c>
      <c r="AH212">
        <v>10000</v>
      </c>
    </row>
    <row r="213" spans="28:62" x14ac:dyDescent="0.2">
      <c r="AB213" s="26" t="s">
        <v>369</v>
      </c>
      <c r="AC213" s="30">
        <v>65536</v>
      </c>
      <c r="AF213" t="s">
        <v>382</v>
      </c>
      <c r="AG213">
        <v>1231851</v>
      </c>
      <c r="AH213">
        <v>50000</v>
      </c>
      <c r="AS213" t="s">
        <v>383</v>
      </c>
      <c r="AT213" t="s">
        <v>114</v>
      </c>
    </row>
    <row r="214" spans="28:62" x14ac:dyDescent="0.2">
      <c r="AR214" s="2" t="s">
        <v>366</v>
      </c>
      <c r="AS214">
        <v>1.0286951020408164E-6</v>
      </c>
      <c r="AT214">
        <v>1.9005102040816327E-3</v>
      </c>
    </row>
    <row r="215" spans="28:62" x14ac:dyDescent="0.2">
      <c r="AB215" s="111" t="s">
        <v>28</v>
      </c>
      <c r="AC215" s="113"/>
      <c r="AR215" s="2" t="s">
        <v>384</v>
      </c>
      <c r="AS215">
        <v>1.3281153061224489E-7</v>
      </c>
      <c r="AT215">
        <v>4.2729591836734697E-4</v>
      </c>
    </row>
    <row r="216" spans="28:62" x14ac:dyDescent="0.2">
      <c r="AB216" s="8" t="s">
        <v>118</v>
      </c>
      <c r="AC216" s="3">
        <v>60408</v>
      </c>
      <c r="AH216" t="s">
        <v>385</v>
      </c>
      <c r="AR216" t="s">
        <v>386</v>
      </c>
      <c r="AS216" s="5">
        <v>6.8349999999999999E-12</v>
      </c>
      <c r="AT216" s="5">
        <v>2.1600000000000001E-6</v>
      </c>
    </row>
    <row r="217" spans="28:62" x14ac:dyDescent="0.2">
      <c r="AB217" s="8" t="s">
        <v>43</v>
      </c>
      <c r="AC217" s="3">
        <v>60408</v>
      </c>
      <c r="AF217" t="s">
        <v>129</v>
      </c>
      <c r="AG217">
        <v>2528</v>
      </c>
      <c r="AH217">
        <f>AG217/(1231851+50000)</f>
        <v>1.9721480889744597E-3</v>
      </c>
    </row>
    <row r="218" spans="28:62" x14ac:dyDescent="0.2">
      <c r="AB218" s="8" t="s">
        <v>136</v>
      </c>
      <c r="AC218" s="3">
        <f>AC217/2</f>
        <v>30204</v>
      </c>
    </row>
    <row r="219" spans="28:62" x14ac:dyDescent="0.2">
      <c r="AB219" s="8" t="s">
        <v>366</v>
      </c>
      <c r="AC219" s="3">
        <f>AC218/2</f>
        <v>15102</v>
      </c>
    </row>
    <row r="220" spans="28:62" x14ac:dyDescent="0.2">
      <c r="AB220" s="8" t="s">
        <v>120</v>
      </c>
      <c r="AC220" s="3">
        <v>15102</v>
      </c>
    </row>
    <row r="221" spans="28:62" x14ac:dyDescent="0.2">
      <c r="AB221" s="26" t="s">
        <v>369</v>
      </c>
      <c r="AC221" s="30">
        <v>784</v>
      </c>
    </row>
    <row r="222" spans="28:62" x14ac:dyDescent="0.2">
      <c r="AG222" s="3" t="s">
        <v>128</v>
      </c>
      <c r="AH222" s="3"/>
      <c r="AI222" s="3" t="s">
        <v>383</v>
      </c>
      <c r="AJ222" s="3" t="s">
        <v>114</v>
      </c>
      <c r="AK222" s="3" t="s">
        <v>67</v>
      </c>
      <c r="AN222" s="3" t="s">
        <v>68</v>
      </c>
      <c r="AO222" s="3"/>
      <c r="AP222" s="3" t="s">
        <v>383</v>
      </c>
      <c r="AQ222" s="3" t="s">
        <v>114</v>
      </c>
      <c r="AR222" s="3" t="s">
        <v>67</v>
      </c>
      <c r="AT222" s="3" t="s">
        <v>69</v>
      </c>
      <c r="AU222" s="3"/>
      <c r="AV222" s="3" t="s">
        <v>383</v>
      </c>
      <c r="AW222" s="3" t="s">
        <v>114</v>
      </c>
      <c r="AX222" s="3" t="s">
        <v>67</v>
      </c>
      <c r="AZ222" s="3" t="s">
        <v>28</v>
      </c>
      <c r="BA222" s="3"/>
      <c r="BB222" s="3" t="s">
        <v>383</v>
      </c>
      <c r="BC222" s="3" t="s">
        <v>114</v>
      </c>
      <c r="BD222" s="3" t="s">
        <v>67</v>
      </c>
      <c r="BF222" s="3" t="s">
        <v>64</v>
      </c>
      <c r="BG222" s="3"/>
      <c r="BH222" s="3" t="s">
        <v>383</v>
      </c>
      <c r="BI222" s="3" t="s">
        <v>114</v>
      </c>
      <c r="BJ222" s="3" t="s">
        <v>67</v>
      </c>
    </row>
    <row r="223" spans="28:62" x14ac:dyDescent="0.2">
      <c r="AB223" s="111" t="s">
        <v>64</v>
      </c>
      <c r="AC223" s="113"/>
      <c r="AG223" s="109" t="s">
        <v>374</v>
      </c>
      <c r="AH223" s="109"/>
      <c r="AI223" s="109"/>
      <c r="AJ223" s="109"/>
      <c r="AK223" s="109"/>
      <c r="AN223" s="109" t="s">
        <v>374</v>
      </c>
      <c r="AO223" s="109"/>
      <c r="AP223" s="109"/>
      <c r="AQ223" s="109"/>
      <c r="AR223" s="109"/>
      <c r="AT223" s="109" t="s">
        <v>374</v>
      </c>
      <c r="AU223" s="109"/>
      <c r="AV223" s="109"/>
      <c r="AW223" s="109"/>
      <c r="AX223" s="109"/>
      <c r="AZ223" s="109" t="s">
        <v>374</v>
      </c>
      <c r="BA223" s="109"/>
      <c r="BB223" s="109"/>
      <c r="BC223" s="109"/>
      <c r="BD223" s="109"/>
      <c r="BF223" s="109" t="s">
        <v>374</v>
      </c>
      <c r="BG223" s="109"/>
      <c r="BH223" s="109"/>
      <c r="BI223" s="109"/>
      <c r="BJ223" s="109"/>
    </row>
    <row r="224" spans="28:62" x14ac:dyDescent="0.2">
      <c r="AB224" s="8" t="s">
        <v>118</v>
      </c>
      <c r="AC224" s="3">
        <v>60750</v>
      </c>
      <c r="AG224" s="3" t="s">
        <v>43</v>
      </c>
      <c r="AH224" s="6">
        <v>1135256096</v>
      </c>
      <c r="AI224" s="3">
        <f>AH224*AU203</f>
        <v>0.105578816928</v>
      </c>
      <c r="AJ224" s="3">
        <f>AH224*AS203</f>
        <v>162.34162172800001</v>
      </c>
      <c r="AK224" s="3">
        <f>AI224/AJ224</f>
        <v>6.5034965034965037E-4</v>
      </c>
      <c r="AN224" s="3" t="s">
        <v>43</v>
      </c>
      <c r="AO224" s="6">
        <v>11077255168</v>
      </c>
      <c r="AP224" s="3">
        <f>AO224*AU203</f>
        <v>1.030184730624</v>
      </c>
      <c r="AQ224" s="3">
        <f>AO224*AS203</f>
        <v>1584.047489024</v>
      </c>
      <c r="AR224" s="3">
        <f>AP224/AQ224</f>
        <v>6.5034965034965026E-4</v>
      </c>
      <c r="AT224" s="3" t="s">
        <v>43</v>
      </c>
      <c r="AU224" s="3">
        <v>12926943232</v>
      </c>
      <c r="AV224" s="3">
        <f>AU224*AU203</f>
        <v>1.2022057205759999</v>
      </c>
      <c r="AW224" s="3">
        <f>AU224*AS203</f>
        <v>1848.5528821759999</v>
      </c>
      <c r="AX224" s="3">
        <f>AV224/AW224</f>
        <v>6.5034965034965037E-4</v>
      </c>
      <c r="AZ224" s="3" t="s">
        <v>43</v>
      </c>
      <c r="BA224" s="3">
        <v>60408</v>
      </c>
      <c r="BB224" s="3">
        <f>BA224*AU203</f>
        <v>5.6179440000000004E-6</v>
      </c>
      <c r="BC224" s="3">
        <f>BA224*AS203</f>
        <v>8.6383439999999992E-3</v>
      </c>
      <c r="BD224" s="3">
        <f>BB224/BC224</f>
        <v>6.5034965034965048E-4</v>
      </c>
      <c r="BF224" s="3" t="s">
        <v>43</v>
      </c>
      <c r="BG224" s="3">
        <v>60750</v>
      </c>
      <c r="BH224" s="3">
        <f>BG224*AU203</f>
        <v>5.6497500000000004E-6</v>
      </c>
      <c r="BI224" s="3">
        <f>BG224*AS203</f>
        <v>8.6872500000000005E-3</v>
      </c>
      <c r="BJ224" s="3">
        <f>BH224/BI224</f>
        <v>6.5034965034965037E-4</v>
      </c>
    </row>
    <row r="225" spans="28:62" x14ac:dyDescent="0.2">
      <c r="AB225" s="8" t="s">
        <v>43</v>
      </c>
      <c r="AC225" s="3">
        <v>60750</v>
      </c>
      <c r="AG225" s="3" t="s">
        <v>136</v>
      </c>
      <c r="AH225" s="3">
        <v>1093894592</v>
      </c>
      <c r="AI225" s="3">
        <f>AH225*AV203</f>
        <v>0.18268039686399998</v>
      </c>
      <c r="AJ225" s="3">
        <f>AH225*AT203</f>
        <v>508.66098528000003</v>
      </c>
      <c r="AK225" s="3">
        <f t="shared" ref="AK225:AK227" si="6">AI225/AJ225</f>
        <v>3.591397849462365E-4</v>
      </c>
      <c r="AN225" s="3" t="s">
        <v>136</v>
      </c>
      <c r="AO225" s="3">
        <v>10989196288</v>
      </c>
      <c r="AP225" s="3">
        <f>AO225*AV203</f>
        <v>1.8351957800959999</v>
      </c>
      <c r="AQ225" s="3">
        <f>AO225*AT203</f>
        <v>5109.9762739200005</v>
      </c>
      <c r="AR225" s="3">
        <f t="shared" ref="AR225:AR227" si="7">AP225/AQ225</f>
        <v>3.591397849462365E-4</v>
      </c>
      <c r="AT225" s="3" t="s">
        <v>136</v>
      </c>
      <c r="AU225" s="3">
        <v>12831659008</v>
      </c>
      <c r="AV225" s="3">
        <f>AU225*AV203</f>
        <v>2.1428870543359997</v>
      </c>
      <c r="AW225" s="3">
        <f>AU225*AT203</f>
        <v>5966.7214387200011</v>
      </c>
      <c r="AX225" s="3">
        <f t="shared" ref="AX225:AX227" si="8">AV225/AW225</f>
        <v>3.5913978494623645E-4</v>
      </c>
      <c r="AZ225" s="3" t="s">
        <v>136</v>
      </c>
      <c r="BA225" s="3">
        <v>30204</v>
      </c>
      <c r="BB225" s="3">
        <f>BA225*AV203</f>
        <v>5.0440679999999997E-6</v>
      </c>
      <c r="BC225" s="3">
        <f>BA225*AT203</f>
        <v>1.4044860000000001E-2</v>
      </c>
      <c r="BD225" s="3">
        <f t="shared" ref="BD225:BD227" si="9">BB225/BC225</f>
        <v>3.591397849462365E-4</v>
      </c>
      <c r="BF225" s="3" t="s">
        <v>136</v>
      </c>
      <c r="BG225" s="3">
        <v>30375</v>
      </c>
      <c r="BH225" s="3">
        <f>BG225*AV203</f>
        <v>5.0726249999999996E-6</v>
      </c>
      <c r="BI225" s="3">
        <f>BG225*AT203</f>
        <v>1.4124375000000002E-2</v>
      </c>
      <c r="BJ225" s="3">
        <f t="shared" ref="BJ225:BJ227" si="10">BH225/BI225</f>
        <v>3.591397849462365E-4</v>
      </c>
    </row>
    <row r="226" spans="28:62" x14ac:dyDescent="0.2">
      <c r="AB226" s="8" t="s">
        <v>136</v>
      </c>
      <c r="AC226" s="3">
        <f>AC225/2</f>
        <v>30375</v>
      </c>
      <c r="AG226" s="3" t="s">
        <v>366</v>
      </c>
      <c r="AH226" s="3">
        <v>567628048</v>
      </c>
      <c r="AI226" s="3">
        <f>AH226*AD254</f>
        <v>583.91619275858943</v>
      </c>
      <c r="AJ226" s="3">
        <f>AH226*AE254</f>
        <v>1078782.8973469387</v>
      </c>
      <c r="AK226" s="3">
        <f t="shared" si="6"/>
        <v>5.412731275167786E-4</v>
      </c>
      <c r="AN226" s="3" t="s">
        <v>366</v>
      </c>
      <c r="AO226" s="3">
        <v>5538627584</v>
      </c>
      <c r="AP226" s="3">
        <f>AO226*AS214</f>
        <v>5697.5590676889606</v>
      </c>
      <c r="AQ226" s="3">
        <f>AO226*AT214</f>
        <v>10526218.24</v>
      </c>
      <c r="AR226" s="3">
        <f t="shared" si="7"/>
        <v>5.412731275167786E-4</v>
      </c>
      <c r="AT226" s="3" t="s">
        <v>366</v>
      </c>
      <c r="AU226" s="3">
        <v>6463471616</v>
      </c>
      <c r="AV226" s="3">
        <f>AU226*AS214</f>
        <v>6648.9415935590405</v>
      </c>
      <c r="AW226" s="3">
        <f>AV226*AT214</f>
        <v>12.636381344901748</v>
      </c>
      <c r="AX226" s="3">
        <f t="shared" si="8"/>
        <v>526.17449664429535</v>
      </c>
      <c r="AZ226" s="3" t="s">
        <v>366</v>
      </c>
      <c r="BA226" s="3">
        <v>15102</v>
      </c>
      <c r="BB226" s="6">
        <f>BA226*AS214</f>
        <v>1.553535343102041E-2</v>
      </c>
      <c r="BC226" s="3">
        <f>BA226*AT214</f>
        <v>28.701505102040816</v>
      </c>
      <c r="BD226" s="3">
        <f t="shared" si="9"/>
        <v>5.412731275167786E-4</v>
      </c>
      <c r="BF226" s="3" t="s">
        <v>366</v>
      </c>
      <c r="BG226" s="3">
        <v>15102</v>
      </c>
      <c r="BH226" s="3">
        <v>1.553535343102041E-2</v>
      </c>
      <c r="BI226" s="3">
        <v>28.701505102040816</v>
      </c>
      <c r="BJ226" s="3">
        <f t="shared" si="10"/>
        <v>5.412731275167786E-4</v>
      </c>
    </row>
    <row r="227" spans="28:62" x14ac:dyDescent="0.2">
      <c r="AB227" s="8" t="s">
        <v>366</v>
      </c>
      <c r="AC227" s="3">
        <v>15102</v>
      </c>
      <c r="AG227" s="3" t="s">
        <v>367</v>
      </c>
      <c r="AH227" s="3">
        <v>567628048</v>
      </c>
      <c r="AI227" s="3">
        <f>AH227*AD255</f>
        <v>75.387549873320808</v>
      </c>
      <c r="AJ227" s="3">
        <f>AH227*AE255</f>
        <v>242545.14806122449</v>
      </c>
      <c r="AK227" s="3">
        <f t="shared" si="6"/>
        <v>3.108186268656716E-4</v>
      </c>
      <c r="AN227" s="3" t="s">
        <v>367</v>
      </c>
      <c r="AO227" s="3">
        <v>5538627584</v>
      </c>
      <c r="AP227" s="3">
        <f>AO227*AS215</f>
        <v>735.59360692223993</v>
      </c>
      <c r="AQ227" s="3">
        <f>AO227*AT215</f>
        <v>2366632.96</v>
      </c>
      <c r="AR227" s="3">
        <f t="shared" si="7"/>
        <v>3.108186268656716E-4</v>
      </c>
      <c r="AT227" s="3" t="s">
        <v>367</v>
      </c>
      <c r="AU227" s="3">
        <v>6463471616</v>
      </c>
      <c r="AV227" s="3">
        <f>AU227*AS215</f>
        <v>858.42355838975993</v>
      </c>
      <c r="AW227" s="3">
        <f>AV227*AT215</f>
        <v>0.36680088273031836</v>
      </c>
      <c r="AX227" s="3">
        <f t="shared" si="8"/>
        <v>2340.2985074626863</v>
      </c>
      <c r="AZ227" s="3" t="s">
        <v>367</v>
      </c>
      <c r="BA227" s="3">
        <v>15102</v>
      </c>
      <c r="BB227" s="6">
        <f>BA227*AS215</f>
        <v>2.0057197353061224E-3</v>
      </c>
      <c r="BC227" s="3">
        <f>BA227*AT215</f>
        <v>6.4530229591836736</v>
      </c>
      <c r="BD227" s="3">
        <f t="shared" si="9"/>
        <v>3.1081862686567165E-4</v>
      </c>
      <c r="BF227" s="3" t="s">
        <v>367</v>
      </c>
      <c r="BG227" s="3">
        <v>15102</v>
      </c>
      <c r="BH227" s="3">
        <v>2.0057197353061224E-3</v>
      </c>
      <c r="BI227" s="3">
        <v>6.4530229591836736</v>
      </c>
      <c r="BJ227" s="3">
        <f t="shared" si="10"/>
        <v>3.1081862686567165E-4</v>
      </c>
    </row>
    <row r="228" spans="28:62" x14ac:dyDescent="0.2">
      <c r="AB228" s="8" t="s">
        <v>120</v>
      </c>
      <c r="AC228" s="3">
        <v>15102</v>
      </c>
      <c r="AN228" s="30"/>
      <c r="AT228" s="30"/>
      <c r="AZ228" s="30"/>
      <c r="BF228" s="30"/>
    </row>
    <row r="229" spans="28:62" x14ac:dyDescent="0.2">
      <c r="AB229" s="26" t="s">
        <v>369</v>
      </c>
      <c r="AC229" s="30">
        <v>784</v>
      </c>
    </row>
    <row r="231" spans="28:62" x14ac:dyDescent="0.2">
      <c r="AG231" s="3" t="s">
        <v>128</v>
      </c>
      <c r="AH231" s="3"/>
      <c r="AI231" s="3" t="s">
        <v>383</v>
      </c>
      <c r="AJ231" s="3" t="s">
        <v>114</v>
      </c>
      <c r="AK231" s="3" t="s">
        <v>67</v>
      </c>
      <c r="AN231" s="3" t="s">
        <v>68</v>
      </c>
      <c r="AO231" s="3"/>
      <c r="AP231" s="3" t="s">
        <v>383</v>
      </c>
      <c r="AQ231" s="3" t="s">
        <v>114</v>
      </c>
      <c r="AR231" s="3" t="s">
        <v>67</v>
      </c>
      <c r="AT231" s="3" t="s">
        <v>69</v>
      </c>
      <c r="AU231" s="3"/>
      <c r="AV231" s="3" t="s">
        <v>383</v>
      </c>
      <c r="AW231" s="3" t="s">
        <v>114</v>
      </c>
      <c r="AX231" s="3" t="s">
        <v>67</v>
      </c>
      <c r="AZ231" s="3" t="s">
        <v>28</v>
      </c>
      <c r="BA231" s="3"/>
      <c r="BB231" s="3" t="s">
        <v>383</v>
      </c>
      <c r="BC231" s="3" t="s">
        <v>114</v>
      </c>
      <c r="BD231" s="3" t="s">
        <v>67</v>
      </c>
      <c r="BF231" s="3" t="s">
        <v>64</v>
      </c>
      <c r="BG231" s="3"/>
      <c r="BH231" s="3" t="s">
        <v>383</v>
      </c>
      <c r="BI231" s="3" t="s">
        <v>114</v>
      </c>
      <c r="BJ231" s="3" t="s">
        <v>67</v>
      </c>
    </row>
    <row r="232" spans="28:62" x14ac:dyDescent="0.2">
      <c r="AG232" s="109" t="s">
        <v>387</v>
      </c>
      <c r="AH232" s="109"/>
      <c r="AI232" s="109"/>
      <c r="AJ232" s="109"/>
      <c r="AK232" s="109"/>
      <c r="AN232" s="109" t="s">
        <v>387</v>
      </c>
      <c r="AO232" s="109"/>
      <c r="AP232" s="109"/>
      <c r="AQ232" s="109"/>
      <c r="AR232" s="109"/>
      <c r="AT232" s="109" t="s">
        <v>387</v>
      </c>
      <c r="AU232" s="109"/>
      <c r="AV232" s="109"/>
      <c r="AW232" s="109"/>
      <c r="AX232" s="109"/>
      <c r="AZ232" s="109" t="s">
        <v>387</v>
      </c>
      <c r="BA232" s="109"/>
      <c r="BB232" s="109"/>
      <c r="BC232" s="109"/>
      <c r="BD232" s="109"/>
      <c r="BF232" s="109" t="s">
        <v>387</v>
      </c>
      <c r="BG232" s="109"/>
      <c r="BH232" s="109"/>
      <c r="BI232" s="109"/>
      <c r="BJ232" s="109"/>
    </row>
    <row r="233" spans="28:62" x14ac:dyDescent="0.2">
      <c r="AG233" s="3" t="s">
        <v>43</v>
      </c>
      <c r="AH233" s="3">
        <v>1135256096</v>
      </c>
      <c r="AI233" s="3">
        <f>AH233*AU204</f>
        <v>0.103308304736</v>
      </c>
      <c r="AJ233" s="3">
        <f>AH233*AS204</f>
        <v>170.28841440000002</v>
      </c>
      <c r="AK233" s="3">
        <f>AI233/AJ233</f>
        <v>6.066666666666666E-4</v>
      </c>
      <c r="AN233" s="3" t="s">
        <v>43</v>
      </c>
      <c r="AO233" s="3">
        <v>11077255168</v>
      </c>
      <c r="AP233" s="3">
        <f>AO233*AU204</f>
        <v>1.008030220288</v>
      </c>
      <c r="AQ233" s="3">
        <f>AO233*AS204</f>
        <v>1661.5882752000002</v>
      </c>
      <c r="AR233" s="3">
        <f>AP233/AQ233</f>
        <v>6.066666666666666E-4</v>
      </c>
      <c r="AT233" s="3" t="s">
        <v>43</v>
      </c>
      <c r="AU233" s="3">
        <v>12926943232</v>
      </c>
      <c r="AV233" s="3">
        <f>AU233*AU204</f>
        <v>1.1763518341119998</v>
      </c>
      <c r="AW233" s="3">
        <f>AU233*AS204</f>
        <v>1939.0414848000003</v>
      </c>
      <c r="AX233" s="3">
        <f>AV233/AW233</f>
        <v>6.0666666666666649E-4</v>
      </c>
      <c r="AZ233" s="3" t="s">
        <v>43</v>
      </c>
      <c r="BA233" s="3">
        <v>60408</v>
      </c>
      <c r="BB233" s="3">
        <f>BA233*AU204</f>
        <v>5.4971279999999994E-6</v>
      </c>
      <c r="BC233" s="3">
        <f>BA233*AS204</f>
        <v>9.0612000000000019E-3</v>
      </c>
      <c r="BD233" s="3">
        <f>BB233/BC233</f>
        <v>6.0666666666666649E-4</v>
      </c>
      <c r="BF233" s="3" t="s">
        <v>43</v>
      </c>
      <c r="BG233" s="3">
        <v>60750</v>
      </c>
      <c r="BH233" s="3">
        <f>BG233*AU204</f>
        <v>5.52825E-6</v>
      </c>
      <c r="BI233" s="3">
        <f>BG233*AS204</f>
        <v>9.1125000000000008E-3</v>
      </c>
      <c r="BJ233" s="3">
        <f>BH233/BI233</f>
        <v>6.066666666666666E-4</v>
      </c>
    </row>
    <row r="234" spans="28:62" x14ac:dyDescent="0.2">
      <c r="AG234" s="3" t="s">
        <v>136</v>
      </c>
      <c r="AH234" s="3">
        <v>1093894592</v>
      </c>
      <c r="AI234" s="3">
        <f>AH234*AV204</f>
        <v>0.16955366176</v>
      </c>
      <c r="AJ234" s="3">
        <f>AH234*AV204</f>
        <v>0.16955366176</v>
      </c>
      <c r="AK234" s="3">
        <f t="shared" ref="AK234:AK236" si="11">AI234/AJ234</f>
        <v>1</v>
      </c>
      <c r="AN234" s="3" t="s">
        <v>136</v>
      </c>
      <c r="AO234" s="3">
        <v>10989196288</v>
      </c>
      <c r="AP234" s="3">
        <f>AO234*AV204</f>
        <v>1.70332542464</v>
      </c>
      <c r="AQ234" s="3">
        <f>AO234*AT204</f>
        <v>4945.1383296000004</v>
      </c>
      <c r="AR234" s="3">
        <f t="shared" ref="AR234:AR236" si="12">AP234/AQ234</f>
        <v>3.4444444444444442E-4</v>
      </c>
      <c r="AT234" s="3" t="s">
        <v>136</v>
      </c>
      <c r="AU234" s="3">
        <v>12831659008</v>
      </c>
      <c r="AV234" s="3">
        <f>AU234*AV204</f>
        <v>1.9889071462400001</v>
      </c>
      <c r="AW234" s="3">
        <f>AU234*AT204</f>
        <v>5774.2465536</v>
      </c>
      <c r="AX234" s="3">
        <f t="shared" ref="AX234:AX236" si="13">AV234/AW234</f>
        <v>3.4444444444444447E-4</v>
      </c>
      <c r="AZ234" s="3" t="s">
        <v>136</v>
      </c>
      <c r="BA234" s="3">
        <v>30204</v>
      </c>
      <c r="BB234" s="3">
        <f>BA234*AV204</f>
        <v>4.6816199999999999E-6</v>
      </c>
      <c r="BC234" s="3">
        <f>BA234*AT204</f>
        <v>1.3591800000000001E-2</v>
      </c>
      <c r="BD234" s="3">
        <f t="shared" ref="BD234:BD236" si="14">BB234/BC234</f>
        <v>3.4444444444444442E-4</v>
      </c>
      <c r="BF234" s="3" t="s">
        <v>136</v>
      </c>
      <c r="BG234" s="3">
        <v>30375</v>
      </c>
      <c r="BH234" s="3">
        <f>BG234*AV204</f>
        <v>4.7081249999999999E-6</v>
      </c>
      <c r="BI234" s="3">
        <f>BG234*AT204</f>
        <v>1.366875E-2</v>
      </c>
      <c r="BJ234" s="3">
        <f t="shared" ref="BJ234:BJ236" si="15">BH234/BI234</f>
        <v>3.4444444444444442E-4</v>
      </c>
    </row>
    <row r="235" spans="28:62" x14ac:dyDescent="0.2">
      <c r="AB235" s="3"/>
      <c r="AC235" s="8" t="s">
        <v>388</v>
      </c>
      <c r="AD235" s="8" t="s">
        <v>389</v>
      </c>
      <c r="AE235" s="8" t="s">
        <v>390</v>
      </c>
      <c r="AF235" s="51" t="s">
        <v>391</v>
      </c>
      <c r="AG235" s="3" t="s">
        <v>366</v>
      </c>
      <c r="AH235" s="3">
        <v>567628048</v>
      </c>
      <c r="AI235" s="3">
        <f>AH235*AD254</f>
        <v>583.91619275858943</v>
      </c>
      <c r="AJ235" s="3">
        <v>1078782.8973469387</v>
      </c>
      <c r="AK235" s="3">
        <f t="shared" si="11"/>
        <v>5.412731275167786E-4</v>
      </c>
      <c r="AN235" s="3" t="s">
        <v>366</v>
      </c>
      <c r="AO235" s="3">
        <v>5538627584</v>
      </c>
      <c r="AP235" s="3">
        <v>5697.5590676889606</v>
      </c>
      <c r="AQ235" s="3">
        <v>10526218.24</v>
      </c>
      <c r="AR235" s="3">
        <f t="shared" si="12"/>
        <v>5.412731275167786E-4</v>
      </c>
      <c r="AT235" s="3" t="s">
        <v>366</v>
      </c>
      <c r="AU235" s="3">
        <v>6463471616</v>
      </c>
      <c r="AV235" s="3">
        <v>6648.9415935590405</v>
      </c>
      <c r="AW235" s="3">
        <v>12.636381344901748</v>
      </c>
      <c r="AX235" s="3">
        <f t="shared" si="13"/>
        <v>526.17449664429535</v>
      </c>
      <c r="AZ235" s="3" t="s">
        <v>366</v>
      </c>
      <c r="BA235" s="3">
        <v>15102</v>
      </c>
      <c r="BB235" s="3">
        <v>1.553535343102041E-2</v>
      </c>
      <c r="BC235" s="3">
        <v>28.701505102040816</v>
      </c>
      <c r="BD235" s="3">
        <f t="shared" si="14"/>
        <v>5.412731275167786E-4</v>
      </c>
      <c r="BF235" s="3" t="s">
        <v>366</v>
      </c>
      <c r="BG235" s="3">
        <v>15102</v>
      </c>
      <c r="BH235" s="3">
        <v>1.553535343102041E-2</v>
      </c>
      <c r="BI235" s="3">
        <v>28.701505102040816</v>
      </c>
      <c r="BJ235" s="3">
        <f t="shared" si="15"/>
        <v>5.412731275167786E-4</v>
      </c>
    </row>
    <row r="236" spans="28:62" x14ac:dyDescent="0.2">
      <c r="AB236" s="8" t="s">
        <v>374</v>
      </c>
      <c r="AC236" s="3">
        <v>143</v>
      </c>
      <c r="AD236" s="3">
        <v>465</v>
      </c>
      <c r="AE236" s="3">
        <v>93</v>
      </c>
      <c r="AF236" s="36">
        <v>167</v>
      </c>
      <c r="AG236" s="3" t="s">
        <v>367</v>
      </c>
      <c r="AH236" s="3">
        <v>567628048</v>
      </c>
      <c r="AI236" s="3">
        <f>AH236*AD255</f>
        <v>75.387549873320808</v>
      </c>
      <c r="AJ236" s="3">
        <v>242545.14806122449</v>
      </c>
      <c r="AK236" s="3">
        <f t="shared" si="11"/>
        <v>3.108186268656716E-4</v>
      </c>
      <c r="AN236" s="3" t="s">
        <v>367</v>
      </c>
      <c r="AO236" s="3">
        <v>5538627584</v>
      </c>
      <c r="AP236" s="3">
        <v>735.59360692223993</v>
      </c>
      <c r="AQ236" s="3">
        <v>2366632.96</v>
      </c>
      <c r="AR236" s="3">
        <f t="shared" si="12"/>
        <v>3.108186268656716E-4</v>
      </c>
      <c r="AT236" s="3" t="s">
        <v>367</v>
      </c>
      <c r="AU236" s="3">
        <v>6463471616</v>
      </c>
      <c r="AV236" s="3">
        <v>858.42355838975993</v>
      </c>
      <c r="AW236" s="3">
        <v>0.36680088273031836</v>
      </c>
      <c r="AX236" s="3">
        <f t="shared" si="13"/>
        <v>2340.2985074626863</v>
      </c>
      <c r="AZ236" s="3" t="s">
        <v>367</v>
      </c>
      <c r="BA236" s="3">
        <v>15102</v>
      </c>
      <c r="BB236" s="3">
        <v>2.0057197353061224E-3</v>
      </c>
      <c r="BC236" s="3">
        <v>6.4530229591836736</v>
      </c>
      <c r="BD236" s="3">
        <f t="shared" si="14"/>
        <v>3.1081862686567165E-4</v>
      </c>
      <c r="BF236" s="3" t="s">
        <v>367</v>
      </c>
      <c r="BG236" s="3">
        <v>15102</v>
      </c>
      <c r="BH236" s="3">
        <v>2.0057197353061224E-3</v>
      </c>
      <c r="BI236" s="3">
        <v>6.4530229591836736</v>
      </c>
      <c r="BJ236" s="3">
        <f t="shared" si="15"/>
        <v>3.1081862686567165E-4</v>
      </c>
    </row>
    <row r="237" spans="28:62" x14ac:dyDescent="0.2">
      <c r="AB237" s="8" t="s">
        <v>375</v>
      </c>
      <c r="AC237" s="3">
        <v>150</v>
      </c>
      <c r="AD237" s="3">
        <v>450</v>
      </c>
      <c r="AE237" s="3">
        <v>91</v>
      </c>
      <c r="AF237" s="3">
        <v>155</v>
      </c>
    </row>
    <row r="238" spans="28:62" x14ac:dyDescent="0.2">
      <c r="AB238" s="8" t="s">
        <v>377</v>
      </c>
      <c r="AC238" s="3">
        <v>125</v>
      </c>
      <c r="AD238" s="3">
        <v>170</v>
      </c>
      <c r="AE238" s="3">
        <v>99</v>
      </c>
      <c r="AF238" s="3">
        <v>180</v>
      </c>
    </row>
    <row r="239" spans="28:62" x14ac:dyDescent="0.2">
      <c r="AB239" s="8" t="s">
        <v>378</v>
      </c>
      <c r="AC239" s="3">
        <v>170</v>
      </c>
      <c r="AD239" s="3">
        <v>468</v>
      </c>
      <c r="AE239" s="3">
        <v>90</v>
      </c>
      <c r="AF239" s="3">
        <v>180</v>
      </c>
    </row>
    <row r="240" spans="28:62" x14ac:dyDescent="0.2">
      <c r="AB240" s="8" t="s">
        <v>379</v>
      </c>
      <c r="AC240" s="3">
        <v>21</v>
      </c>
      <c r="AD240" s="3">
        <v>170</v>
      </c>
      <c r="AE240" s="3">
        <v>213</v>
      </c>
      <c r="AF240" s="36">
        <v>280</v>
      </c>
      <c r="AG240" s="3" t="s">
        <v>128</v>
      </c>
      <c r="AH240" s="3"/>
      <c r="AI240" s="3" t="s">
        <v>383</v>
      </c>
      <c r="AJ240" s="3" t="s">
        <v>114</v>
      </c>
      <c r="AK240" s="3" t="s">
        <v>67</v>
      </c>
      <c r="AN240" s="3" t="s">
        <v>68</v>
      </c>
      <c r="AO240" s="3"/>
      <c r="AP240" s="3" t="s">
        <v>383</v>
      </c>
      <c r="AQ240" s="3" t="s">
        <v>114</v>
      </c>
      <c r="AR240" s="3" t="s">
        <v>67</v>
      </c>
      <c r="AT240" s="3" t="s">
        <v>69</v>
      </c>
      <c r="AU240" s="3"/>
      <c r="AV240" s="3" t="s">
        <v>383</v>
      </c>
      <c r="AW240" s="3" t="s">
        <v>114</v>
      </c>
      <c r="AX240" s="3" t="s">
        <v>67</v>
      </c>
      <c r="AZ240" s="3" t="s">
        <v>28</v>
      </c>
      <c r="BA240" s="3"/>
      <c r="BB240" s="3" t="s">
        <v>383</v>
      </c>
      <c r="BC240" s="3" t="s">
        <v>114</v>
      </c>
      <c r="BD240" s="3" t="s">
        <v>67</v>
      </c>
      <c r="BF240" s="3" t="s">
        <v>64</v>
      </c>
      <c r="BG240" s="3"/>
      <c r="BH240" s="3" t="s">
        <v>383</v>
      </c>
      <c r="BI240" s="3" t="s">
        <v>114</v>
      </c>
      <c r="BJ240" s="3" t="s">
        <v>67</v>
      </c>
    </row>
    <row r="241" spans="28:62" x14ac:dyDescent="0.2">
      <c r="AB241" s="8" t="s">
        <v>35</v>
      </c>
      <c r="AC241" s="3">
        <v>1176</v>
      </c>
      <c r="AD241" s="3">
        <v>473</v>
      </c>
      <c r="AE241" s="3">
        <v>45</v>
      </c>
      <c r="AF241" s="36">
        <v>65</v>
      </c>
      <c r="AG241" s="109" t="s">
        <v>392</v>
      </c>
      <c r="AH241" s="109"/>
      <c r="AI241" s="109"/>
      <c r="AJ241" s="109"/>
      <c r="AK241" s="109"/>
      <c r="AN241" s="109" t="s">
        <v>392</v>
      </c>
      <c r="AO241" s="109"/>
      <c r="AP241" s="109"/>
      <c r="AQ241" s="109"/>
      <c r="AR241" s="109"/>
      <c r="AT241" s="109" t="s">
        <v>392</v>
      </c>
      <c r="AU241" s="109"/>
      <c r="AV241" s="109"/>
      <c r="AW241" s="109"/>
      <c r="AX241" s="109"/>
      <c r="AZ241" s="109" t="s">
        <v>392</v>
      </c>
      <c r="BA241" s="109"/>
      <c r="BB241" s="109"/>
      <c r="BC241" s="109"/>
      <c r="BD241" s="109"/>
      <c r="BF241" s="109" t="s">
        <v>392</v>
      </c>
      <c r="BG241" s="109"/>
      <c r="BH241" s="109"/>
      <c r="BI241" s="109"/>
      <c r="BJ241" s="109"/>
    </row>
    <row r="242" spans="28:62" x14ac:dyDescent="0.2">
      <c r="AB242" s="8" t="s">
        <v>34</v>
      </c>
      <c r="AC242" s="3">
        <v>320</v>
      </c>
      <c r="AD242" s="3">
        <v>450</v>
      </c>
      <c r="AE242" s="3">
        <v>7.5</v>
      </c>
      <c r="AF242" s="36">
        <v>24</v>
      </c>
      <c r="AG242" s="3" t="s">
        <v>43</v>
      </c>
      <c r="AH242" s="3">
        <v>1135256096</v>
      </c>
      <c r="AI242" s="3">
        <f>AH242*AU205</f>
        <v>0.11239035350399999</v>
      </c>
      <c r="AJ242" s="3">
        <f>AH242*AS205</f>
        <v>141.90701200000004</v>
      </c>
      <c r="AK242" s="3">
        <f>AI242/AJ242</f>
        <v>7.9199999999999974E-4</v>
      </c>
      <c r="AN242" s="3" t="s">
        <v>43</v>
      </c>
      <c r="AO242">
        <v>11077255168</v>
      </c>
      <c r="AP242" s="3">
        <f>AO242*AU205</f>
        <v>1.0966482616319999</v>
      </c>
      <c r="AQ242" s="3">
        <f>AO242*AS205</f>
        <v>1384.6568960000002</v>
      </c>
      <c r="AR242" s="3">
        <f>AP242/AQ242</f>
        <v>7.9199999999999984E-4</v>
      </c>
      <c r="AT242" s="3" t="s">
        <v>43</v>
      </c>
      <c r="AU242" s="3">
        <v>12926943232</v>
      </c>
      <c r="AV242" s="3">
        <f>AU242*AU205</f>
        <v>1.2797673799679998</v>
      </c>
      <c r="AW242" s="3">
        <f>AU242*AS205</f>
        <v>1615.8679040000002</v>
      </c>
      <c r="AX242" s="3">
        <f>AV242/AW242</f>
        <v>7.9199999999999984E-4</v>
      </c>
      <c r="AZ242" s="3" t="s">
        <v>43</v>
      </c>
      <c r="BA242" s="3">
        <v>60408</v>
      </c>
      <c r="BB242" s="3">
        <f>BA242*AU205</f>
        <v>5.9803919999999993E-6</v>
      </c>
      <c r="BC242" s="3">
        <f>BA242*AS205</f>
        <v>7.5510000000000013E-3</v>
      </c>
      <c r="BD242" s="3">
        <f>BB242/BC242</f>
        <v>7.9199999999999974E-4</v>
      </c>
      <c r="BF242" s="3" t="s">
        <v>43</v>
      </c>
      <c r="BG242" s="3">
        <v>60750</v>
      </c>
      <c r="BH242" s="3">
        <f>BG242*AU205</f>
        <v>6.0142500000000001E-6</v>
      </c>
      <c r="BI242" s="3">
        <f>BG242*AS205</f>
        <v>7.5937500000000015E-3</v>
      </c>
      <c r="BJ242" s="3">
        <f>BH242/BI242</f>
        <v>7.9199999999999984E-4</v>
      </c>
    </row>
    <row r="243" spans="28:62" x14ac:dyDescent="0.2">
      <c r="AB243" s="8" t="s">
        <v>380</v>
      </c>
      <c r="AC243" s="121">
        <v>209</v>
      </c>
      <c r="AD243" s="121"/>
      <c r="AE243" s="121">
        <v>41</v>
      </c>
      <c r="AF243" s="122"/>
      <c r="AG243" s="3" t="s">
        <v>136</v>
      </c>
      <c r="AH243" s="3">
        <v>1093894592</v>
      </c>
      <c r="AI243" s="3">
        <f>AH243*AV205</f>
        <v>0.19690102656</v>
      </c>
      <c r="AJ243" s="3">
        <f>AH243*AT205</f>
        <v>185.96208064000001</v>
      </c>
      <c r="AK243" s="3">
        <f t="shared" ref="AK243:AK245" si="16">AI243/AJ243</f>
        <v>1.0588235294117646E-3</v>
      </c>
      <c r="AN243" s="3" t="s">
        <v>136</v>
      </c>
      <c r="AO243">
        <v>10989196288</v>
      </c>
      <c r="AP243" s="3">
        <f>AO243*AV205</f>
        <v>1.97805533184</v>
      </c>
      <c r="AQ243" s="3">
        <f>AO243*AT205</f>
        <v>1868.1633689600001</v>
      </c>
      <c r="AR243" s="3">
        <f t="shared" ref="AR243:AR245" si="17">AP243/AQ243</f>
        <v>1.0588235294117646E-3</v>
      </c>
      <c r="AT243" s="3" t="s">
        <v>136</v>
      </c>
      <c r="AU243" s="3">
        <v>12831659008</v>
      </c>
      <c r="AV243" s="3">
        <f>AU243*AV205</f>
        <v>2.3096986214399999</v>
      </c>
      <c r="AW243" s="3">
        <f>AU243*AT205</f>
        <v>2181.3820313600004</v>
      </c>
      <c r="AX243" s="3">
        <f t="shared" ref="AX243:AX245" si="18">AV243/AW243</f>
        <v>1.0588235294117644E-3</v>
      </c>
      <c r="AZ243" s="3" t="s">
        <v>136</v>
      </c>
      <c r="BA243" s="3">
        <v>30204</v>
      </c>
      <c r="BB243" s="3">
        <f>BA243*AV205</f>
        <v>5.4367199999999997E-6</v>
      </c>
      <c r="BC243" s="3">
        <f>BA243*AT205</f>
        <v>5.1346800000000008E-3</v>
      </c>
      <c r="BD243" s="3">
        <f t="shared" ref="BD243:BD245" si="19">BB243/BC243</f>
        <v>1.0588235294117644E-3</v>
      </c>
      <c r="BF243" s="3" t="s">
        <v>136</v>
      </c>
      <c r="BG243" s="3">
        <v>30375</v>
      </c>
      <c r="BH243" s="3">
        <f>BG243*AV205</f>
        <v>5.4674999999999997E-6</v>
      </c>
      <c r="BI243" s="3">
        <f>BG243*AT205</f>
        <v>5.1637500000000008E-3</v>
      </c>
      <c r="BJ243" s="3">
        <f t="shared" ref="BJ243:BJ245" si="20">BH243/BI243</f>
        <v>1.0588235294117644E-3</v>
      </c>
    </row>
    <row r="244" spans="28:62" x14ac:dyDescent="0.2">
      <c r="AG244" s="3" t="s">
        <v>366</v>
      </c>
      <c r="AH244" s="3">
        <v>567628048</v>
      </c>
      <c r="AI244" s="3">
        <v>583.91619275858943</v>
      </c>
      <c r="AJ244" s="3">
        <v>1078782.8973469387</v>
      </c>
      <c r="AK244" s="3">
        <f t="shared" si="16"/>
        <v>5.412731275167786E-4</v>
      </c>
      <c r="AN244" s="3" t="s">
        <v>366</v>
      </c>
      <c r="AO244">
        <v>5538627584</v>
      </c>
      <c r="AP244" s="3">
        <v>5697.5590676889606</v>
      </c>
      <c r="AQ244" s="3">
        <v>10526218.24</v>
      </c>
      <c r="AR244" s="3">
        <f t="shared" si="17"/>
        <v>5.412731275167786E-4</v>
      </c>
      <c r="AT244" s="3" t="s">
        <v>366</v>
      </c>
      <c r="AU244" s="3">
        <v>6463471616</v>
      </c>
      <c r="AV244" s="3">
        <v>6648.9415935590405</v>
      </c>
      <c r="AW244" s="3">
        <v>12.636381344901748</v>
      </c>
      <c r="AX244" s="3">
        <f t="shared" si="18"/>
        <v>526.17449664429535</v>
      </c>
      <c r="AZ244" s="3" t="s">
        <v>366</v>
      </c>
      <c r="BA244" s="3">
        <v>15102</v>
      </c>
      <c r="BB244" s="3">
        <v>1.553535343102041E-2</v>
      </c>
      <c r="BC244" s="3">
        <v>28.701505102040816</v>
      </c>
      <c r="BD244" s="3">
        <f t="shared" si="19"/>
        <v>5.412731275167786E-4</v>
      </c>
      <c r="BF244" s="3" t="s">
        <v>366</v>
      </c>
      <c r="BG244" s="3">
        <v>15102</v>
      </c>
      <c r="BH244" s="3">
        <v>1.553535343102041E-2</v>
      </c>
      <c r="BI244" s="3">
        <v>28.701505102040816</v>
      </c>
      <c r="BJ244" s="3">
        <f t="shared" si="20"/>
        <v>5.412731275167786E-4</v>
      </c>
    </row>
    <row r="245" spans="28:62" x14ac:dyDescent="0.2">
      <c r="AG245" s="3" t="s">
        <v>367</v>
      </c>
      <c r="AH245" s="3">
        <v>567628048</v>
      </c>
      <c r="AI245" s="3">
        <v>75.387549873320808</v>
      </c>
      <c r="AJ245" s="3">
        <v>242545.14806122449</v>
      </c>
      <c r="AK245" s="3">
        <f t="shared" si="16"/>
        <v>3.108186268656716E-4</v>
      </c>
      <c r="AN245" s="3" t="s">
        <v>367</v>
      </c>
      <c r="AO245">
        <v>5538627584</v>
      </c>
      <c r="AP245" s="3">
        <v>735.59360692223993</v>
      </c>
      <c r="AQ245" s="3">
        <v>2366632.96</v>
      </c>
      <c r="AR245" s="3">
        <f t="shared" si="17"/>
        <v>3.108186268656716E-4</v>
      </c>
      <c r="AT245" s="3" t="s">
        <v>367</v>
      </c>
      <c r="AU245" s="3">
        <v>6463471616</v>
      </c>
      <c r="AV245" s="3">
        <v>858.42355838975993</v>
      </c>
      <c r="AW245" s="3">
        <v>0.36680088273031836</v>
      </c>
      <c r="AX245" s="3">
        <f t="shared" si="18"/>
        <v>2340.2985074626863</v>
      </c>
      <c r="AZ245" s="3" t="s">
        <v>367</v>
      </c>
      <c r="BA245" s="3">
        <v>15102</v>
      </c>
      <c r="BB245" s="3">
        <v>2.0057197353061224E-3</v>
      </c>
      <c r="BC245" s="3">
        <v>6.4530229591836736</v>
      </c>
      <c r="BD245" s="3">
        <f t="shared" si="19"/>
        <v>3.1081862686567165E-4</v>
      </c>
      <c r="BF245" s="3" t="s">
        <v>367</v>
      </c>
      <c r="BG245" s="3">
        <v>15102</v>
      </c>
      <c r="BH245" s="3">
        <v>2.0057197353061224E-3</v>
      </c>
      <c r="BI245" s="3">
        <v>6.4530229591836736</v>
      </c>
      <c r="BJ245" s="3">
        <f t="shared" si="20"/>
        <v>3.1081862686567165E-4</v>
      </c>
    </row>
    <row r="248" spans="28:62" x14ac:dyDescent="0.2">
      <c r="AG248" s="3" t="s">
        <v>128</v>
      </c>
      <c r="AH248" s="3"/>
      <c r="AI248" s="3" t="s">
        <v>383</v>
      </c>
      <c r="AJ248" s="3" t="s">
        <v>114</v>
      </c>
      <c r="AK248" s="3" t="s">
        <v>67</v>
      </c>
      <c r="AN248" s="3" t="s">
        <v>68</v>
      </c>
      <c r="AO248" s="3"/>
      <c r="AP248" s="3" t="s">
        <v>383</v>
      </c>
      <c r="AQ248" s="3" t="s">
        <v>114</v>
      </c>
      <c r="AR248" s="3" t="s">
        <v>67</v>
      </c>
      <c r="AT248" s="3" t="s">
        <v>69</v>
      </c>
      <c r="AU248" s="3"/>
      <c r="AV248" s="3" t="s">
        <v>383</v>
      </c>
      <c r="AW248" s="3" t="s">
        <v>114</v>
      </c>
      <c r="AX248" s="3" t="s">
        <v>67</v>
      </c>
      <c r="AZ248" s="3" t="s">
        <v>28</v>
      </c>
      <c r="BA248" s="3"/>
      <c r="BB248" s="3" t="s">
        <v>383</v>
      </c>
      <c r="BC248" s="3" t="s">
        <v>114</v>
      </c>
      <c r="BD248" s="3" t="s">
        <v>67</v>
      </c>
      <c r="BF248" s="3" t="s">
        <v>64</v>
      </c>
      <c r="BG248" s="3"/>
      <c r="BH248" s="3" t="s">
        <v>383</v>
      </c>
      <c r="BI248" s="3" t="s">
        <v>114</v>
      </c>
      <c r="BJ248" s="3" t="s">
        <v>67</v>
      </c>
    </row>
    <row r="249" spans="28:62" x14ac:dyDescent="0.2">
      <c r="AG249" s="109" t="s">
        <v>393</v>
      </c>
      <c r="AH249" s="109"/>
      <c r="AI249" s="109"/>
      <c r="AJ249" s="109"/>
      <c r="AK249" s="109"/>
      <c r="AN249" s="109" t="s">
        <v>393</v>
      </c>
      <c r="AO249" s="109"/>
      <c r="AP249" s="109"/>
      <c r="AQ249" s="109"/>
      <c r="AR249" s="109"/>
      <c r="AT249" s="109" t="s">
        <v>393</v>
      </c>
      <c r="AU249" s="109"/>
      <c r="AV249" s="109"/>
      <c r="AW249" s="109"/>
      <c r="AX249" s="109"/>
      <c r="AZ249" s="109" t="s">
        <v>393</v>
      </c>
      <c r="BA249" s="109"/>
      <c r="BB249" s="109"/>
      <c r="BC249" s="109"/>
      <c r="BD249" s="109"/>
      <c r="BF249" s="109" t="s">
        <v>393</v>
      </c>
      <c r="BG249" s="109"/>
      <c r="BH249" s="109"/>
      <c r="BI249" s="109"/>
      <c r="BJ249" s="109"/>
    </row>
    <row r="250" spans="28:62" x14ac:dyDescent="0.2">
      <c r="AG250" s="3" t="s">
        <v>43</v>
      </c>
      <c r="AH250" s="3">
        <v>1135256096</v>
      </c>
      <c r="AI250" s="3">
        <f>AH250*AU206</f>
        <v>0.10217304864</v>
      </c>
      <c r="AJ250" s="3">
        <f>AH250*AS206</f>
        <v>192.99353632</v>
      </c>
      <c r="AK250" s="3">
        <f>AI250/AJ250</f>
        <v>5.2941176470588231E-4</v>
      </c>
      <c r="AN250" s="3" t="s">
        <v>43</v>
      </c>
      <c r="AO250" s="3">
        <v>11077255168</v>
      </c>
      <c r="AP250" s="3">
        <f>AO250*AU206</f>
        <v>0.99695296511999998</v>
      </c>
      <c r="AQ250" s="3">
        <f>AO250*AS206</f>
        <v>1883.1333785600002</v>
      </c>
      <c r="AR250" s="3">
        <f>AP250/AQ250</f>
        <v>5.2941176470588231E-4</v>
      </c>
      <c r="AT250" s="3" t="s">
        <v>43</v>
      </c>
      <c r="AU250" s="3">
        <v>12926943232</v>
      </c>
      <c r="AV250" s="3">
        <f>AU250*AU206</f>
        <v>1.16342489088</v>
      </c>
      <c r="AW250" s="3">
        <f>AU250*AS206</f>
        <v>2197.5803494400002</v>
      </c>
      <c r="AX250" s="3">
        <f>AV250/AW250</f>
        <v>5.2941176470588231E-4</v>
      </c>
      <c r="AZ250" s="3" t="s">
        <v>43</v>
      </c>
      <c r="BA250" s="3">
        <v>60408</v>
      </c>
      <c r="BB250" s="3">
        <f>BA250*AU206</f>
        <v>5.4367199999999997E-6</v>
      </c>
      <c r="BC250" s="3">
        <f>BA250*AX253*0.00000001</f>
        <v>1.4137275223880594</v>
      </c>
      <c r="BD250" s="3">
        <f>BB250/BC250</f>
        <v>3.8456632653061231E-6</v>
      </c>
      <c r="BF250" s="3" t="s">
        <v>43</v>
      </c>
      <c r="BG250" s="3">
        <v>60750</v>
      </c>
      <c r="BH250" s="3">
        <f>BG250*AU206</f>
        <v>5.4674999999999997E-6</v>
      </c>
      <c r="BI250" s="3">
        <f>BG250*AS206</f>
        <v>1.0327500000000002E-2</v>
      </c>
      <c r="BJ250" s="3">
        <f>BH250/BI250</f>
        <v>5.294117647058822E-4</v>
      </c>
    </row>
    <row r="251" spans="28:62" x14ac:dyDescent="0.2">
      <c r="AB251" s="2" t="s">
        <v>394</v>
      </c>
      <c r="AG251" s="3" t="s">
        <v>136</v>
      </c>
      <c r="AH251" s="3">
        <v>1093894592</v>
      </c>
      <c r="AI251" s="3">
        <f>AH251*AV206</f>
        <v>0.19690102656</v>
      </c>
      <c r="AJ251" s="3">
        <f>AH251*AT206</f>
        <v>511.942669056</v>
      </c>
      <c r="AK251" s="3">
        <f t="shared" ref="AK251:AK253" si="21">AI251/AJ251</f>
        <v>3.8461538461538462E-4</v>
      </c>
      <c r="AN251" s="3" t="s">
        <v>136</v>
      </c>
      <c r="AO251" s="3">
        <v>10989196288</v>
      </c>
      <c r="AP251" s="3">
        <f>AO251*AV206</f>
        <v>1.97805533184</v>
      </c>
      <c r="AQ251" s="3">
        <f>AO251*AT206</f>
        <v>5142.943862784</v>
      </c>
      <c r="AR251" s="3">
        <f t="shared" ref="AR251:AR253" si="22">AP251/AQ251</f>
        <v>3.8461538461538462E-4</v>
      </c>
      <c r="AT251" s="3" t="s">
        <v>136</v>
      </c>
      <c r="AU251" s="3">
        <v>12831659008</v>
      </c>
      <c r="AV251" s="3">
        <f>AU251*AV206</f>
        <v>2.3096986214399999</v>
      </c>
      <c r="AW251" s="3">
        <f>AU251*AT206</f>
        <v>6005.2164157440002</v>
      </c>
      <c r="AX251" s="3">
        <f t="shared" ref="AX251:AX253" si="23">AV251/AW251</f>
        <v>3.8461538461538462E-4</v>
      </c>
      <c r="AZ251" s="3" t="s">
        <v>136</v>
      </c>
      <c r="BA251" s="3">
        <v>30204</v>
      </c>
      <c r="BB251" s="3">
        <f>BA251*AV206</f>
        <v>5.4367199999999997E-6</v>
      </c>
      <c r="BC251" s="3">
        <f>BA251*AT206</f>
        <v>1.4135472E-2</v>
      </c>
      <c r="BD251" s="3">
        <f t="shared" ref="BD251:BD253" si="24">BB251/BC251</f>
        <v>3.8461538461538462E-4</v>
      </c>
      <c r="BF251" s="3" t="s">
        <v>136</v>
      </c>
      <c r="BG251" s="3">
        <v>30375</v>
      </c>
      <c r="BH251" s="3">
        <f>BG251*AV206</f>
        <v>5.4674999999999997E-6</v>
      </c>
      <c r="BI251" s="3">
        <f>BG251*AT206</f>
        <v>1.4215500000000001E-2</v>
      </c>
      <c r="BJ251" s="3">
        <f t="shared" ref="BJ251:BJ253" si="25">BH251/BI251</f>
        <v>3.8461538461538456E-4</v>
      </c>
    </row>
    <row r="252" spans="28:62" x14ac:dyDescent="0.2">
      <c r="AB252" t="s">
        <v>395</v>
      </c>
      <c r="AG252" s="3" t="s">
        <v>366</v>
      </c>
      <c r="AH252" s="3">
        <v>567628048</v>
      </c>
      <c r="AI252" s="3">
        <v>583.91619275858943</v>
      </c>
      <c r="AJ252" s="3">
        <v>1078782.8973469387</v>
      </c>
      <c r="AK252" s="3">
        <f t="shared" si="21"/>
        <v>5.412731275167786E-4</v>
      </c>
      <c r="AN252" s="3" t="s">
        <v>366</v>
      </c>
      <c r="AO252" s="3">
        <v>5538627584</v>
      </c>
      <c r="AP252" s="3">
        <v>5697.5590676889606</v>
      </c>
      <c r="AQ252" s="3">
        <v>10526218.24</v>
      </c>
      <c r="AR252" s="3">
        <f t="shared" si="22"/>
        <v>5.412731275167786E-4</v>
      </c>
      <c r="AT252" s="3" t="s">
        <v>366</v>
      </c>
      <c r="AU252" s="3">
        <v>6463471616</v>
      </c>
      <c r="AV252" s="3">
        <v>6648.9415935590405</v>
      </c>
      <c r="AW252" s="3">
        <v>12.636381344901748</v>
      </c>
      <c r="AX252" s="3">
        <f t="shared" si="23"/>
        <v>526.17449664429535</v>
      </c>
      <c r="AZ252" s="3" t="s">
        <v>366</v>
      </c>
      <c r="BA252" s="3">
        <v>15102</v>
      </c>
      <c r="BB252" s="3">
        <v>1.553535343102041E-2</v>
      </c>
      <c r="BC252" s="3">
        <v>28.701505102040816</v>
      </c>
      <c r="BD252" s="3">
        <f t="shared" si="24"/>
        <v>5.412731275167786E-4</v>
      </c>
      <c r="BF252" s="3" t="s">
        <v>366</v>
      </c>
      <c r="BG252" s="3">
        <v>15102</v>
      </c>
      <c r="BH252" s="3">
        <v>1.553535343102041E-2</v>
      </c>
      <c r="BI252" s="3">
        <v>28.701505102040816</v>
      </c>
      <c r="BJ252" s="3">
        <f t="shared" si="25"/>
        <v>5.412731275167786E-4</v>
      </c>
    </row>
    <row r="253" spans="28:62" x14ac:dyDescent="0.2">
      <c r="AD253" t="s">
        <v>383</v>
      </c>
      <c r="AE253" t="s">
        <v>114</v>
      </c>
      <c r="AG253" s="3" t="s">
        <v>367</v>
      </c>
      <c r="AH253" s="3">
        <v>567628048</v>
      </c>
      <c r="AI253" s="3">
        <v>75.387549873320808</v>
      </c>
      <c r="AJ253" s="3">
        <v>242545.14806122449</v>
      </c>
      <c r="AK253" s="3">
        <f t="shared" si="21"/>
        <v>3.108186268656716E-4</v>
      </c>
      <c r="AN253" s="3" t="s">
        <v>367</v>
      </c>
      <c r="AO253" s="3">
        <v>5538627584</v>
      </c>
      <c r="AP253" s="3">
        <v>735.59360692223993</v>
      </c>
      <c r="AQ253" s="3">
        <v>2366632.96</v>
      </c>
      <c r="AR253" s="3">
        <f t="shared" si="22"/>
        <v>3.108186268656716E-4</v>
      </c>
      <c r="AT253" s="3" t="s">
        <v>367</v>
      </c>
      <c r="AU253" s="3">
        <v>6463471616</v>
      </c>
      <c r="AV253" s="3">
        <v>858.42355838975993</v>
      </c>
      <c r="AW253" s="3">
        <v>0.36680088273031836</v>
      </c>
      <c r="AX253" s="3">
        <f t="shared" si="23"/>
        <v>2340.2985074626863</v>
      </c>
      <c r="AZ253" s="3" t="s">
        <v>367</v>
      </c>
      <c r="BA253" s="3">
        <v>15102</v>
      </c>
      <c r="BB253" s="3">
        <v>2.0057197353061224E-3</v>
      </c>
      <c r="BC253" s="3">
        <v>6.4530229591836736</v>
      </c>
      <c r="BD253" s="3">
        <f t="shared" si="24"/>
        <v>3.1081862686567165E-4</v>
      </c>
      <c r="BF253" s="3" t="s">
        <v>367</v>
      </c>
      <c r="BG253" s="3">
        <v>15102</v>
      </c>
      <c r="BH253" s="3">
        <v>2.0057197353061224E-3</v>
      </c>
      <c r="BI253" s="3">
        <v>6.4530229591836736</v>
      </c>
      <c r="BJ253" s="3">
        <f t="shared" si="25"/>
        <v>3.1081862686567165E-4</v>
      </c>
    </row>
    <row r="254" spans="28:62" x14ac:dyDescent="0.2">
      <c r="AB254" t="s">
        <v>396</v>
      </c>
      <c r="AC254" s="2" t="s">
        <v>366</v>
      </c>
      <c r="AD254">
        <v>1.0286951020408164E-6</v>
      </c>
      <c r="AE254">
        <v>1.9005102040816327E-3</v>
      </c>
    </row>
    <row r="255" spans="28:62" x14ac:dyDescent="0.2">
      <c r="AB255" t="s">
        <v>397</v>
      </c>
      <c r="AC255" s="2" t="s">
        <v>384</v>
      </c>
      <c r="AD255">
        <v>1.3281153061224489E-7</v>
      </c>
      <c r="AE255">
        <v>4.2729591836734697E-4</v>
      </c>
    </row>
    <row r="256" spans="28:62" x14ac:dyDescent="0.2">
      <c r="AC256" t="s">
        <v>386</v>
      </c>
      <c r="AD256" s="5">
        <v>6.8349999999999999E-12</v>
      </c>
      <c r="AE256" s="5">
        <v>2.1600000000000001E-6</v>
      </c>
      <c r="AG256" s="3" t="s">
        <v>128</v>
      </c>
      <c r="AH256" s="3"/>
      <c r="AI256" s="3" t="s">
        <v>383</v>
      </c>
      <c r="AJ256" s="3" t="s">
        <v>114</v>
      </c>
      <c r="AK256" s="3" t="s">
        <v>67</v>
      </c>
      <c r="AN256" s="3" t="s">
        <v>68</v>
      </c>
      <c r="AO256" s="3"/>
      <c r="AP256" s="3" t="s">
        <v>383</v>
      </c>
      <c r="AQ256" s="3" t="s">
        <v>114</v>
      </c>
      <c r="AR256" s="3" t="s">
        <v>67</v>
      </c>
      <c r="AT256" s="3" t="s">
        <v>69</v>
      </c>
      <c r="AU256" s="3"/>
      <c r="AV256" s="3" t="s">
        <v>383</v>
      </c>
      <c r="AW256" s="3" t="s">
        <v>114</v>
      </c>
      <c r="AX256" s="3" t="s">
        <v>67</v>
      </c>
      <c r="AZ256" s="3" t="s">
        <v>28</v>
      </c>
      <c r="BA256" s="3"/>
      <c r="BB256" s="3" t="s">
        <v>383</v>
      </c>
      <c r="BC256" s="3" t="s">
        <v>114</v>
      </c>
      <c r="BD256" s="3" t="s">
        <v>67</v>
      </c>
      <c r="BF256" s="3" t="s">
        <v>64</v>
      </c>
      <c r="BG256" s="3"/>
      <c r="BH256" s="3" t="s">
        <v>383</v>
      </c>
      <c r="BI256" s="3" t="s">
        <v>114</v>
      </c>
      <c r="BJ256" s="3" t="s">
        <v>67</v>
      </c>
    </row>
    <row r="257" spans="33:62" x14ac:dyDescent="0.2">
      <c r="AG257" s="109" t="s">
        <v>33</v>
      </c>
      <c r="AH257" s="109"/>
      <c r="AI257" s="109"/>
      <c r="AJ257" s="109"/>
      <c r="AK257" s="109"/>
      <c r="AN257" s="109" t="s">
        <v>33</v>
      </c>
      <c r="AO257" s="109"/>
      <c r="AP257" s="109"/>
      <c r="AQ257" s="109"/>
      <c r="AR257" s="109"/>
      <c r="AT257" s="109" t="s">
        <v>33</v>
      </c>
      <c r="AU257" s="109"/>
      <c r="AV257" s="109"/>
      <c r="AW257" s="109"/>
      <c r="AX257" s="109"/>
      <c r="AZ257" s="109" t="s">
        <v>33</v>
      </c>
      <c r="BA257" s="109"/>
      <c r="BB257" s="109"/>
      <c r="BC257" s="109"/>
      <c r="BD257" s="109"/>
      <c r="BF257" s="109" t="s">
        <v>33</v>
      </c>
      <c r="BG257" s="109"/>
      <c r="BH257" s="109"/>
      <c r="BI257" s="109"/>
      <c r="BJ257" s="109"/>
    </row>
    <row r="258" spans="33:62" x14ac:dyDescent="0.2">
      <c r="AG258" s="3" t="s">
        <v>43</v>
      </c>
      <c r="AH258" s="3">
        <v>1135256096</v>
      </c>
      <c r="AI258" s="3">
        <f>AH258*AU207</f>
        <v>0.24180954844799998</v>
      </c>
      <c r="AJ258" s="3">
        <f>AH258*AS207</f>
        <v>23.840378016000003</v>
      </c>
      <c r="AK258" s="3">
        <f>AI258/AJ258</f>
        <v>1.0142857142857141E-2</v>
      </c>
      <c r="AN258" s="3" t="s">
        <v>43</v>
      </c>
      <c r="AO258" s="3">
        <v>11077255168</v>
      </c>
      <c r="AP258" s="3">
        <f>AO258*AU207</f>
        <v>2.3594553507839997</v>
      </c>
      <c r="AQ258" s="3">
        <f>AO258*AS207</f>
        <v>232.62235852800003</v>
      </c>
      <c r="AR258" s="3">
        <f>AP258/AQ258</f>
        <v>1.0142857142857139E-2</v>
      </c>
      <c r="AT258" s="3" t="s">
        <v>43</v>
      </c>
      <c r="AU258" s="3">
        <v>12926943232</v>
      </c>
      <c r="AV258" s="3">
        <f>AU258*AU207</f>
        <v>2.7534389084159998</v>
      </c>
      <c r="AW258" s="3">
        <f>AU258*AS207</f>
        <v>271.46580787200003</v>
      </c>
      <c r="AX258" s="3">
        <f>AV258/AW258</f>
        <v>1.0142857142857141E-2</v>
      </c>
      <c r="AZ258" s="3" t="s">
        <v>43</v>
      </c>
      <c r="BA258" s="3">
        <v>60408</v>
      </c>
      <c r="BB258" s="3">
        <f>BA258*AU207</f>
        <v>1.2866904E-5</v>
      </c>
      <c r="BC258" s="3">
        <f>BA258*AS207</f>
        <v>1.2685680000000001E-3</v>
      </c>
      <c r="BD258" s="3">
        <f>BB258/BC258</f>
        <v>1.0142857142857143E-2</v>
      </c>
      <c r="BF258" s="3" t="s">
        <v>43</v>
      </c>
      <c r="BG258" s="3">
        <v>60750</v>
      </c>
      <c r="BH258" s="3">
        <f>BG258*AU207</f>
        <v>1.2939749999999999E-5</v>
      </c>
      <c r="BI258" s="3">
        <f>BG258*AS207</f>
        <v>1.2757500000000002E-3</v>
      </c>
      <c r="BJ258" s="3">
        <f>BH258/BI258</f>
        <v>1.0142857142857141E-2</v>
      </c>
    </row>
    <row r="259" spans="33:62" x14ac:dyDescent="0.2">
      <c r="AG259" s="3" t="s">
        <v>136</v>
      </c>
      <c r="AH259" s="3">
        <v>1093894592</v>
      </c>
      <c r="AI259" s="3">
        <f>AH259*AV207</f>
        <v>0.30629048576000001</v>
      </c>
      <c r="AJ259" s="3">
        <f>AH259*AT207</f>
        <v>185.96208064000001</v>
      </c>
      <c r="AK259" s="3">
        <f t="shared" ref="AK259:AK262" si="26">AI259/AJ259</f>
        <v>1.6470588235294116E-3</v>
      </c>
      <c r="AN259" s="3" t="s">
        <v>136</v>
      </c>
      <c r="AO259" s="3">
        <v>10989196288</v>
      </c>
      <c r="AP259" s="3">
        <f>AO259*AV207</f>
        <v>3.0769749606400003</v>
      </c>
      <c r="AQ259" s="3">
        <f>AO259*AT207</f>
        <v>1868.1633689600001</v>
      </c>
      <c r="AR259" s="3">
        <f t="shared" ref="AR259:AR262" si="27">AP259/AQ259</f>
        <v>1.6470588235294118E-3</v>
      </c>
      <c r="AT259" s="3" t="s">
        <v>136</v>
      </c>
      <c r="AU259" s="3">
        <v>12831659008</v>
      </c>
      <c r="AV259" s="3">
        <f>AU259*AV207</f>
        <v>3.5928645222400002</v>
      </c>
      <c r="AW259" s="3">
        <f>AU259*AT207</f>
        <v>2181.3820313600004</v>
      </c>
      <c r="AX259" s="3">
        <f t="shared" ref="AX259:AX262" si="28">AV259/AW259</f>
        <v>1.6470588235294116E-3</v>
      </c>
      <c r="AZ259" s="3" t="s">
        <v>136</v>
      </c>
      <c r="BA259" s="3">
        <v>30204</v>
      </c>
      <c r="BB259" s="3">
        <f>BA259*AV207</f>
        <v>8.4571200000000004E-6</v>
      </c>
      <c r="BC259" s="3">
        <f>BA259*AT207</f>
        <v>5.1346800000000008E-3</v>
      </c>
      <c r="BD259" s="3">
        <f t="shared" ref="BD259:BD262" si="29">BB259/BC259</f>
        <v>1.6470588235294116E-3</v>
      </c>
      <c r="BF259" s="3" t="s">
        <v>136</v>
      </c>
      <c r="BG259" s="3">
        <v>30375</v>
      </c>
      <c r="BH259" s="3">
        <f>BG259*AV207</f>
        <v>8.5050000000000007E-6</v>
      </c>
      <c r="BI259" s="3">
        <f>BG259*AT207</f>
        <v>5.1637500000000008E-3</v>
      </c>
      <c r="BJ259" s="3">
        <f t="shared" ref="BJ259:BJ262" si="30">BH259/BI259</f>
        <v>1.6470588235294116E-3</v>
      </c>
    </row>
    <row r="260" spans="33:62" x14ac:dyDescent="0.2">
      <c r="AG260" s="3" t="s">
        <v>366</v>
      </c>
      <c r="AH260" s="3">
        <v>567628048</v>
      </c>
      <c r="AI260" s="3">
        <v>583.91619275858943</v>
      </c>
      <c r="AJ260" s="3">
        <v>1078782.8973469387</v>
      </c>
      <c r="AK260" s="3">
        <f t="shared" si="26"/>
        <v>5.412731275167786E-4</v>
      </c>
      <c r="AN260" s="3" t="s">
        <v>366</v>
      </c>
      <c r="AO260" s="3">
        <v>5538627584</v>
      </c>
      <c r="AP260" s="3">
        <v>5697.5590676889606</v>
      </c>
      <c r="AQ260" s="3">
        <v>10526218.24</v>
      </c>
      <c r="AR260" s="3">
        <f t="shared" si="27"/>
        <v>5.412731275167786E-4</v>
      </c>
      <c r="AT260" s="3" t="s">
        <v>366</v>
      </c>
      <c r="AU260" s="3">
        <v>6463471616</v>
      </c>
      <c r="AV260" s="3">
        <v>6648.9415935590405</v>
      </c>
      <c r="AW260" s="3">
        <v>12.636381344901748</v>
      </c>
      <c r="AX260" s="3">
        <f t="shared" si="28"/>
        <v>526.17449664429535</v>
      </c>
      <c r="AZ260" s="3" t="s">
        <v>366</v>
      </c>
      <c r="BA260" s="3">
        <v>15102</v>
      </c>
      <c r="BB260" s="3">
        <v>1.553535343102041E-2</v>
      </c>
      <c r="BC260" s="3">
        <v>28.701505102040816</v>
      </c>
      <c r="BD260" s="3">
        <f t="shared" si="29"/>
        <v>5.412731275167786E-4</v>
      </c>
      <c r="BF260" s="3" t="s">
        <v>366</v>
      </c>
      <c r="BG260" s="3">
        <v>15102</v>
      </c>
      <c r="BH260" s="3">
        <v>1.553535343102041E-2</v>
      </c>
      <c r="BI260" s="3">
        <v>28.701505102040816</v>
      </c>
      <c r="BJ260" s="3">
        <f t="shared" si="30"/>
        <v>5.412731275167786E-4</v>
      </c>
    </row>
    <row r="261" spans="33:62" x14ac:dyDescent="0.2">
      <c r="AG261" s="3" t="s">
        <v>367</v>
      </c>
      <c r="AH261" s="3">
        <v>567628048</v>
      </c>
      <c r="AI261" s="3">
        <v>75.387549873320808</v>
      </c>
      <c r="AJ261" s="3">
        <v>242545.14806122449</v>
      </c>
      <c r="AK261" s="3">
        <f t="shared" si="26"/>
        <v>3.108186268656716E-4</v>
      </c>
      <c r="AN261" s="3" t="s">
        <v>367</v>
      </c>
      <c r="AO261" s="3">
        <v>5538627584</v>
      </c>
      <c r="AP261" s="3">
        <v>735.59360692223993</v>
      </c>
      <c r="AQ261" s="3">
        <v>2366632.96</v>
      </c>
      <c r="AR261" s="3">
        <f t="shared" si="27"/>
        <v>3.108186268656716E-4</v>
      </c>
      <c r="AT261" s="3" t="s">
        <v>367</v>
      </c>
      <c r="AU261" s="3">
        <v>6463471616</v>
      </c>
      <c r="AV261" s="3">
        <v>858.42355838975993</v>
      </c>
      <c r="AW261" s="3">
        <v>0.36680088273031836</v>
      </c>
      <c r="AX261" s="3">
        <f t="shared" si="28"/>
        <v>2340.2985074626863</v>
      </c>
      <c r="AZ261" s="3" t="s">
        <v>367</v>
      </c>
      <c r="BA261" s="3">
        <v>15102</v>
      </c>
      <c r="BB261" s="3">
        <v>2.0057197353061224E-3</v>
      </c>
      <c r="BC261" s="3">
        <v>6.4530229591836736</v>
      </c>
      <c r="BD261" s="3">
        <f t="shared" si="29"/>
        <v>3.1081862686567165E-4</v>
      </c>
      <c r="BF261" s="3" t="s">
        <v>367</v>
      </c>
      <c r="BG261" s="3">
        <v>15102</v>
      </c>
      <c r="BH261" s="3">
        <v>2.0057197353061224E-3</v>
      </c>
      <c r="BI261" s="3">
        <v>6.4530229591836736</v>
      </c>
      <c r="BJ261" s="3">
        <f t="shared" si="30"/>
        <v>3.1081862686567165E-4</v>
      </c>
    </row>
    <row r="262" spans="33:62" x14ac:dyDescent="0.2">
      <c r="AG262" s="3" t="s">
        <v>398</v>
      </c>
      <c r="AH262" s="3">
        <v>50176</v>
      </c>
      <c r="AI262" s="3">
        <f>AS216*AH262</f>
        <v>3.4295295999999997E-7</v>
      </c>
      <c r="AJ262" s="6">
        <f>AH262*AT216</f>
        <v>0.10838016</v>
      </c>
      <c r="AK262" s="3">
        <f t="shared" si="26"/>
        <v>3.1643518518518514E-6</v>
      </c>
      <c r="AN262" s="3" t="s">
        <v>398</v>
      </c>
      <c r="AO262" s="3">
        <v>65536</v>
      </c>
      <c r="AP262" s="6">
        <f>AO262*AS216</f>
        <v>4.4793855999999999E-7</v>
      </c>
      <c r="AQ262" s="6">
        <f>AO262*AT216</f>
        <v>0.14155776</v>
      </c>
      <c r="AR262" s="3">
        <f t="shared" si="27"/>
        <v>3.1643518518518518E-6</v>
      </c>
      <c r="AT262" s="3" t="s">
        <v>398</v>
      </c>
      <c r="AU262" s="3">
        <v>65536</v>
      </c>
      <c r="AV262" s="6">
        <f>AU262*AS216</f>
        <v>4.4793855999999999E-7</v>
      </c>
      <c r="AW262" s="6">
        <f>AU262*AT216</f>
        <v>0.14155776</v>
      </c>
      <c r="AX262" s="3">
        <f t="shared" si="28"/>
        <v>3.1643518518518518E-6</v>
      </c>
      <c r="AZ262" s="3" t="s">
        <v>398</v>
      </c>
      <c r="BA262" s="3">
        <v>784</v>
      </c>
      <c r="BB262" s="6">
        <f>BA262*AS216</f>
        <v>5.3586399999999996E-9</v>
      </c>
      <c r="BC262" s="6">
        <f>BA262*AT216</f>
        <v>1.69344E-3</v>
      </c>
      <c r="BD262" s="3">
        <f t="shared" si="29"/>
        <v>3.1643518518518514E-6</v>
      </c>
      <c r="BF262" s="3" t="s">
        <v>398</v>
      </c>
      <c r="BG262">
        <v>784</v>
      </c>
      <c r="BH262" s="3">
        <v>5.3586399999999996E-9</v>
      </c>
      <c r="BI262" s="3">
        <v>1.69344E-3</v>
      </c>
      <c r="BJ262" s="3">
        <f t="shared" si="30"/>
        <v>3.1643518518518514E-6</v>
      </c>
    </row>
    <row r="266" spans="33:62" x14ac:dyDescent="0.2">
      <c r="AG266" s="3" t="s">
        <v>128</v>
      </c>
      <c r="AH266" s="3"/>
      <c r="AI266" s="3" t="s">
        <v>383</v>
      </c>
      <c r="AJ266" s="3" t="s">
        <v>114</v>
      </c>
      <c r="AK266" s="3" t="s">
        <v>67</v>
      </c>
      <c r="AN266" s="3" t="s">
        <v>68</v>
      </c>
      <c r="AO266" s="3"/>
      <c r="AP266" s="3" t="s">
        <v>383</v>
      </c>
      <c r="AQ266" s="3" t="s">
        <v>114</v>
      </c>
      <c r="AR266" s="3" t="s">
        <v>67</v>
      </c>
      <c r="AT266" s="3" t="s">
        <v>69</v>
      </c>
      <c r="AU266" s="3"/>
      <c r="AV266" s="3" t="s">
        <v>383</v>
      </c>
      <c r="AW266" s="3" t="s">
        <v>114</v>
      </c>
      <c r="AX266" s="3" t="s">
        <v>67</v>
      </c>
      <c r="AZ266" s="3" t="s">
        <v>28</v>
      </c>
      <c r="BA266" s="3"/>
      <c r="BB266" s="3" t="s">
        <v>383</v>
      </c>
      <c r="BC266" s="3" t="s">
        <v>114</v>
      </c>
      <c r="BD266" s="3" t="s">
        <v>67</v>
      </c>
      <c r="BF266" s="3" t="s">
        <v>64</v>
      </c>
      <c r="BG266" s="3"/>
      <c r="BH266" s="3" t="s">
        <v>383</v>
      </c>
      <c r="BI266" s="3" t="s">
        <v>114</v>
      </c>
      <c r="BJ266" s="3" t="s">
        <v>67</v>
      </c>
    </row>
    <row r="267" spans="33:62" x14ac:dyDescent="0.2">
      <c r="AG267" s="109" t="s">
        <v>35</v>
      </c>
      <c r="AH267" s="109"/>
      <c r="AI267" s="109"/>
      <c r="AJ267" s="109"/>
      <c r="AK267" s="109"/>
      <c r="AN267" s="109" t="s">
        <v>35</v>
      </c>
      <c r="AO267" s="109"/>
      <c r="AP267" s="109"/>
      <c r="AQ267" s="109"/>
      <c r="AR267" s="109"/>
      <c r="AT267" s="109" t="s">
        <v>35</v>
      </c>
      <c r="AU267" s="109"/>
      <c r="AV267" s="109"/>
      <c r="AW267" s="109"/>
      <c r="AX267" s="109"/>
      <c r="AZ267" s="109" t="s">
        <v>35</v>
      </c>
      <c r="BA267" s="109"/>
      <c r="BB267" s="109"/>
      <c r="BC267" s="109"/>
      <c r="BD267" s="109"/>
      <c r="BF267" s="109" t="s">
        <v>35</v>
      </c>
      <c r="BG267" s="109"/>
      <c r="BH267" s="109"/>
      <c r="BI267" s="109"/>
      <c r="BJ267" s="109"/>
    </row>
    <row r="268" spans="33:62" x14ac:dyDescent="0.2">
      <c r="AG268" s="3" t="s">
        <v>43</v>
      </c>
      <c r="AH268" s="3">
        <v>1135256096</v>
      </c>
      <c r="AI268" s="3">
        <f>AH268*AU208</f>
        <v>5.108652432E-2</v>
      </c>
      <c r="AJ268" s="3">
        <f>AH268*AS208</f>
        <v>1335.061168896</v>
      </c>
      <c r="AK268" s="3">
        <f>AI268/AJ268</f>
        <v>3.8265306122448978E-5</v>
      </c>
      <c r="AN268" s="3" t="s">
        <v>43</v>
      </c>
      <c r="AO268" s="3">
        <v>1135256096</v>
      </c>
      <c r="AP268" s="3">
        <f>AO268*AU208</f>
        <v>5.108652432E-2</v>
      </c>
      <c r="AQ268" s="3">
        <f>AO268*AS208</f>
        <v>1335.061168896</v>
      </c>
      <c r="AR268" s="3">
        <f>AP268/AQ268</f>
        <v>3.8265306122448978E-5</v>
      </c>
      <c r="AT268" s="3" t="s">
        <v>43</v>
      </c>
      <c r="AU268" s="3">
        <v>12926943232</v>
      </c>
      <c r="AV268" s="3">
        <f>AU268*AU208</f>
        <v>0.58171244544</v>
      </c>
      <c r="AW268" s="3">
        <f>AU268*AS208</f>
        <v>15202.085240832001</v>
      </c>
      <c r="AX268" s="3">
        <f>AV268/AW268</f>
        <v>3.8265306122448978E-5</v>
      </c>
      <c r="AZ268" s="3" t="s">
        <v>43</v>
      </c>
      <c r="BA268" s="3">
        <v>60408</v>
      </c>
      <c r="BB268" s="3">
        <f>BA268*AU208</f>
        <v>2.7183599999999998E-6</v>
      </c>
      <c r="BC268" s="3">
        <f>BA268*AS208</f>
        <v>7.103980800000001E-2</v>
      </c>
      <c r="BD268" s="3">
        <f>BB268/BC268</f>
        <v>3.8265306122448971E-5</v>
      </c>
      <c r="BF268" s="3" t="s">
        <v>43</v>
      </c>
      <c r="BG268" s="3">
        <v>60750</v>
      </c>
      <c r="BH268" s="3">
        <f>BG268*AU208</f>
        <v>2.7337499999999999E-6</v>
      </c>
      <c r="BI268" s="3">
        <f>BG268*AS208</f>
        <v>7.1442000000000005E-2</v>
      </c>
      <c r="BJ268" s="3">
        <f>BH268/BI268</f>
        <v>3.8265306122448978E-5</v>
      </c>
    </row>
    <row r="269" spans="33:62" x14ac:dyDescent="0.2">
      <c r="AG269" s="3" t="s">
        <v>136</v>
      </c>
      <c r="AH269" s="3">
        <v>1093894592</v>
      </c>
      <c r="AI269" s="3">
        <f>AH269*AV208</f>
        <v>7.1103148479999989E-2</v>
      </c>
      <c r="AJ269" s="3">
        <f>AH269*AT208</f>
        <v>517.41214201599996</v>
      </c>
      <c r="AK269" s="3">
        <f t="shared" ref="AK269:AK271" si="31">AI269/AJ269</f>
        <v>1.3742071881606764E-4</v>
      </c>
      <c r="AN269" s="3" t="s">
        <v>136</v>
      </c>
      <c r="AO269" s="3">
        <v>1093894592</v>
      </c>
      <c r="AP269" s="3">
        <f>AO269*AV208</f>
        <v>7.1103148479999989E-2</v>
      </c>
      <c r="AQ269" s="3">
        <f>AO269*AT208</f>
        <v>517.41214201599996</v>
      </c>
      <c r="AR269" s="3">
        <f t="shared" ref="AR269:AR271" si="32">AP269/AQ269</f>
        <v>1.3742071881606764E-4</v>
      </c>
      <c r="AT269" s="3" t="s">
        <v>136</v>
      </c>
      <c r="AU269" s="3">
        <v>12831659008</v>
      </c>
      <c r="AV269" s="3">
        <f>AU269*AV208</f>
        <v>0.8340578355199999</v>
      </c>
      <c r="AW269" s="3">
        <f>AU269*AT208</f>
        <v>6069.3747107839999</v>
      </c>
      <c r="AX269" s="3">
        <f t="shared" ref="AX269:AX271" si="33">AV269/AW269</f>
        <v>1.3742071881606764E-4</v>
      </c>
      <c r="AZ269" s="3" t="s">
        <v>136</v>
      </c>
      <c r="BA269" s="3">
        <v>30204</v>
      </c>
      <c r="BB269" s="3">
        <f>BA269*AV208</f>
        <v>1.9632599999999996E-6</v>
      </c>
      <c r="BC269" s="3">
        <f>BA269*AT208</f>
        <v>1.4286492E-2</v>
      </c>
      <c r="BD269" s="3">
        <f t="shared" ref="BD269:BD271" si="34">BB269/BC269</f>
        <v>1.3742071881606764E-4</v>
      </c>
      <c r="BF269" s="3" t="s">
        <v>136</v>
      </c>
      <c r="BG269" s="3">
        <v>30375</v>
      </c>
      <c r="BH269" s="3">
        <f>BG269*AV208</f>
        <v>1.974375E-6</v>
      </c>
      <c r="BI269" s="3">
        <f>BG269*AT208</f>
        <v>1.4367375E-2</v>
      </c>
      <c r="BJ269" s="3">
        <f t="shared" ref="BJ269:BJ271" si="35">BH269/BI269</f>
        <v>1.3742071881606764E-4</v>
      </c>
    </row>
    <row r="270" spans="33:62" x14ac:dyDescent="0.2">
      <c r="AG270" s="3" t="s">
        <v>366</v>
      </c>
      <c r="AH270" s="3">
        <v>567628048</v>
      </c>
      <c r="AI270" s="3">
        <v>583.91619275858943</v>
      </c>
      <c r="AJ270" s="3">
        <v>1078782.8973469387</v>
      </c>
      <c r="AK270" s="3">
        <f t="shared" si="31"/>
        <v>5.412731275167786E-4</v>
      </c>
      <c r="AN270" s="3" t="s">
        <v>366</v>
      </c>
      <c r="AO270" s="3">
        <v>5538627584</v>
      </c>
      <c r="AP270" s="3">
        <v>5697.5590676889606</v>
      </c>
      <c r="AQ270" s="3">
        <v>10526218.24</v>
      </c>
      <c r="AR270" s="3">
        <f t="shared" si="32"/>
        <v>5.412731275167786E-4</v>
      </c>
      <c r="AT270" s="3" t="s">
        <v>366</v>
      </c>
      <c r="AU270" s="3">
        <v>6463471616</v>
      </c>
      <c r="AV270" s="3">
        <v>6648.9415935590405</v>
      </c>
      <c r="AW270" s="3">
        <v>12.636381344901748</v>
      </c>
      <c r="AX270" s="3">
        <f t="shared" si="33"/>
        <v>526.17449664429535</v>
      </c>
      <c r="AZ270" s="3" t="s">
        <v>366</v>
      </c>
      <c r="BA270" s="3">
        <v>15102</v>
      </c>
      <c r="BB270" s="3">
        <v>1.553535343102041E-2</v>
      </c>
      <c r="BC270" s="3">
        <v>28.701505102040816</v>
      </c>
      <c r="BD270" s="3">
        <f t="shared" si="34"/>
        <v>5.412731275167786E-4</v>
      </c>
      <c r="BF270" s="3" t="s">
        <v>366</v>
      </c>
      <c r="BG270" s="3">
        <v>15102</v>
      </c>
      <c r="BH270" s="3">
        <v>1.553535343102041E-2</v>
      </c>
      <c r="BI270" s="3">
        <v>28.701505102040816</v>
      </c>
      <c r="BJ270" s="3">
        <f t="shared" si="35"/>
        <v>5.412731275167786E-4</v>
      </c>
    </row>
    <row r="271" spans="33:62" x14ac:dyDescent="0.2">
      <c r="AG271" s="3" t="s">
        <v>367</v>
      </c>
      <c r="AH271" s="3">
        <v>567628048</v>
      </c>
      <c r="AI271" s="3">
        <v>75.387549873320808</v>
      </c>
      <c r="AJ271" s="3">
        <v>242545.14806122449</v>
      </c>
      <c r="AK271" s="3">
        <f t="shared" si="31"/>
        <v>3.108186268656716E-4</v>
      </c>
      <c r="AN271" s="3" t="s">
        <v>367</v>
      </c>
      <c r="AO271" s="3">
        <v>5538627584</v>
      </c>
      <c r="AP271" s="3">
        <v>735.59360692223993</v>
      </c>
      <c r="AQ271" s="3">
        <v>2366632.96</v>
      </c>
      <c r="AR271" s="3">
        <f t="shared" si="32"/>
        <v>3.108186268656716E-4</v>
      </c>
      <c r="AT271" s="3" t="s">
        <v>367</v>
      </c>
      <c r="AU271" s="3">
        <v>6463471616</v>
      </c>
      <c r="AV271" s="3">
        <v>858.42355838975993</v>
      </c>
      <c r="AW271" s="3">
        <v>0.36680088273031836</v>
      </c>
      <c r="AX271" s="3">
        <f t="shared" si="33"/>
        <v>2340.2985074626863</v>
      </c>
      <c r="AZ271" s="3" t="s">
        <v>367</v>
      </c>
      <c r="BA271" s="3">
        <v>15102</v>
      </c>
      <c r="BB271" s="3">
        <v>2.0057197353061224E-3</v>
      </c>
      <c r="BC271" s="3">
        <v>6.4530229591836736</v>
      </c>
      <c r="BD271" s="3">
        <f t="shared" si="34"/>
        <v>3.1081862686567165E-4</v>
      </c>
      <c r="BF271" s="3" t="s">
        <v>367</v>
      </c>
      <c r="BG271" s="3">
        <v>15102</v>
      </c>
      <c r="BH271" s="3">
        <v>2.0057197353061224E-3</v>
      </c>
      <c r="BI271" s="3">
        <v>6.4530229591836736</v>
      </c>
      <c r="BJ271" s="3">
        <f t="shared" si="35"/>
        <v>3.1081862686567165E-4</v>
      </c>
    </row>
    <row r="274" spans="33:62" x14ac:dyDescent="0.2">
      <c r="AG274" s="3" t="s">
        <v>128</v>
      </c>
      <c r="AH274" s="3"/>
      <c r="AI274" s="3" t="s">
        <v>383</v>
      </c>
      <c r="AJ274" s="3" t="s">
        <v>114</v>
      </c>
      <c r="AK274" s="3" t="s">
        <v>67</v>
      </c>
      <c r="AN274" s="3" t="s">
        <v>68</v>
      </c>
      <c r="AO274" s="3"/>
      <c r="AP274" s="3" t="s">
        <v>383</v>
      </c>
      <c r="AQ274" s="3" t="s">
        <v>114</v>
      </c>
      <c r="AR274" s="3" t="s">
        <v>67</v>
      </c>
      <c r="AT274" s="3" t="s">
        <v>69</v>
      </c>
      <c r="AU274" s="3"/>
      <c r="AV274" s="3" t="s">
        <v>383</v>
      </c>
      <c r="AW274" s="3" t="s">
        <v>114</v>
      </c>
      <c r="AX274" s="3" t="s">
        <v>67</v>
      </c>
      <c r="AZ274" s="3" t="s">
        <v>28</v>
      </c>
      <c r="BA274" s="3"/>
      <c r="BB274" s="3" t="s">
        <v>383</v>
      </c>
      <c r="BC274" s="3" t="s">
        <v>114</v>
      </c>
      <c r="BD274" s="3" t="s">
        <v>67</v>
      </c>
      <c r="BF274" s="3" t="s">
        <v>64</v>
      </c>
      <c r="BG274" s="3"/>
      <c r="BH274" s="3" t="s">
        <v>383</v>
      </c>
      <c r="BI274" s="3" t="s">
        <v>114</v>
      </c>
      <c r="BJ274" s="3" t="s">
        <v>67</v>
      </c>
    </row>
    <row r="275" spans="33:62" x14ac:dyDescent="0.2">
      <c r="AG275" s="109" t="s">
        <v>34</v>
      </c>
      <c r="AH275" s="109"/>
      <c r="AI275" s="109"/>
      <c r="AJ275" s="109"/>
      <c r="AK275" s="109"/>
      <c r="AN275" s="109" t="s">
        <v>34</v>
      </c>
      <c r="AO275" s="109"/>
      <c r="AP275" s="109"/>
      <c r="AQ275" s="109"/>
      <c r="AR275" s="109"/>
      <c r="AT275" s="109" t="s">
        <v>34</v>
      </c>
      <c r="AU275" s="109"/>
      <c r="AV275" s="109"/>
      <c r="AW275" s="109"/>
      <c r="AX275" s="109"/>
      <c r="AZ275" s="109" t="s">
        <v>34</v>
      </c>
      <c r="BA275" s="109"/>
      <c r="BB275" s="109"/>
      <c r="BC275" s="109"/>
      <c r="BD275" s="109"/>
      <c r="BF275" s="109" t="s">
        <v>34</v>
      </c>
      <c r="BG275" s="109"/>
      <c r="BH275" s="109"/>
      <c r="BI275" s="109"/>
      <c r="BJ275" s="109"/>
    </row>
    <row r="276" spans="33:62" x14ac:dyDescent="0.2">
      <c r="AG276" s="3" t="s">
        <v>43</v>
      </c>
      <c r="AH276" s="3">
        <v>1135256096</v>
      </c>
      <c r="AI276" s="3">
        <f>AH276*AU209</f>
        <v>8.5144207200000006E-3</v>
      </c>
      <c r="AJ276" s="3">
        <f>AH276*AS209</f>
        <v>363.28195072</v>
      </c>
      <c r="AK276" s="3">
        <f>AI276/AJ276</f>
        <v>2.34375E-5</v>
      </c>
      <c r="AN276" s="3" t="s">
        <v>43</v>
      </c>
      <c r="AO276" s="3">
        <v>1135256096</v>
      </c>
      <c r="AP276" s="3">
        <f>AO276*AU209</f>
        <v>8.5144207200000006E-3</v>
      </c>
      <c r="AQ276" s="3">
        <f>AO276*AS209</f>
        <v>363.28195072</v>
      </c>
      <c r="AR276" s="3">
        <f>AP276/AQ276</f>
        <v>2.34375E-5</v>
      </c>
      <c r="AT276" s="3" t="s">
        <v>43</v>
      </c>
      <c r="AU276" s="3">
        <v>12926943232</v>
      </c>
      <c r="AV276" s="3">
        <f>AU276*AU209</f>
        <v>9.6952074240000005E-2</v>
      </c>
      <c r="AW276" s="3">
        <f>AU276*AS209</f>
        <v>4136.6218342399998</v>
      </c>
      <c r="AX276" s="3">
        <f>AV276/AW276</f>
        <v>2.3437500000000004E-5</v>
      </c>
      <c r="AZ276" s="3" t="s">
        <v>43</v>
      </c>
      <c r="BA276" s="3">
        <v>60408</v>
      </c>
      <c r="BB276" s="3">
        <f>BA276*AU209</f>
        <v>4.5306000000000001E-7</v>
      </c>
      <c r="BC276" s="3">
        <f>BA276*AS209</f>
        <v>1.933056E-2</v>
      </c>
      <c r="BD276" s="3">
        <f>BB276/BC276</f>
        <v>2.34375E-5</v>
      </c>
      <c r="BF276" s="3" t="s">
        <v>43</v>
      </c>
      <c r="BG276" s="3">
        <v>60750</v>
      </c>
      <c r="BH276" s="3">
        <f>BG276*AU209</f>
        <v>4.5562499999999998E-7</v>
      </c>
      <c r="BI276" s="3">
        <f>BG276*AS209</f>
        <v>1.9439999999999999E-2</v>
      </c>
      <c r="BJ276" s="3">
        <f>BH276/BI276</f>
        <v>2.34375E-5</v>
      </c>
    </row>
    <row r="277" spans="33:62" x14ac:dyDescent="0.2">
      <c r="AG277" s="3" t="s">
        <v>136</v>
      </c>
      <c r="AH277" s="3">
        <v>1093894592</v>
      </c>
      <c r="AI277" s="3">
        <f>AH277*AV209</f>
        <v>2.6253470208E-2</v>
      </c>
      <c r="AJ277" s="3">
        <f>AH277*AT209</f>
        <v>492.25256640000003</v>
      </c>
      <c r="AK277" s="3">
        <f t="shared" ref="AK277:AK279" si="36">AI277/AJ277</f>
        <v>5.3333333333333333E-5</v>
      </c>
      <c r="AN277" s="3" t="s">
        <v>136</v>
      </c>
      <c r="AO277" s="3">
        <v>1093894592</v>
      </c>
      <c r="AP277" s="3">
        <f>AO277*AV209</f>
        <v>2.6253470208E-2</v>
      </c>
      <c r="AQ277" s="3">
        <f>AO277*AT209</f>
        <v>492.25256640000003</v>
      </c>
      <c r="AR277" s="3">
        <f t="shared" ref="AR277:AR279" si="37">AP277/AQ277</f>
        <v>5.3333333333333333E-5</v>
      </c>
      <c r="AT277" s="3" t="s">
        <v>136</v>
      </c>
      <c r="AU277" s="3">
        <v>12831659008</v>
      </c>
      <c r="AV277" s="3">
        <f>AU277*AV209</f>
        <v>0.30795981619200002</v>
      </c>
      <c r="AW277" s="3">
        <f>AU277*AT209</f>
        <v>5774.2465536</v>
      </c>
      <c r="AX277" s="3">
        <f t="shared" ref="AX277:AX279" si="38">AV277/AW277</f>
        <v>5.333333333333334E-5</v>
      </c>
      <c r="AZ277" s="3" t="s">
        <v>136</v>
      </c>
      <c r="BA277" s="3">
        <v>30204</v>
      </c>
      <c r="BB277" s="3">
        <f>BA277*AV209</f>
        <v>7.2489600000000003E-7</v>
      </c>
      <c r="BC277" s="3">
        <f>BA277*AT209</f>
        <v>1.3591800000000001E-2</v>
      </c>
      <c r="BD277" s="3">
        <f t="shared" ref="BD277:BD279" si="39">BB277/BC277</f>
        <v>5.3333333333333333E-5</v>
      </c>
      <c r="BF277" s="3" t="s">
        <v>136</v>
      </c>
      <c r="BG277" s="3">
        <v>30375</v>
      </c>
      <c r="BH277" s="3">
        <f>BG277*AV209</f>
        <v>7.2900000000000003E-7</v>
      </c>
      <c r="BI277" s="3">
        <f>BG277*AT209</f>
        <v>1.366875E-2</v>
      </c>
      <c r="BJ277" s="3">
        <f t="shared" ref="BJ277:BJ279" si="40">BH277/BI277</f>
        <v>5.3333333333333333E-5</v>
      </c>
    </row>
    <row r="278" spans="33:62" x14ac:dyDescent="0.2">
      <c r="AG278" s="3" t="s">
        <v>366</v>
      </c>
      <c r="AH278" s="3">
        <v>567628048</v>
      </c>
      <c r="AI278" s="3">
        <v>583.91619275858943</v>
      </c>
      <c r="AJ278" s="3">
        <v>1078782.8973469387</v>
      </c>
      <c r="AK278" s="3">
        <f t="shared" si="36"/>
        <v>5.412731275167786E-4</v>
      </c>
      <c r="AN278" s="3" t="s">
        <v>366</v>
      </c>
      <c r="AO278" s="3">
        <v>5538627584</v>
      </c>
      <c r="AP278" s="3">
        <v>5697.5590676889606</v>
      </c>
      <c r="AQ278" s="3">
        <v>10526218.24</v>
      </c>
      <c r="AR278" s="3">
        <f t="shared" si="37"/>
        <v>5.412731275167786E-4</v>
      </c>
      <c r="AT278" s="3" t="s">
        <v>366</v>
      </c>
      <c r="AU278" s="3">
        <v>6463471616</v>
      </c>
      <c r="AV278" s="3">
        <v>6648.9415935590405</v>
      </c>
      <c r="AW278" s="3">
        <v>12.636381344901748</v>
      </c>
      <c r="AX278" s="3">
        <f t="shared" si="38"/>
        <v>526.17449664429535</v>
      </c>
      <c r="AZ278" s="3" t="s">
        <v>366</v>
      </c>
      <c r="BA278" s="3">
        <v>15102</v>
      </c>
      <c r="BB278" s="3">
        <v>1.553535343102041E-2</v>
      </c>
      <c r="BC278" s="3">
        <v>28.701505102040816</v>
      </c>
      <c r="BD278" s="3">
        <f t="shared" si="39"/>
        <v>5.412731275167786E-4</v>
      </c>
      <c r="BF278" s="3" t="s">
        <v>366</v>
      </c>
      <c r="BG278" s="3">
        <v>15102</v>
      </c>
      <c r="BH278" s="3">
        <v>1.553535343102041E-2</v>
      </c>
      <c r="BI278" s="3">
        <v>28.701505102040816</v>
      </c>
      <c r="BJ278" s="3">
        <f t="shared" si="40"/>
        <v>5.412731275167786E-4</v>
      </c>
    </row>
    <row r="279" spans="33:62" x14ac:dyDescent="0.2">
      <c r="AG279" s="3" t="s">
        <v>367</v>
      </c>
      <c r="AH279" s="3">
        <v>567628048</v>
      </c>
      <c r="AI279" s="3">
        <v>75.387549873320808</v>
      </c>
      <c r="AJ279" s="3">
        <v>242545.14806122449</v>
      </c>
      <c r="AK279" s="3">
        <f t="shared" si="36"/>
        <v>3.108186268656716E-4</v>
      </c>
      <c r="AN279" s="3" t="s">
        <v>367</v>
      </c>
      <c r="AO279" s="3">
        <v>5538627584</v>
      </c>
      <c r="AP279" s="3">
        <v>735.59360692223993</v>
      </c>
      <c r="AQ279" s="3">
        <v>2366632.96</v>
      </c>
      <c r="AR279" s="3">
        <f t="shared" si="37"/>
        <v>3.108186268656716E-4</v>
      </c>
      <c r="AT279" s="3" t="s">
        <v>367</v>
      </c>
      <c r="AU279" s="3">
        <v>6463471616</v>
      </c>
      <c r="AV279" s="3">
        <v>858.42355838975993</v>
      </c>
      <c r="AW279" s="3">
        <v>0.36680088273031836</v>
      </c>
      <c r="AX279" s="3">
        <f t="shared" si="38"/>
        <v>2340.2985074626863</v>
      </c>
      <c r="AZ279" s="3" t="s">
        <v>367</v>
      </c>
      <c r="BA279" s="3">
        <v>15102</v>
      </c>
      <c r="BB279" s="3">
        <v>2.0057197353061224E-3</v>
      </c>
      <c r="BC279" s="3">
        <v>6.4530229591836736</v>
      </c>
      <c r="BD279" s="3">
        <f t="shared" si="39"/>
        <v>3.1081862686567165E-4</v>
      </c>
      <c r="BF279" s="3" t="s">
        <v>367</v>
      </c>
      <c r="BG279" s="3">
        <v>15102</v>
      </c>
      <c r="BH279" s="3">
        <v>2.0057197353061224E-3</v>
      </c>
      <c r="BI279" s="3">
        <v>6.4530229591836736</v>
      </c>
      <c r="BJ279" s="3">
        <f t="shared" si="40"/>
        <v>3.1081862686567165E-4</v>
      </c>
    </row>
    <row r="282" spans="33:62" x14ac:dyDescent="0.2">
      <c r="AG282" s="3" t="s">
        <v>128</v>
      </c>
      <c r="AH282" s="3"/>
      <c r="AI282" s="3" t="s">
        <v>383</v>
      </c>
      <c r="AJ282" s="3" t="s">
        <v>114</v>
      </c>
      <c r="AK282" s="3" t="s">
        <v>67</v>
      </c>
      <c r="AN282" s="3" t="s">
        <v>68</v>
      </c>
      <c r="AO282" s="3"/>
      <c r="AP282" s="3" t="s">
        <v>383</v>
      </c>
      <c r="AQ282" s="3" t="s">
        <v>114</v>
      </c>
      <c r="AR282" s="3" t="s">
        <v>67</v>
      </c>
      <c r="AT282" s="3" t="s">
        <v>69</v>
      </c>
      <c r="AU282" s="3"/>
      <c r="AV282" s="3" t="s">
        <v>383</v>
      </c>
      <c r="AW282" s="3" t="s">
        <v>114</v>
      </c>
      <c r="AX282" s="3" t="s">
        <v>67</v>
      </c>
      <c r="AZ282" s="3" t="s">
        <v>28</v>
      </c>
      <c r="BA282" s="3"/>
      <c r="BB282" s="3" t="s">
        <v>383</v>
      </c>
      <c r="BC282" s="3" t="s">
        <v>114</v>
      </c>
      <c r="BD282" s="3" t="s">
        <v>67</v>
      </c>
      <c r="BF282" s="3" t="s">
        <v>64</v>
      </c>
      <c r="BG282" s="3"/>
      <c r="BH282" s="3" t="s">
        <v>383</v>
      </c>
      <c r="BI282" s="3" t="s">
        <v>114</v>
      </c>
      <c r="BJ282" s="3" t="s">
        <v>67</v>
      </c>
    </row>
    <row r="283" spans="33:62" x14ac:dyDescent="0.2">
      <c r="AG283" s="109" t="s">
        <v>399</v>
      </c>
      <c r="AH283" s="109"/>
      <c r="AI283" s="109"/>
      <c r="AJ283" s="109"/>
      <c r="AK283" s="109"/>
      <c r="AN283" s="109" t="s">
        <v>399</v>
      </c>
      <c r="AO283" s="109"/>
      <c r="AP283" s="109"/>
      <c r="AQ283" s="109"/>
      <c r="AR283" s="109"/>
      <c r="AT283" s="109" t="s">
        <v>399</v>
      </c>
      <c r="AU283" s="109"/>
      <c r="AV283" s="109"/>
      <c r="AW283" s="109"/>
      <c r="AX283" s="109"/>
      <c r="AZ283" s="109" t="s">
        <v>399</v>
      </c>
      <c r="BA283" s="109"/>
      <c r="BB283" s="109"/>
      <c r="BC283" s="109"/>
      <c r="BD283" s="109"/>
      <c r="BF283" s="109" t="s">
        <v>399</v>
      </c>
      <c r="BG283" s="109"/>
      <c r="BH283" s="109"/>
      <c r="BI283" s="109"/>
      <c r="BJ283" s="109"/>
    </row>
    <row r="284" spans="33:62" x14ac:dyDescent="0.2">
      <c r="AG284" s="3" t="s">
        <v>118</v>
      </c>
      <c r="AH284" s="3">
        <v>1135256096</v>
      </c>
      <c r="AI284" s="3">
        <f>(AH284/32)*AU210</f>
        <v>1.0110874605E-2</v>
      </c>
      <c r="AJ284" s="3">
        <f>(AH284/32)*AS210</f>
        <v>10.572072393999999</v>
      </c>
      <c r="AK284" s="3">
        <f>AI284/AJ284</f>
        <v>9.563758389261746E-4</v>
      </c>
      <c r="AN284" s="3" t="s">
        <v>118</v>
      </c>
      <c r="AO284" s="3">
        <v>1135256096</v>
      </c>
      <c r="AP284" s="3">
        <f>(AO284/32)*AU210</f>
        <v>1.0110874605E-2</v>
      </c>
      <c r="AQ284" s="3">
        <f>(AO284/32)*AS210</f>
        <v>10.572072393999999</v>
      </c>
      <c r="AR284" s="3">
        <f>AP284/AQ284</f>
        <v>9.563758389261746E-4</v>
      </c>
      <c r="AT284" s="3" t="s">
        <v>118</v>
      </c>
      <c r="AU284" s="3">
        <v>12926943232</v>
      </c>
      <c r="AV284" s="3">
        <f>(AU284/32)*AU210</f>
        <v>0.11513058816000001</v>
      </c>
      <c r="AW284" s="3">
        <f>(AU284/32)*AS210</f>
        <v>120.382158848</v>
      </c>
      <c r="AX284" s="3">
        <f>AV284/AW284</f>
        <v>9.5637583892617449E-4</v>
      </c>
      <c r="AZ284" s="3" t="s">
        <v>118</v>
      </c>
      <c r="BA284" s="3">
        <v>60408</v>
      </c>
      <c r="BB284" s="3">
        <f>(BA284/32)*AU210</f>
        <v>5.3800874999999995E-7</v>
      </c>
      <c r="BC284" s="3">
        <f>(BA284/32)*AS210</f>
        <v>5.6254950000000003E-4</v>
      </c>
      <c r="BD284" s="3">
        <f>BB284/BC284</f>
        <v>9.5637583892617438E-4</v>
      </c>
      <c r="BF284" s="3" t="s">
        <v>118</v>
      </c>
      <c r="BG284" s="3">
        <v>60750</v>
      </c>
      <c r="BH284" s="3">
        <f>(BG284/32)*AU210</f>
        <v>5.410546875E-7</v>
      </c>
      <c r="BI284" s="3">
        <f>(BG284/32)*AS210</f>
        <v>5.6573437499999994E-4</v>
      </c>
      <c r="BJ284" s="3">
        <f>BH284/BI284</f>
        <v>9.563758389261746E-4</v>
      </c>
    </row>
    <row r="285" spans="33:62" x14ac:dyDescent="0.2">
      <c r="AG285" s="3" t="s">
        <v>366</v>
      </c>
      <c r="AH285" s="3">
        <v>567628048</v>
      </c>
      <c r="AI285" s="3">
        <v>583.91619275858943</v>
      </c>
      <c r="AJ285" s="3">
        <v>1078782.8973469387</v>
      </c>
      <c r="AK285" s="3">
        <f t="shared" ref="AK285:AK287" si="41">AI285/AJ285</f>
        <v>5.412731275167786E-4</v>
      </c>
      <c r="AN285" s="3" t="s">
        <v>366</v>
      </c>
      <c r="AO285" s="3">
        <v>5538627584</v>
      </c>
      <c r="AP285" s="3">
        <v>5697.5590676889606</v>
      </c>
      <c r="AQ285" s="3">
        <v>10526218.24</v>
      </c>
      <c r="AR285" s="3">
        <f t="shared" ref="AR285:AR287" si="42">AP285/AQ285</f>
        <v>5.412731275167786E-4</v>
      </c>
      <c r="AT285" s="3" t="s">
        <v>366</v>
      </c>
      <c r="AU285" s="3">
        <v>6463471616</v>
      </c>
      <c r="AV285" s="3">
        <v>6648.9415935590405</v>
      </c>
      <c r="AW285" s="3">
        <v>12.636381344901748</v>
      </c>
      <c r="AX285" s="3">
        <f t="shared" ref="AX285:AX287" si="43">AV285/AW285</f>
        <v>526.17449664429535</v>
      </c>
      <c r="AZ285" s="3" t="s">
        <v>366</v>
      </c>
      <c r="BA285" s="3">
        <v>15102</v>
      </c>
      <c r="BB285" s="3">
        <v>1.553535343102041E-2</v>
      </c>
      <c r="BC285" s="3">
        <v>28.701505102040816</v>
      </c>
      <c r="BD285" s="3">
        <f t="shared" ref="BD285:BD287" si="44">BB285/BC285</f>
        <v>5.412731275167786E-4</v>
      </c>
      <c r="BF285" s="3" t="s">
        <v>366</v>
      </c>
      <c r="BG285" s="3">
        <v>15102</v>
      </c>
      <c r="BH285" s="3">
        <v>1.553535343102041E-2</v>
      </c>
      <c r="BI285" s="3">
        <v>28.701505102040816</v>
      </c>
      <c r="BJ285" s="3">
        <f t="shared" ref="BJ285:BJ287" si="45">BH285/BI285</f>
        <v>5.412731275167786E-4</v>
      </c>
    </row>
    <row r="286" spans="33:62" x14ac:dyDescent="0.2">
      <c r="AG286" s="3" t="s">
        <v>367</v>
      </c>
      <c r="AH286" s="3">
        <v>567628048</v>
      </c>
      <c r="AI286" s="3">
        <v>75.387549873320808</v>
      </c>
      <c r="AJ286" s="3">
        <v>242545.14806122449</v>
      </c>
      <c r="AK286" s="3">
        <f t="shared" si="41"/>
        <v>3.108186268656716E-4</v>
      </c>
      <c r="AN286" s="3" t="s">
        <v>367</v>
      </c>
      <c r="AO286" s="3">
        <v>5538627584</v>
      </c>
      <c r="AP286" s="3">
        <v>735.59360692223993</v>
      </c>
      <c r="AQ286" s="3">
        <v>2366632.96</v>
      </c>
      <c r="AR286" s="3">
        <f t="shared" si="42"/>
        <v>3.108186268656716E-4</v>
      </c>
      <c r="AT286" s="3" t="s">
        <v>367</v>
      </c>
      <c r="AU286" s="3">
        <v>6463471616</v>
      </c>
      <c r="AV286" s="3">
        <v>858.42355838975993</v>
      </c>
      <c r="AW286" s="3">
        <v>0.36680088273031836</v>
      </c>
      <c r="AX286" s="3">
        <f t="shared" si="43"/>
        <v>2340.2985074626863</v>
      </c>
      <c r="AZ286" s="3" t="s">
        <v>367</v>
      </c>
      <c r="BA286" s="3">
        <v>15102</v>
      </c>
      <c r="BB286" s="3">
        <v>2.0057197353061224E-3</v>
      </c>
      <c r="BC286" s="3">
        <v>6.4530229591836736</v>
      </c>
      <c r="BD286" s="3">
        <f t="shared" si="44"/>
        <v>3.1081862686567165E-4</v>
      </c>
      <c r="BF286" s="3" t="s">
        <v>367</v>
      </c>
      <c r="BG286" s="3">
        <v>15102</v>
      </c>
      <c r="BH286" s="3">
        <v>2.0057197353061224E-3</v>
      </c>
      <c r="BI286" s="3">
        <v>6.4530229591836736</v>
      </c>
      <c r="BJ286" s="3">
        <f t="shared" si="45"/>
        <v>3.1081862686567165E-4</v>
      </c>
    </row>
    <row r="287" spans="33:62" x14ac:dyDescent="0.2">
      <c r="AG287" s="3" t="s">
        <v>398</v>
      </c>
      <c r="AH287" s="3">
        <v>50176</v>
      </c>
      <c r="AI287" s="3">
        <v>3.4295295999999997E-7</v>
      </c>
      <c r="AJ287" s="3">
        <v>0.10838016</v>
      </c>
      <c r="AK287" s="3">
        <f t="shared" si="41"/>
        <v>3.1643518518518514E-6</v>
      </c>
      <c r="AN287" s="3" t="s">
        <v>398</v>
      </c>
      <c r="AO287" s="3">
        <v>65536</v>
      </c>
      <c r="AP287" s="3">
        <f>AO287*AU210</f>
        <v>1.867776E-5</v>
      </c>
      <c r="AQ287" s="3">
        <f>AO287*AS210</f>
        <v>1.9529728E-2</v>
      </c>
      <c r="AR287" s="3">
        <f t="shared" si="42"/>
        <v>9.5637583892617449E-4</v>
      </c>
      <c r="AT287" s="3" t="s">
        <v>398</v>
      </c>
      <c r="AU287" s="3">
        <v>65536</v>
      </c>
      <c r="AV287" s="3">
        <v>4.4793855999999999E-7</v>
      </c>
      <c r="AW287" s="3">
        <v>0.14155776</v>
      </c>
      <c r="AX287" s="3">
        <f t="shared" si="43"/>
        <v>3.1643518518518518E-6</v>
      </c>
      <c r="AZ287" s="3" t="s">
        <v>398</v>
      </c>
      <c r="BA287">
        <v>784</v>
      </c>
      <c r="BB287" s="3">
        <v>5.3586399999999996E-9</v>
      </c>
      <c r="BC287" s="3">
        <v>1.69344E-3</v>
      </c>
      <c r="BD287" s="3">
        <f t="shared" si="44"/>
        <v>3.1643518518518514E-6</v>
      </c>
      <c r="BF287" s="3" t="s">
        <v>398</v>
      </c>
      <c r="BG287">
        <v>784</v>
      </c>
      <c r="BH287" s="3">
        <v>5.3586399999999996E-9</v>
      </c>
      <c r="BI287" s="3">
        <v>1.69344E-3</v>
      </c>
      <c r="BJ287" s="3">
        <f t="shared" si="45"/>
        <v>3.1643518518518514E-6</v>
      </c>
    </row>
    <row r="292" spans="33:50" x14ac:dyDescent="0.2">
      <c r="AS292" s="3"/>
      <c r="AX292" s="3">
        <v>60408</v>
      </c>
    </row>
    <row r="293" spans="33:50" x14ac:dyDescent="0.2">
      <c r="AG293" s="8" t="s">
        <v>128</v>
      </c>
      <c r="AH293" s="8" t="s">
        <v>400</v>
      </c>
      <c r="AI293" s="8" t="s">
        <v>22</v>
      </c>
      <c r="AJ293" s="8" t="s">
        <v>67</v>
      </c>
      <c r="AK293" s="8" t="s">
        <v>129</v>
      </c>
      <c r="AL293" s="8" t="s">
        <v>401</v>
      </c>
      <c r="AM293" s="8" t="s">
        <v>402</v>
      </c>
      <c r="AN293" s="8" t="s">
        <v>403</v>
      </c>
      <c r="AO293" s="8" t="s">
        <v>47</v>
      </c>
      <c r="AP293" s="8" t="s">
        <v>3</v>
      </c>
      <c r="AQ293" s="8" t="s">
        <v>56</v>
      </c>
      <c r="AS293" s="3"/>
      <c r="AX293" s="3">
        <v>15102</v>
      </c>
    </row>
    <row r="294" spans="33:50" x14ac:dyDescent="0.2">
      <c r="AG294" s="3" t="s">
        <v>404</v>
      </c>
      <c r="AH294" s="3">
        <f>SUM(AI224:AI225)</f>
        <v>0.28825921379199998</v>
      </c>
      <c r="AI294" s="3">
        <f t="shared" ref="AI294:AJ294" si="46">SUM(AJ224:AJ225)</f>
        <v>671.00260700800004</v>
      </c>
      <c r="AJ294" s="3">
        <f t="shared" si="46"/>
        <v>1.0094894352958869E-3</v>
      </c>
      <c r="AK294" s="3">
        <f>(1281851+50000)/AI294</f>
        <v>1984.8671019904414</v>
      </c>
      <c r="AL294" s="3">
        <f>1/AH294</f>
        <v>3.4690998662112942</v>
      </c>
      <c r="AM294" s="3">
        <f>AK294/AP294</f>
        <v>36.154227722958858</v>
      </c>
      <c r="AN294" s="3">
        <f>AL294/AP294</f>
        <v>6.3189432900023573E-2</v>
      </c>
      <c r="AO294" s="12">
        <v>91.74</v>
      </c>
      <c r="AP294" s="12">
        <v>54.9</v>
      </c>
      <c r="AQ294" s="3" t="s">
        <v>57</v>
      </c>
      <c r="AS294" s="3"/>
      <c r="AX294" s="3">
        <v>15102</v>
      </c>
    </row>
    <row r="295" spans="33:50" x14ac:dyDescent="0.2">
      <c r="AG295" s="3" t="s">
        <v>405</v>
      </c>
      <c r="AH295" s="3">
        <f>SUM(AI233:AI234)</f>
        <v>0.27286196649600003</v>
      </c>
      <c r="AI295" s="3">
        <f t="shared" ref="AI295:AJ295" si="47">SUM(AJ233:AJ234)</f>
        <v>170.45796806176003</v>
      </c>
      <c r="AJ295" s="3">
        <f t="shared" si="47"/>
        <v>1.0006066666666666</v>
      </c>
      <c r="AK295" s="3">
        <f>(1281851+50000)/AI295</f>
        <v>7813.3689797208317</v>
      </c>
      <c r="AL295" s="3">
        <f t="shared" ref="AL295:AL301" si="48">1/AH295</f>
        <v>3.6648566776882014</v>
      </c>
      <c r="AM295" s="3">
        <f t="shared" ref="AM295:AM301" si="49">AK295/AP295</f>
        <v>59.918473770865269</v>
      </c>
      <c r="AN295" s="3">
        <f t="shared" ref="AN295:AN301" si="50">AL295/AP295</f>
        <v>2.8104729123375777E-2</v>
      </c>
      <c r="AO295" s="12">
        <v>91.74</v>
      </c>
      <c r="AP295" s="12">
        <f>AP296*2</f>
        <v>130.4</v>
      </c>
      <c r="AQ295" s="3" t="s">
        <v>57</v>
      </c>
      <c r="AX295">
        <v>784</v>
      </c>
    </row>
    <row r="296" spans="33:50" x14ac:dyDescent="0.2">
      <c r="AG296" s="3" t="s">
        <v>406</v>
      </c>
      <c r="AH296" s="3">
        <f>SUM(AI242:AI243)</f>
        <v>0.30929138006399998</v>
      </c>
      <c r="AI296" s="3">
        <f>SUM(AJ242:AJ243)</f>
        <v>327.86909264000008</v>
      </c>
      <c r="AJ296" s="3">
        <f t="shared" ref="AJ296" si="51">SUM(AK242:AK243,AK245)</f>
        <v>2.1616421562774359E-3</v>
      </c>
      <c r="AK296" s="3">
        <f t="shared" ref="AK296:AK301" si="52">(1281851+50000)/AI296</f>
        <v>4062.1425742693318</v>
      </c>
      <c r="AL296" s="3">
        <f t="shared" si="48"/>
        <v>3.233197122380441</v>
      </c>
      <c r="AM296" s="3">
        <f t="shared" si="49"/>
        <v>62.302800218854777</v>
      </c>
      <c r="AN296" s="3">
        <f t="shared" si="50"/>
        <v>4.958891291994541E-2</v>
      </c>
      <c r="AO296" s="12">
        <v>91.74</v>
      </c>
      <c r="AP296" s="12">
        <v>65.2</v>
      </c>
      <c r="AQ296" s="3" t="s">
        <v>57</v>
      </c>
    </row>
    <row r="297" spans="33:50" x14ac:dyDescent="0.2">
      <c r="AG297" s="3" t="s">
        <v>393</v>
      </c>
      <c r="AH297" s="3">
        <f>SUM(AI250:AI251)</f>
        <v>0.29907407520000001</v>
      </c>
      <c r="AI297" s="3">
        <f t="shared" ref="AI297:AJ297" si="53">SUM(AJ250:AJ251)</f>
        <v>704.93620537599998</v>
      </c>
      <c r="AJ297" s="3">
        <f t="shared" si="53"/>
        <v>9.1402714932126692E-4</v>
      </c>
      <c r="AK297" s="3">
        <f t="shared" si="52"/>
        <v>1889.3213170823242</v>
      </c>
      <c r="AL297" s="3">
        <f t="shared" si="48"/>
        <v>3.3436532381861226</v>
      </c>
      <c r="AM297" s="3">
        <f t="shared" si="49"/>
        <v>1.8110825508841297</v>
      </c>
      <c r="AN297" s="3">
        <f t="shared" si="50"/>
        <v>3.2051890703471268E-3</v>
      </c>
      <c r="AO297" s="12">
        <v>91.74</v>
      </c>
      <c r="AP297" s="12">
        <f>AP296*16</f>
        <v>1043.2</v>
      </c>
      <c r="AQ297" s="3" t="s">
        <v>57</v>
      </c>
    </row>
    <row r="298" spans="33:50" x14ac:dyDescent="0.2">
      <c r="AG298" s="3" t="s">
        <v>33</v>
      </c>
      <c r="AH298" s="3">
        <f>SUM(AI258:AI259,AI262)</f>
        <v>0.54810037716096005</v>
      </c>
      <c r="AI298" s="3">
        <f t="shared" ref="AI298:AJ298" si="54">SUM(AJ258:AJ259,AJ262)</f>
        <v>209.91083881599999</v>
      </c>
      <c r="AJ298" s="3">
        <f t="shared" si="54"/>
        <v>1.1793080318238404E-2</v>
      </c>
      <c r="AK298" s="3">
        <f t="shared" si="52"/>
        <v>6344.8414932372825</v>
      </c>
      <c r="AL298" s="3">
        <f t="shared" si="48"/>
        <v>1.8244833276338561</v>
      </c>
      <c r="AM298" s="3">
        <f t="shared" si="49"/>
        <v>23.241177630905796</v>
      </c>
      <c r="AN298" s="3">
        <f t="shared" si="50"/>
        <v>6.6830891122119269E-3</v>
      </c>
      <c r="AO298" s="12">
        <f>91.74*0.98</f>
        <v>89.905199999999994</v>
      </c>
      <c r="AP298" s="12">
        <v>273</v>
      </c>
      <c r="AQ298" s="3" t="s">
        <v>58</v>
      </c>
    </row>
    <row r="299" spans="33:50" x14ac:dyDescent="0.2">
      <c r="AG299" s="3" t="s">
        <v>35</v>
      </c>
      <c r="AH299" s="3">
        <f>SUM(AI268:AI269)</f>
        <v>0.12218967279999998</v>
      </c>
      <c r="AI299" s="3">
        <f t="shared" ref="AI299:AJ299" si="55">SUM(AJ268:AJ269)</f>
        <v>1852.473310912</v>
      </c>
      <c r="AJ299" s="3">
        <f t="shared" si="55"/>
        <v>1.7568602493851662E-4</v>
      </c>
      <c r="AK299" s="3">
        <f t="shared" si="52"/>
        <v>718.95826631062778</v>
      </c>
      <c r="AL299" s="3">
        <f t="shared" si="48"/>
        <v>8.1839976905151364</v>
      </c>
      <c r="AM299" s="3">
        <f t="shared" si="49"/>
        <v>13.119676392529705</v>
      </c>
      <c r="AN299" s="3">
        <f t="shared" si="50"/>
        <v>0.14934302354954629</v>
      </c>
      <c r="AO299" s="12">
        <v>91.74</v>
      </c>
      <c r="AP299" s="12">
        <v>54.8</v>
      </c>
      <c r="AQ299" s="3" t="s">
        <v>59</v>
      </c>
    </row>
    <row r="300" spans="33:50" x14ac:dyDescent="0.2">
      <c r="AG300" s="3" t="s">
        <v>34</v>
      </c>
      <c r="AH300" s="3">
        <f>SUM(AI276:AI277)</f>
        <v>3.4767890927999999E-2</v>
      </c>
      <c r="AI300" s="3">
        <f t="shared" ref="AI300:AJ300" si="56">SUM(AJ276:AJ277)</f>
        <v>855.53451712000003</v>
      </c>
      <c r="AJ300" s="3">
        <f t="shared" si="56"/>
        <v>7.677083333333334E-5</v>
      </c>
      <c r="AK300" s="3">
        <f t="shared" si="52"/>
        <v>1556.7472420439938</v>
      </c>
      <c r="AL300" s="3">
        <f t="shared" si="48"/>
        <v>28.762170304516783</v>
      </c>
      <c r="AM300" s="3">
        <f t="shared" si="49"/>
        <v>154.13339030138553</v>
      </c>
      <c r="AN300" s="3">
        <f t="shared" si="50"/>
        <v>2.8477396341105727</v>
      </c>
      <c r="AO300" s="12">
        <v>91.74</v>
      </c>
      <c r="AP300" s="12">
        <v>10.1</v>
      </c>
      <c r="AQ300" s="3" t="s">
        <v>58</v>
      </c>
    </row>
    <row r="301" spans="33:50" x14ac:dyDescent="0.2">
      <c r="AG301" s="3" t="s">
        <v>399</v>
      </c>
      <c r="AH301" s="3">
        <f>SUM(AI284,AI287)</f>
        <v>1.011121755796E-2</v>
      </c>
      <c r="AI301" s="3">
        <f t="shared" ref="AI301" si="57">SUM(AJ284,AJ287)</f>
        <v>10.680452553999999</v>
      </c>
      <c r="AJ301" s="3">
        <f>SUM(AK284,AK287)</f>
        <v>9.5954019077802645E-4</v>
      </c>
      <c r="AK301" s="3">
        <f t="shared" si="52"/>
        <v>124699.86578435768</v>
      </c>
      <c r="AL301" s="3">
        <f t="shared" si="48"/>
        <v>98.900057709939745</v>
      </c>
      <c r="AM301" s="3">
        <f t="shared" si="49"/>
        <v>937.59297582223815</v>
      </c>
      <c r="AN301" s="3">
        <f t="shared" si="50"/>
        <v>0.74360945646571242</v>
      </c>
      <c r="AO301" s="12">
        <f>91.74*0.965</f>
        <v>88.529099999999985</v>
      </c>
      <c r="AP301" s="12">
        <v>133</v>
      </c>
      <c r="AQ301" s="3" t="s">
        <v>60</v>
      </c>
    </row>
    <row r="305" spans="33:43" x14ac:dyDescent="0.2">
      <c r="AG305" s="8" t="s">
        <v>68</v>
      </c>
      <c r="AH305" s="8" t="s">
        <v>400</v>
      </c>
      <c r="AI305" s="8" t="s">
        <v>22</v>
      </c>
      <c r="AJ305" s="8" t="s">
        <v>67</v>
      </c>
      <c r="AK305" s="8" t="s">
        <v>129</v>
      </c>
      <c r="AL305" s="8" t="s">
        <v>401</v>
      </c>
      <c r="AM305" s="8" t="s">
        <v>402</v>
      </c>
      <c r="AN305" s="8" t="s">
        <v>403</v>
      </c>
      <c r="AO305" s="8" t="s">
        <v>47</v>
      </c>
      <c r="AP305" s="8" t="s">
        <v>3</v>
      </c>
      <c r="AQ305" s="8" t="s">
        <v>56</v>
      </c>
    </row>
    <row r="306" spans="33:43" x14ac:dyDescent="0.2">
      <c r="AG306" s="3" t="s">
        <v>404</v>
      </c>
      <c r="AH306" s="3">
        <f>SUM(AP242:AP243)</f>
        <v>3.074703593472</v>
      </c>
      <c r="AI306" s="3">
        <f>SUM(AQ242:AQ243)</f>
        <v>3252.8202649600003</v>
      </c>
      <c r="AJ306" s="3">
        <f t="shared" ref="AJ306" si="58">SUM(AR242:AR243)</f>
        <v>1.8508235294117646E-3</v>
      </c>
      <c r="AK306" s="3">
        <f>(1281851+50000)/AI306</f>
        <v>409.44500203314419</v>
      </c>
      <c r="AL306" s="3">
        <f>1/AH306</f>
        <v>0.32523460216559785</v>
      </c>
      <c r="AM306" s="3">
        <f>AK306/AP306</f>
        <v>7.4580146089825901</v>
      </c>
      <c r="AN306" s="3">
        <f>AL306/AP306</f>
        <v>5.9241275439999609E-3</v>
      </c>
      <c r="AO306" s="12">
        <v>92.7</v>
      </c>
      <c r="AP306" s="12">
        <v>54.9</v>
      </c>
      <c r="AQ306" s="3" t="s">
        <v>57</v>
      </c>
    </row>
    <row r="307" spans="33:43" x14ac:dyDescent="0.2">
      <c r="AG307" s="3" t="s">
        <v>405</v>
      </c>
      <c r="AH307" s="3">
        <f>SUM(AP233:AP234)</f>
        <v>2.7113556449280001</v>
      </c>
      <c r="AI307" s="3">
        <f>SUM(AQ233:AQ234)</f>
        <v>6606.7266048000001</v>
      </c>
      <c r="AJ307" s="3">
        <f>SUM(AR233:AR234)</f>
        <v>9.5111111111111102E-4</v>
      </c>
      <c r="AK307" s="3">
        <f>(1281851+50000)/AI307</f>
        <v>201.59014889951209</v>
      </c>
      <c r="AL307" s="3">
        <f t="shared" ref="AL307:AL313" si="59">1/AH307</f>
        <v>0.36881919266867513</v>
      </c>
      <c r="AM307" s="3">
        <f t="shared" ref="AM307:AM313" si="60">AK307/AP307</f>
        <v>1.5459367246895097</v>
      </c>
      <c r="AN307" s="3">
        <f t="shared" ref="AN307:AN313" si="61">AL307/AP307</f>
        <v>2.8283680419376924E-3</v>
      </c>
      <c r="AO307" s="12">
        <v>92.7</v>
      </c>
      <c r="AP307" s="12">
        <f>AP308*2</f>
        <v>130.4</v>
      </c>
      <c r="AQ307" s="3" t="s">
        <v>57</v>
      </c>
    </row>
    <row r="308" spans="33:43" x14ac:dyDescent="0.2">
      <c r="AG308" s="3" t="s">
        <v>406</v>
      </c>
      <c r="AH308" s="3">
        <f>SUM(AP242:AP243)</f>
        <v>3.074703593472</v>
      </c>
      <c r="AI308" s="3">
        <f t="shared" ref="AI308:AJ308" si="62">SUM(AQ242:AQ243)</f>
        <v>3252.8202649600003</v>
      </c>
      <c r="AJ308" s="3">
        <f t="shared" si="62"/>
        <v>1.8508235294117646E-3</v>
      </c>
      <c r="AK308" s="3">
        <f t="shared" ref="AK308:AK313" si="63">(1281851+50000)/AI308</f>
        <v>409.44500203314419</v>
      </c>
      <c r="AL308" s="3">
        <f t="shared" si="59"/>
        <v>0.32523460216559785</v>
      </c>
      <c r="AM308" s="3">
        <f t="shared" si="60"/>
        <v>6.2798313195267514</v>
      </c>
      <c r="AN308" s="3">
        <f t="shared" si="61"/>
        <v>4.9882607694110102E-3</v>
      </c>
      <c r="AO308" s="12">
        <v>92.7</v>
      </c>
      <c r="AP308" s="12">
        <v>65.2</v>
      </c>
      <c r="AQ308" s="3" t="s">
        <v>57</v>
      </c>
    </row>
    <row r="309" spans="33:43" x14ac:dyDescent="0.2">
      <c r="AG309" s="3" t="s">
        <v>393</v>
      </c>
      <c r="AH309" s="3">
        <f>SUM(AP250:AP251)</f>
        <v>2.97500829696</v>
      </c>
      <c r="AI309" s="3">
        <f t="shared" ref="AI309:AJ309" si="64">SUM(AQ250:AQ251)</f>
        <v>7026.077241344</v>
      </c>
      <c r="AJ309" s="3">
        <f t="shared" si="64"/>
        <v>9.1402714932126692E-4</v>
      </c>
      <c r="AK309" s="3">
        <f t="shared" si="63"/>
        <v>189.55826334542741</v>
      </c>
      <c r="AL309" s="3">
        <f t="shared" si="59"/>
        <v>0.33613351634072614</v>
      </c>
      <c r="AM309" s="3">
        <f t="shared" si="60"/>
        <v>0.18170845796149099</v>
      </c>
      <c r="AN309" s="3">
        <f t="shared" si="61"/>
        <v>3.2221387686035864E-4</v>
      </c>
      <c r="AO309" s="12">
        <v>92.7</v>
      </c>
      <c r="AP309" s="12">
        <f>AP308*16</f>
        <v>1043.2</v>
      </c>
      <c r="AQ309" s="3" t="s">
        <v>57</v>
      </c>
    </row>
    <row r="310" spans="33:43" x14ac:dyDescent="0.2">
      <c r="AG310" s="3" t="s">
        <v>33</v>
      </c>
      <c r="AH310" s="6">
        <f>SUM(AP258:AP259,AP262)</f>
        <v>5.43643075936256</v>
      </c>
      <c r="AI310" s="6">
        <f t="shared" ref="AI310:AJ310" si="65">SUM(AQ258:AQ259,AQ262)</f>
        <v>2100.9272852480003</v>
      </c>
      <c r="AJ310" s="6">
        <f t="shared" si="65"/>
        <v>1.1793080318238402E-2</v>
      </c>
      <c r="AK310" s="3">
        <f t="shared" si="63"/>
        <v>633.93483884559282</v>
      </c>
      <c r="AL310" s="3">
        <f t="shared" si="59"/>
        <v>0.18394421712771955</v>
      </c>
      <c r="AM310" s="3">
        <f t="shared" si="60"/>
        <v>2.3221056367970432</v>
      </c>
      <c r="AN310" s="3">
        <f t="shared" si="61"/>
        <v>6.7378834112717786E-4</v>
      </c>
      <c r="AO310" s="12">
        <f>92.7*0.98</f>
        <v>90.846000000000004</v>
      </c>
      <c r="AP310" s="12">
        <v>273</v>
      </c>
      <c r="AQ310" s="3" t="s">
        <v>58</v>
      </c>
    </row>
    <row r="311" spans="33:43" x14ac:dyDescent="0.2">
      <c r="AG311" s="3" t="s">
        <v>35</v>
      </c>
      <c r="AH311" s="3">
        <f>SUM(AP268:AP269)</f>
        <v>0.12218967279999998</v>
      </c>
      <c r="AI311" s="3">
        <f t="shared" ref="AI311:AJ311" si="66">SUM(AQ268:AQ269)</f>
        <v>1852.473310912</v>
      </c>
      <c r="AJ311" s="3">
        <f t="shared" si="66"/>
        <v>1.7568602493851662E-4</v>
      </c>
      <c r="AK311" s="3">
        <f t="shared" si="63"/>
        <v>718.95826631062778</v>
      </c>
      <c r="AL311" s="3">
        <f t="shared" si="59"/>
        <v>8.1839976905151364</v>
      </c>
      <c r="AM311" s="3">
        <f t="shared" si="60"/>
        <v>13.119676392529705</v>
      </c>
      <c r="AN311" s="3">
        <f t="shared" si="61"/>
        <v>0.14934302354954629</v>
      </c>
      <c r="AO311" s="12">
        <v>92.7</v>
      </c>
      <c r="AP311" s="12">
        <v>54.8</v>
      </c>
      <c r="AQ311" s="3" t="s">
        <v>59</v>
      </c>
    </row>
    <row r="312" spans="33:43" x14ac:dyDescent="0.2">
      <c r="AG312" s="3" t="s">
        <v>34</v>
      </c>
      <c r="AH312" s="3">
        <f>SUM(AP276:AP277)</f>
        <v>3.4767890927999999E-2</v>
      </c>
      <c r="AI312" s="3">
        <f t="shared" ref="AI312:AJ312" si="67">SUM(AQ276:AQ277)</f>
        <v>855.53451712000003</v>
      </c>
      <c r="AJ312" s="3">
        <f t="shared" si="67"/>
        <v>7.677083333333334E-5</v>
      </c>
      <c r="AK312" s="3">
        <f t="shared" si="63"/>
        <v>1556.7472420439938</v>
      </c>
      <c r="AL312" s="3">
        <f t="shared" si="59"/>
        <v>28.762170304516783</v>
      </c>
      <c r="AM312" s="3">
        <f t="shared" si="60"/>
        <v>154.13339030138553</v>
      </c>
      <c r="AN312" s="3">
        <f t="shared" si="61"/>
        <v>2.8477396341105727</v>
      </c>
      <c r="AO312" s="12">
        <v>92.7</v>
      </c>
      <c r="AP312" s="12">
        <v>10.1</v>
      </c>
      <c r="AQ312" s="3" t="s">
        <v>58</v>
      </c>
    </row>
    <row r="313" spans="33:43" x14ac:dyDescent="0.2">
      <c r="AG313" s="3" t="s">
        <v>399</v>
      </c>
      <c r="AH313" s="3">
        <f>SUM(AP284,AP287)</f>
        <v>1.0129552365000001E-2</v>
      </c>
      <c r="AI313" s="3">
        <f t="shared" ref="AI313:AJ313" si="68">SUM(AQ284,AQ287)</f>
        <v>10.591602121999999</v>
      </c>
      <c r="AJ313" s="3">
        <f t="shared" si="68"/>
        <v>1.9127516778523492E-3</v>
      </c>
      <c r="AK313" s="3">
        <f t="shared" si="63"/>
        <v>125745.9433104638</v>
      </c>
      <c r="AL313" s="3">
        <f t="shared" si="59"/>
        <v>98.721045507917651</v>
      </c>
      <c r="AM313" s="3">
        <f t="shared" si="60"/>
        <v>945.45822037942708</v>
      </c>
      <c r="AN313" s="3">
        <f t="shared" si="61"/>
        <v>0.74226350005953123</v>
      </c>
      <c r="AO313" s="12">
        <f>92.7*0.965</f>
        <v>89.455500000000001</v>
      </c>
      <c r="AP313" s="12">
        <v>133</v>
      </c>
      <c r="AQ313" s="3" t="s">
        <v>60</v>
      </c>
    </row>
    <row r="316" spans="33:43" x14ac:dyDescent="0.2">
      <c r="AG316" s="8" t="s">
        <v>69</v>
      </c>
      <c r="AH316" s="8" t="s">
        <v>400</v>
      </c>
      <c r="AI316" s="8" t="s">
        <v>22</v>
      </c>
      <c r="AJ316" s="8" t="s">
        <v>67</v>
      </c>
      <c r="AK316" s="8" t="s">
        <v>129</v>
      </c>
      <c r="AL316" s="8" t="s">
        <v>401</v>
      </c>
      <c r="AM316" s="8" t="s">
        <v>402</v>
      </c>
      <c r="AN316" s="8" t="s">
        <v>403</v>
      </c>
      <c r="AO316" s="8" t="s">
        <v>47</v>
      </c>
      <c r="AP316" s="8" t="s">
        <v>3</v>
      </c>
      <c r="AQ316" s="8" t="s">
        <v>56</v>
      </c>
    </row>
    <row r="317" spans="33:43" x14ac:dyDescent="0.2">
      <c r="AG317" s="3" t="s">
        <v>404</v>
      </c>
      <c r="AH317" s="3">
        <f>SUM(AV224:AV225)</f>
        <v>3.3450927749119996</v>
      </c>
      <c r="AI317" s="3">
        <f t="shared" ref="AI317:AJ317" si="69">SUM(AW224:AW225)</f>
        <v>7815.274320896001</v>
      </c>
      <c r="AJ317" s="3">
        <f t="shared" si="69"/>
        <v>1.0094894352958867E-3</v>
      </c>
      <c r="AK317" s="3">
        <f>(1281851+50000)/AI317</f>
        <v>170.41641090434644</v>
      </c>
      <c r="AL317" s="3">
        <f>1/AH317</f>
        <v>0.29894537081301348</v>
      </c>
      <c r="AM317" s="3">
        <f>AK317/AP317</f>
        <v>3.1041240601884597</v>
      </c>
      <c r="AN317" s="3">
        <f>AL317/AP317</f>
        <v>5.4452708709109921E-3</v>
      </c>
      <c r="AO317" s="12">
        <v>91.74</v>
      </c>
      <c r="AP317" s="12">
        <v>54.9</v>
      </c>
      <c r="AQ317" s="3" t="s">
        <v>57</v>
      </c>
    </row>
    <row r="318" spans="33:43" x14ac:dyDescent="0.2">
      <c r="AG318" s="3" t="s">
        <v>405</v>
      </c>
      <c r="AH318" s="3">
        <f>SUM(AV233:AV234)</f>
        <v>3.1652589803520002</v>
      </c>
      <c r="AI318" s="3">
        <f t="shared" ref="AI318:AJ318" si="70">SUM(AW233:AW234)</f>
        <v>7713.2880384</v>
      </c>
      <c r="AJ318" s="3">
        <f t="shared" si="70"/>
        <v>9.5111111111111091E-4</v>
      </c>
      <c r="AK318" s="3">
        <f>(1281851+50000)/AI318</f>
        <v>172.66968293800053</v>
      </c>
      <c r="AL318" s="3">
        <f t="shared" ref="AL318:AL324" si="71">1/AH318</f>
        <v>0.31592991480551541</v>
      </c>
      <c r="AM318" s="3">
        <f t="shared" ref="AM318:AM324" si="72">AK318/AP318</f>
        <v>1.3241540102607403</v>
      </c>
      <c r="AN318" s="3">
        <f t="shared" ref="AN318:AN324" si="73">AL318/AP318</f>
        <v>2.4227754202876947E-3</v>
      </c>
      <c r="AO318" s="12">
        <v>91.74</v>
      </c>
      <c r="AP318" s="12">
        <f>AP319*2</f>
        <v>130.4</v>
      </c>
      <c r="AQ318" s="3" t="s">
        <v>57</v>
      </c>
    </row>
    <row r="319" spans="33:43" x14ac:dyDescent="0.2">
      <c r="AG319" s="3" t="s">
        <v>406</v>
      </c>
      <c r="AH319" s="3">
        <f>SUM(AV242:AV243)</f>
        <v>3.5894660014079998</v>
      </c>
      <c r="AI319" s="3">
        <f t="shared" ref="AI319:AJ319" si="74">SUM(AW242:AW243)</f>
        <v>3797.2499353600006</v>
      </c>
      <c r="AJ319" s="3">
        <f t="shared" si="74"/>
        <v>1.8508235294117641E-3</v>
      </c>
      <c r="AK319" s="3">
        <f t="shared" ref="AK319:AK324" si="75">(1281851+50000)/AI319</f>
        <v>350.74093690747094</v>
      </c>
      <c r="AL319" s="3">
        <f t="shared" si="71"/>
        <v>0.27859297165866487</v>
      </c>
      <c r="AM319" s="3">
        <f t="shared" si="72"/>
        <v>5.3794622225072226</v>
      </c>
      <c r="AN319" s="3">
        <f t="shared" si="73"/>
        <v>4.2728983383230803E-3</v>
      </c>
      <c r="AO319" s="12">
        <v>91.74</v>
      </c>
      <c r="AP319" s="12">
        <v>65.2</v>
      </c>
      <c r="AQ319" s="3" t="s">
        <v>57</v>
      </c>
    </row>
    <row r="320" spans="33:43" x14ac:dyDescent="0.2">
      <c r="AG320" s="3" t="s">
        <v>393</v>
      </c>
      <c r="AH320" s="3">
        <f>SUM(AV250:AV251)</f>
        <v>3.4731235123199999</v>
      </c>
      <c r="AI320" s="3">
        <f t="shared" ref="AI320:AJ320" si="76">SUM(AW250:AW251)</f>
        <v>8202.7967651840008</v>
      </c>
      <c r="AJ320" s="3">
        <f t="shared" si="76"/>
        <v>9.1402714932126692E-4</v>
      </c>
      <c r="AK320" s="3">
        <f t="shared" si="75"/>
        <v>162.36547584025442</v>
      </c>
      <c r="AL320" s="3">
        <f t="shared" si="71"/>
        <v>0.28792526279378222</v>
      </c>
      <c r="AM320" s="3">
        <f t="shared" si="72"/>
        <v>0.15564175214748313</v>
      </c>
      <c r="AN320" s="3">
        <f t="shared" si="73"/>
        <v>2.7600197737134033E-4</v>
      </c>
      <c r="AO320" s="12">
        <v>91.74</v>
      </c>
      <c r="AP320" s="12">
        <f>AP319*16</f>
        <v>1043.2</v>
      </c>
      <c r="AQ320" s="3" t="s">
        <v>57</v>
      </c>
    </row>
    <row r="321" spans="33:43" x14ac:dyDescent="0.2">
      <c r="AG321" s="3" t="s">
        <v>33</v>
      </c>
      <c r="AH321" s="6">
        <f>SUM(AV258:AV259,AV262)</f>
        <v>6.3463038785945605</v>
      </c>
      <c r="AI321" s="6">
        <f t="shared" ref="AI321:AJ321" si="77">SUM(AW258:AW259,AW262)</f>
        <v>2452.9893969920004</v>
      </c>
      <c r="AJ321" s="6">
        <f t="shared" si="77"/>
        <v>1.1793080318238404E-2</v>
      </c>
      <c r="AK321" s="3">
        <f t="shared" si="75"/>
        <v>542.950165880535</v>
      </c>
      <c r="AL321" s="3">
        <f t="shared" si="71"/>
        <v>0.1575720323404145</v>
      </c>
      <c r="AM321" s="3">
        <f t="shared" si="72"/>
        <v>1.9888284464488462</v>
      </c>
      <c r="AN321" s="3">
        <f t="shared" si="73"/>
        <v>5.7718693164986992E-4</v>
      </c>
      <c r="AO321" s="12">
        <f>91.74*0.98</f>
        <v>89.905199999999994</v>
      </c>
      <c r="AP321" s="12">
        <v>273</v>
      </c>
      <c r="AQ321" s="3" t="s">
        <v>58</v>
      </c>
    </row>
    <row r="322" spans="33:43" x14ac:dyDescent="0.2">
      <c r="AG322" s="3" t="s">
        <v>35</v>
      </c>
      <c r="AH322" s="3">
        <f>SUM(AV268:AV269)</f>
        <v>1.4157702809599999</v>
      </c>
      <c r="AI322" s="3">
        <f t="shared" ref="AI322:AJ322" si="78">SUM(AW268:AW269)</f>
        <v>21271.459951616001</v>
      </c>
      <c r="AJ322" s="3">
        <f t="shared" si="78"/>
        <v>1.7568602493851662E-4</v>
      </c>
      <c r="AK322" s="3">
        <f t="shared" si="75"/>
        <v>62.612110453604231</v>
      </c>
      <c r="AL322" s="3">
        <f t="shared" si="71"/>
        <v>0.7063292777426603</v>
      </c>
      <c r="AM322" s="3">
        <f t="shared" si="72"/>
        <v>1.142556760102267</v>
      </c>
      <c r="AN322" s="3">
        <f t="shared" si="73"/>
        <v>1.2889220396763875E-2</v>
      </c>
      <c r="AO322" s="12">
        <v>91.74</v>
      </c>
      <c r="AP322" s="12">
        <v>54.8</v>
      </c>
      <c r="AQ322" s="3" t="s">
        <v>59</v>
      </c>
    </row>
    <row r="323" spans="33:43" x14ac:dyDescent="0.2">
      <c r="AG323" s="3" t="s">
        <v>34</v>
      </c>
      <c r="AH323" s="3">
        <f>SUM(AV276:AV277)</f>
        <v>0.40491189043200004</v>
      </c>
      <c r="AI323" s="3">
        <f t="shared" ref="AI323:AJ323" si="79">SUM(AW276:AW277)</f>
        <v>9910.8683878400007</v>
      </c>
      <c r="AJ323" s="3">
        <f t="shared" si="79"/>
        <v>7.677083333333334E-5</v>
      </c>
      <c r="AK323" s="3">
        <f t="shared" si="75"/>
        <v>134.38287624060226</v>
      </c>
      <c r="AL323" s="3">
        <f t="shared" si="71"/>
        <v>2.4696730909361566</v>
      </c>
      <c r="AM323" s="3">
        <f t="shared" si="72"/>
        <v>13.305235271346758</v>
      </c>
      <c r="AN323" s="3">
        <f t="shared" si="73"/>
        <v>0.24452208821150068</v>
      </c>
      <c r="AO323" s="12">
        <v>91.74</v>
      </c>
      <c r="AP323" s="12">
        <v>10.1</v>
      </c>
      <c r="AQ323" s="3" t="s">
        <v>58</v>
      </c>
    </row>
    <row r="324" spans="33:43" x14ac:dyDescent="0.2">
      <c r="AG324" s="3" t="s">
        <v>399</v>
      </c>
      <c r="AH324" s="3">
        <f>SUM(AV284,AV287)</f>
        <v>0.11513103609856</v>
      </c>
      <c r="AI324" s="3">
        <f>SUM(AW284,AW287)</f>
        <v>120.523716608</v>
      </c>
      <c r="AJ324" s="3">
        <f>SUM(AX284,AX287)</f>
        <v>9.5954019077802634E-4</v>
      </c>
      <c r="AK324" s="3">
        <f t="shared" si="75"/>
        <v>11050.530447312773</v>
      </c>
      <c r="AL324" s="3">
        <f t="shared" si="71"/>
        <v>8.6857552393077739</v>
      </c>
      <c r="AM324" s="3">
        <f t="shared" si="72"/>
        <v>83.086695092577244</v>
      </c>
      <c r="AN324" s="3">
        <f t="shared" si="73"/>
        <v>6.5306430370735136E-2</v>
      </c>
      <c r="AO324" s="12">
        <f>91.74*0.965</f>
        <v>88.529099999999985</v>
      </c>
      <c r="AP324" s="12">
        <v>133</v>
      </c>
      <c r="AQ324" s="3" t="s">
        <v>60</v>
      </c>
    </row>
    <row r="327" spans="33:43" x14ac:dyDescent="0.2">
      <c r="AG327" s="8" t="s">
        <v>28</v>
      </c>
      <c r="AH327" s="8" t="s">
        <v>400</v>
      </c>
      <c r="AI327" s="8" t="s">
        <v>22</v>
      </c>
      <c r="AJ327" s="8" t="s">
        <v>67</v>
      </c>
      <c r="AK327" s="8" t="s">
        <v>129</v>
      </c>
      <c r="AL327" s="8" t="s">
        <v>401</v>
      </c>
      <c r="AM327" s="8" t="s">
        <v>402</v>
      </c>
      <c r="AN327" s="8" t="s">
        <v>403</v>
      </c>
      <c r="AO327" s="8" t="s">
        <v>47</v>
      </c>
      <c r="AP327" s="8" t="s">
        <v>3</v>
      </c>
      <c r="AQ327" s="8" t="s">
        <v>56</v>
      </c>
    </row>
    <row r="328" spans="33:43" x14ac:dyDescent="0.2">
      <c r="AG328" s="3" t="s">
        <v>404</v>
      </c>
      <c r="AH328" s="3">
        <f>SUM(BB224:BB225)</f>
        <v>1.0662012E-5</v>
      </c>
      <c r="AI328" s="3">
        <f t="shared" ref="AI328:AJ328" si="80">SUM(BC224:BC225)</f>
        <v>2.2683203999999998E-2</v>
      </c>
      <c r="AJ328" s="3">
        <f t="shared" si="80"/>
        <v>1.0094894352958869E-3</v>
      </c>
      <c r="AK328" s="3">
        <f>(10000+50000)/AI328</f>
        <v>2645128.9685531198</v>
      </c>
      <c r="AL328" s="3">
        <f>1/AH328</f>
        <v>93790.928016213074</v>
      </c>
      <c r="AM328" s="3">
        <f>AK328/AP328</f>
        <v>48180.85552920073</v>
      </c>
      <c r="AN328" s="3">
        <f>AL328/AP328</f>
        <v>1708.3957744301106</v>
      </c>
      <c r="AO328" s="12">
        <v>95.7</v>
      </c>
      <c r="AP328" s="12">
        <v>54.9</v>
      </c>
      <c r="AQ328" s="3" t="s">
        <v>57</v>
      </c>
    </row>
    <row r="329" spans="33:43" x14ac:dyDescent="0.2">
      <c r="AG329" s="3" t="s">
        <v>405</v>
      </c>
      <c r="AH329" s="3">
        <f>SUM(BB233:BB234)</f>
        <v>1.0178747999999999E-5</v>
      </c>
      <c r="AI329" s="3">
        <f t="shared" ref="AI329:AJ329" si="81">SUM(BC233:BC234)</f>
        <v>2.2653000000000003E-2</v>
      </c>
      <c r="AJ329" s="3">
        <f t="shared" si="81"/>
        <v>9.5111111111111091E-4</v>
      </c>
      <c r="AK329" s="3">
        <f t="shared" ref="AK329:AK335" si="82">(10000+50000)/AI329</f>
        <v>2648655.807177857</v>
      </c>
      <c r="AL329" s="3">
        <f t="shared" ref="AL329:AL335" si="83">1/AH329</f>
        <v>98243.909761789968</v>
      </c>
      <c r="AM329" s="3">
        <f t="shared" ref="AM329:AM335" si="84">AK329/AP329</f>
        <v>20311.777662406879</v>
      </c>
      <c r="AN329" s="3">
        <f t="shared" ref="AN329:AN335" si="85">AL329/AP329</f>
        <v>753.40421596464694</v>
      </c>
      <c r="AO329" s="12">
        <v>95.7</v>
      </c>
      <c r="AP329" s="12">
        <f>AP330*2</f>
        <v>130.4</v>
      </c>
      <c r="AQ329" s="3" t="s">
        <v>57</v>
      </c>
    </row>
    <row r="330" spans="33:43" x14ac:dyDescent="0.2">
      <c r="AG330" s="3" t="s">
        <v>406</v>
      </c>
      <c r="AH330" s="3">
        <f>SUM(BB242:BB243)</f>
        <v>1.1417111999999999E-5</v>
      </c>
      <c r="AI330" s="3">
        <f t="shared" ref="AI330:AJ330" si="86">SUM(BC242:BC243)</f>
        <v>1.2685680000000001E-2</v>
      </c>
      <c r="AJ330" s="3">
        <f t="shared" si="86"/>
        <v>1.8508235294117641E-3</v>
      </c>
      <c r="AK330" s="3">
        <f t="shared" si="82"/>
        <v>4729742.5128176017</v>
      </c>
      <c r="AL330" s="3">
        <f t="shared" si="83"/>
        <v>87587.824311437085</v>
      </c>
      <c r="AM330" s="3">
        <f t="shared" si="84"/>
        <v>72542.063080024556</v>
      </c>
      <c r="AN330" s="3">
        <f t="shared" si="85"/>
        <v>1343.3715385189737</v>
      </c>
      <c r="AO330" s="12">
        <v>95.7</v>
      </c>
      <c r="AP330" s="12">
        <v>65.2</v>
      </c>
      <c r="AQ330" s="3" t="s">
        <v>57</v>
      </c>
    </row>
    <row r="331" spans="33:43" x14ac:dyDescent="0.2">
      <c r="AG331" s="3" t="s">
        <v>393</v>
      </c>
      <c r="AH331" s="3">
        <f>SUM(BB250:BB251)</f>
        <v>1.0873439999999999E-5</v>
      </c>
      <c r="AI331" s="3">
        <f t="shared" ref="AI331:AJ331" si="87">SUM(BC250:BC251)</f>
        <v>1.4278629943880594</v>
      </c>
      <c r="AJ331" s="3">
        <f t="shared" si="87"/>
        <v>3.8846104788069072E-4</v>
      </c>
      <c r="AK331" s="3">
        <f t="shared" si="82"/>
        <v>42020.838298785282</v>
      </c>
      <c r="AL331" s="3">
        <f t="shared" si="83"/>
        <v>91967.215527008942</v>
      </c>
      <c r="AM331" s="3">
        <f t="shared" si="84"/>
        <v>40.280711559418407</v>
      </c>
      <c r="AN331" s="3">
        <f t="shared" si="85"/>
        <v>88.158757215307645</v>
      </c>
      <c r="AO331" s="12">
        <v>95.7</v>
      </c>
      <c r="AP331" s="12">
        <f>AP330*16</f>
        <v>1043.2</v>
      </c>
      <c r="AQ331" s="3" t="s">
        <v>57</v>
      </c>
    </row>
    <row r="332" spans="33:43" x14ac:dyDescent="0.2">
      <c r="AG332" s="3" t="s">
        <v>33</v>
      </c>
      <c r="AH332" s="6">
        <f>SUM(BB258:BB259,BB262)</f>
        <v>2.1329382639999999E-5</v>
      </c>
      <c r="AI332" s="6">
        <f t="shared" ref="AI332:AJ332" si="88">SUM(BC258:BC259,BC262)</f>
        <v>8.0966880000000012E-3</v>
      </c>
      <c r="AJ332" s="6">
        <f t="shared" si="88"/>
        <v>1.1793080318238405E-2</v>
      </c>
      <c r="AK332" s="3">
        <f t="shared" si="82"/>
        <v>7410437.4529437209</v>
      </c>
      <c r="AL332" s="3">
        <f t="shared" si="83"/>
        <v>46883.682330526186</v>
      </c>
      <c r="AM332" s="3">
        <f t="shared" si="84"/>
        <v>27144.459534592384</v>
      </c>
      <c r="AN332" s="3">
        <f t="shared" si="85"/>
        <v>171.73510011181753</v>
      </c>
      <c r="AO332" s="12">
        <f>95.7*0.98</f>
        <v>93.786000000000001</v>
      </c>
      <c r="AP332" s="12">
        <v>273</v>
      </c>
      <c r="AQ332" s="3" t="s">
        <v>58</v>
      </c>
    </row>
    <row r="333" spans="33:43" x14ac:dyDescent="0.2">
      <c r="AG333" s="3" t="s">
        <v>35</v>
      </c>
      <c r="AH333" s="3">
        <f>SUM(BB268:BB269)</f>
        <v>4.6816199999999991E-6</v>
      </c>
      <c r="AI333" s="3">
        <f t="shared" ref="AI333:AJ333" si="89">SUM(BC268:BC269)</f>
        <v>8.5326300000000008E-2</v>
      </c>
      <c r="AJ333" s="3">
        <f t="shared" si="89"/>
        <v>1.7568602493851662E-4</v>
      </c>
      <c r="AK333" s="3">
        <f t="shared" si="82"/>
        <v>703182.95765783812</v>
      </c>
      <c r="AL333" s="3">
        <f t="shared" si="83"/>
        <v>213601.27477240789</v>
      </c>
      <c r="AM333" s="3">
        <f t="shared" si="84"/>
        <v>12831.805796675879</v>
      </c>
      <c r="AN333" s="3">
        <f t="shared" si="85"/>
        <v>3897.8334812483195</v>
      </c>
      <c r="AO333" s="12">
        <v>95.7</v>
      </c>
      <c r="AP333" s="12">
        <v>54.8</v>
      </c>
      <c r="AQ333" s="3" t="s">
        <v>59</v>
      </c>
    </row>
    <row r="334" spans="33:43" x14ac:dyDescent="0.2">
      <c r="AG334" s="3" t="s">
        <v>34</v>
      </c>
      <c r="AH334" s="3">
        <f>SUM(BB276:BB277)</f>
        <v>1.177956E-6</v>
      </c>
      <c r="AI334" s="3">
        <f t="shared" ref="AI334:AJ334" si="90">SUM(BC276:BC277)</f>
        <v>3.2922359999999998E-2</v>
      </c>
      <c r="AJ334" s="3">
        <f t="shared" si="90"/>
        <v>7.677083333333334E-5</v>
      </c>
      <c r="AK334" s="3">
        <f t="shared" si="82"/>
        <v>1822469.5920948561</v>
      </c>
      <c r="AL334" s="3">
        <f t="shared" si="83"/>
        <v>848928.14332623628</v>
      </c>
      <c r="AM334" s="3">
        <f t="shared" si="84"/>
        <v>180442.53387077784</v>
      </c>
      <c r="AN334" s="3">
        <f t="shared" si="85"/>
        <v>84052.291418439243</v>
      </c>
      <c r="AO334" s="12">
        <v>95.7</v>
      </c>
      <c r="AP334" s="12">
        <v>10.1</v>
      </c>
      <c r="AQ334" s="3" t="s">
        <v>58</v>
      </c>
    </row>
    <row r="335" spans="33:43" x14ac:dyDescent="0.2">
      <c r="AG335" s="3" t="s">
        <v>399</v>
      </c>
      <c r="AH335" s="3">
        <f>SUM(BB284,BB287)</f>
        <v>5.4336738999999993E-7</v>
      </c>
      <c r="AI335" s="3">
        <f t="shared" ref="AI335:AJ335" si="91">SUM(BC284,BC287)</f>
        <v>2.2559895000000001E-3</v>
      </c>
      <c r="AJ335" s="3">
        <f t="shared" si="91"/>
        <v>9.5954019077802623E-4</v>
      </c>
      <c r="AK335" s="3">
        <f t="shared" si="82"/>
        <v>26595868.464813333</v>
      </c>
      <c r="AL335" s="3">
        <f t="shared" si="83"/>
        <v>1840375.4410068667</v>
      </c>
      <c r="AM335" s="3">
        <f t="shared" si="84"/>
        <v>199968.93582566417</v>
      </c>
      <c r="AN335" s="3">
        <f t="shared" si="85"/>
        <v>13837.409330878698</v>
      </c>
      <c r="AO335" s="12">
        <f>95.7*0.965</f>
        <v>92.350499999999997</v>
      </c>
      <c r="AP335" s="12">
        <v>133</v>
      </c>
      <c r="AQ335" s="3" t="s">
        <v>60</v>
      </c>
    </row>
    <row r="338" spans="33:43" x14ac:dyDescent="0.2">
      <c r="AG338" s="8" t="s">
        <v>64</v>
      </c>
      <c r="AH338" s="8" t="s">
        <v>400</v>
      </c>
      <c r="AI338" s="8" t="s">
        <v>22</v>
      </c>
      <c r="AJ338" s="8" t="s">
        <v>67</v>
      </c>
      <c r="AK338" s="8" t="s">
        <v>129</v>
      </c>
      <c r="AL338" s="8" t="s">
        <v>401</v>
      </c>
      <c r="AM338" s="8" t="s">
        <v>402</v>
      </c>
      <c r="AN338" s="8" t="s">
        <v>403</v>
      </c>
      <c r="AO338" s="8" t="s">
        <v>47</v>
      </c>
      <c r="AP338" s="8" t="s">
        <v>3</v>
      </c>
      <c r="AQ338" s="8" t="s">
        <v>56</v>
      </c>
    </row>
    <row r="339" spans="33:43" x14ac:dyDescent="0.2">
      <c r="AG339" s="3" t="s">
        <v>404</v>
      </c>
      <c r="AH339" s="3">
        <f>SUM(BH224:BH225)</f>
        <v>1.0722374999999999E-5</v>
      </c>
      <c r="AI339" s="3">
        <f t="shared" ref="AI339:AJ339" si="92">SUM(BI224:BI225)</f>
        <v>2.2811625000000002E-2</v>
      </c>
      <c r="AJ339" s="3">
        <f t="shared" si="92"/>
        <v>1.0094894352958869E-3</v>
      </c>
      <c r="AK339" s="6">
        <f>(50000+10000)/AI339</f>
        <v>2630237.872137561</v>
      </c>
      <c r="AL339" s="3">
        <f>1/AH339</f>
        <v>93262.919828862548</v>
      </c>
      <c r="AM339" s="3">
        <f>AK339/AP339</f>
        <v>47909.615157332621</v>
      </c>
      <c r="AN339" s="3">
        <f>AL339/AP339</f>
        <v>1698.7781389592451</v>
      </c>
      <c r="AO339" s="12">
        <v>96.5</v>
      </c>
      <c r="AP339" s="12">
        <v>54.9</v>
      </c>
      <c r="AQ339" s="3" t="s">
        <v>57</v>
      </c>
    </row>
    <row r="340" spans="33:43" x14ac:dyDescent="0.2">
      <c r="AG340" s="3" t="s">
        <v>405</v>
      </c>
      <c r="AH340" s="3">
        <f>SUM(BH233:BH234)</f>
        <v>1.0236375000000001E-5</v>
      </c>
      <c r="AI340" s="3">
        <f t="shared" ref="AI340:AJ340" si="93">SUM(BI233:BI234)</f>
        <v>2.2781250000000003E-2</v>
      </c>
      <c r="AJ340" s="3">
        <f t="shared" si="93"/>
        <v>9.5111111111111102E-4</v>
      </c>
      <c r="AK340" s="6">
        <f>(1281851+50000)/AI340</f>
        <v>58462595.336076811</v>
      </c>
      <c r="AL340" s="3">
        <f t="shared" ref="AL340:AL346" si="94">1/AH340</f>
        <v>97690.832936464314</v>
      </c>
      <c r="AM340" s="3">
        <f t="shared" ref="AM340:AM346" si="95">AK340/AP340</f>
        <v>448332.7863196074</v>
      </c>
      <c r="AN340" s="3">
        <f t="shared" ref="AN340:AN346" si="96">AL340/AP340</f>
        <v>749.16282926736437</v>
      </c>
      <c r="AO340" s="12">
        <v>96.5</v>
      </c>
      <c r="AP340" s="12">
        <f>AP341*2</f>
        <v>130.4</v>
      </c>
      <c r="AQ340" s="3" t="s">
        <v>57</v>
      </c>
    </row>
    <row r="341" spans="33:43" x14ac:dyDescent="0.2">
      <c r="AG341" s="3" t="s">
        <v>406</v>
      </c>
      <c r="AH341" s="3">
        <f>SUM(BB242:BB243)</f>
        <v>1.1417111999999999E-5</v>
      </c>
      <c r="AI341" s="3">
        <f t="shared" ref="AI341:AJ341" si="97">SUM(BC242:BC243)</f>
        <v>1.2685680000000001E-2</v>
      </c>
      <c r="AJ341" s="3">
        <f t="shared" si="97"/>
        <v>1.8508235294117641E-3</v>
      </c>
      <c r="AK341" s="6">
        <f t="shared" ref="AK341:AK346" si="98">(1281851+50000)/AI341</f>
        <v>104988538.2573106</v>
      </c>
      <c r="AL341" s="3">
        <f t="shared" si="94"/>
        <v>87587.824311437085</v>
      </c>
      <c r="AM341" s="3">
        <f t="shared" si="95"/>
        <v>1610253.65425323</v>
      </c>
      <c r="AN341" s="3">
        <f t="shared" si="96"/>
        <v>1343.3715385189737</v>
      </c>
      <c r="AO341" s="12">
        <v>96.5</v>
      </c>
      <c r="AP341" s="12">
        <v>65.2</v>
      </c>
      <c r="AQ341" s="3" t="s">
        <v>57</v>
      </c>
    </row>
    <row r="342" spans="33:43" x14ac:dyDescent="0.2">
      <c r="AG342" s="3" t="s">
        <v>393</v>
      </c>
      <c r="AH342" s="3">
        <f>SUM(BH250:BH251)</f>
        <v>1.0934999999999999E-5</v>
      </c>
      <c r="AI342" s="3">
        <f t="shared" ref="AI342:AJ342" si="99">SUM(BI250:BI251)</f>
        <v>2.4543000000000002E-2</v>
      </c>
      <c r="AJ342" s="3">
        <f t="shared" si="99"/>
        <v>9.140271493212667E-4</v>
      </c>
      <c r="AK342" s="6">
        <f t="shared" si="98"/>
        <v>54266022.898586147</v>
      </c>
      <c r="AL342" s="3">
        <f t="shared" si="94"/>
        <v>91449.474165523556</v>
      </c>
      <c r="AM342" s="3">
        <f t="shared" si="95"/>
        <v>52018.810293890092</v>
      </c>
      <c r="AN342" s="3">
        <f t="shared" si="96"/>
        <v>87.662456063577025</v>
      </c>
      <c r="AO342" s="12">
        <v>96.5</v>
      </c>
      <c r="AP342" s="12">
        <f>AP341*16</f>
        <v>1043.2</v>
      </c>
      <c r="AQ342" s="3" t="s">
        <v>57</v>
      </c>
    </row>
    <row r="343" spans="33:43" x14ac:dyDescent="0.2">
      <c r="AG343" s="3" t="s">
        <v>33</v>
      </c>
      <c r="AH343" s="3">
        <f>SUM(BH258:BH259,BH262)</f>
        <v>2.1450108639999997E-5</v>
      </c>
      <c r="AI343" s="3">
        <f t="shared" ref="AI343:AJ343" si="100">SUM(BI258:BI259,BI262)</f>
        <v>8.1329400000000017E-3</v>
      </c>
      <c r="AJ343" s="3">
        <f t="shared" si="100"/>
        <v>1.1793080318238404E-2</v>
      </c>
      <c r="AK343" s="6">
        <f t="shared" si="98"/>
        <v>163760091.67656466</v>
      </c>
      <c r="AL343" s="3">
        <f t="shared" si="94"/>
        <v>46619.810499943473</v>
      </c>
      <c r="AM343" s="3">
        <f t="shared" si="95"/>
        <v>599853.81566507206</v>
      </c>
      <c r="AN343" s="3">
        <f t="shared" si="96"/>
        <v>170.76853662982958</v>
      </c>
      <c r="AO343" s="12">
        <f>96.5*0.98</f>
        <v>94.57</v>
      </c>
      <c r="AP343" s="12">
        <v>273</v>
      </c>
      <c r="AQ343" s="3" t="s">
        <v>58</v>
      </c>
    </row>
    <row r="344" spans="33:43" x14ac:dyDescent="0.2">
      <c r="AG344" s="3" t="s">
        <v>35</v>
      </c>
      <c r="AH344" s="3">
        <f>SUM(BH268:BH269)</f>
        <v>4.7081249999999999E-6</v>
      </c>
      <c r="AI344" s="3">
        <f t="shared" ref="AI344:AJ344" si="101">SUM(BI268:BI269)</f>
        <v>8.5809375000000007E-2</v>
      </c>
      <c r="AJ344" s="3">
        <f t="shared" si="101"/>
        <v>1.7568602493851662E-4</v>
      </c>
      <c r="AK344" s="6">
        <f t="shared" si="98"/>
        <v>15521043.009577915</v>
      </c>
      <c r="AL344" s="3">
        <f t="shared" si="94"/>
        <v>212398.77870702243</v>
      </c>
      <c r="AM344" s="3">
        <f t="shared" si="95"/>
        <v>283230.71185361163</v>
      </c>
      <c r="AN344" s="3">
        <f t="shared" si="96"/>
        <v>3875.8901223909206</v>
      </c>
      <c r="AO344" s="12">
        <v>96.5</v>
      </c>
      <c r="AP344" s="12">
        <v>54.8</v>
      </c>
      <c r="AQ344" s="3" t="s">
        <v>59</v>
      </c>
    </row>
    <row r="345" spans="33:43" x14ac:dyDescent="0.2">
      <c r="AG345" s="3" t="s">
        <v>34</v>
      </c>
      <c r="AH345" s="3">
        <f>SUM(BH276:BH277)</f>
        <v>1.1846250000000001E-6</v>
      </c>
      <c r="AI345" s="3">
        <f t="shared" ref="AI345:AJ345" si="102">SUM(BI276:BI277)</f>
        <v>3.3108749999999999E-2</v>
      </c>
      <c r="AJ345" s="3">
        <f t="shared" si="102"/>
        <v>7.677083333333334E-5</v>
      </c>
      <c r="AK345" s="6">
        <f t="shared" si="98"/>
        <v>40226556.423906066</v>
      </c>
      <c r="AL345" s="3">
        <f t="shared" si="94"/>
        <v>844148.99229714042</v>
      </c>
      <c r="AM345" s="3">
        <f t="shared" si="95"/>
        <v>3982827.3687035711</v>
      </c>
      <c r="AN345" s="3">
        <f t="shared" si="96"/>
        <v>83579.108148231724</v>
      </c>
      <c r="AO345" s="12">
        <v>96.5</v>
      </c>
      <c r="AP345" s="12">
        <v>10.1</v>
      </c>
      <c r="AQ345" s="3" t="s">
        <v>58</v>
      </c>
    </row>
    <row r="346" spans="33:43" x14ac:dyDescent="0.2">
      <c r="AG346" s="3" t="s">
        <v>399</v>
      </c>
      <c r="AH346" s="3">
        <f>SUM(BH284,BH287)</f>
        <v>5.4641332749999998E-7</v>
      </c>
      <c r="AI346" s="3">
        <f t="shared" ref="AI346:AJ346" si="103">SUM(BI284,BI287)</f>
        <v>2.2591743749999999E-3</v>
      </c>
      <c r="AJ346" s="3">
        <f t="shared" si="103"/>
        <v>9.5954019077802645E-4</v>
      </c>
      <c r="AK346" s="6">
        <f t="shared" si="98"/>
        <v>589529969.32784355</v>
      </c>
      <c r="AL346" s="3">
        <f t="shared" si="94"/>
        <v>1830116.4149404829</v>
      </c>
      <c r="AM346" s="3">
        <f t="shared" si="95"/>
        <v>4432556.1603597263</v>
      </c>
      <c r="AN346" s="3">
        <f t="shared" si="96"/>
        <v>13760.273796544985</v>
      </c>
      <c r="AO346" s="12">
        <f>96.5*0.965</f>
        <v>93.122500000000002</v>
      </c>
      <c r="AP346" s="12">
        <v>133</v>
      </c>
      <c r="AQ346" s="3" t="s">
        <v>60</v>
      </c>
    </row>
    <row r="364" spans="36:36" x14ac:dyDescent="0.2">
      <c r="AJ364" s="5"/>
    </row>
  </sheetData>
  <mergeCells count="55">
    <mergeCell ref="V82:W82"/>
    <mergeCell ref="X82:Y82"/>
    <mergeCell ref="Z82:AA82"/>
    <mergeCell ref="AN2:AO2"/>
    <mergeCell ref="Z95:AA95"/>
    <mergeCell ref="Z140:AA141"/>
    <mergeCell ref="AB223:AC223"/>
    <mergeCell ref="AB215:AC215"/>
    <mergeCell ref="AB207:AC207"/>
    <mergeCell ref="AB199:AC199"/>
    <mergeCell ref="AB192:AC192"/>
    <mergeCell ref="AC243:AD243"/>
    <mergeCell ref="AE243:AF243"/>
    <mergeCell ref="AG283:AK283"/>
    <mergeCell ref="AG275:AK275"/>
    <mergeCell ref="AG241:AK241"/>
    <mergeCell ref="AN223:AR223"/>
    <mergeCell ref="AN232:AR232"/>
    <mergeCell ref="AN241:AR241"/>
    <mergeCell ref="AN249:AR249"/>
    <mergeCell ref="AN257:AR257"/>
    <mergeCell ref="AG232:AK232"/>
    <mergeCell ref="AG223:AK223"/>
    <mergeCell ref="AG267:AK267"/>
    <mergeCell ref="AG257:AK257"/>
    <mergeCell ref="AG249:AK249"/>
    <mergeCell ref="AT223:AX223"/>
    <mergeCell ref="AT232:AX232"/>
    <mergeCell ref="AT241:AX241"/>
    <mergeCell ref="AT249:AX249"/>
    <mergeCell ref="AT257:AX257"/>
    <mergeCell ref="AZ267:BD267"/>
    <mergeCell ref="AZ275:BD275"/>
    <mergeCell ref="AZ283:BD283"/>
    <mergeCell ref="AN267:AR267"/>
    <mergeCell ref="AN275:AR275"/>
    <mergeCell ref="AN283:AR283"/>
    <mergeCell ref="AT267:AX267"/>
    <mergeCell ref="AT275:AX275"/>
    <mergeCell ref="BF275:BJ275"/>
    <mergeCell ref="BF283:BJ283"/>
    <mergeCell ref="AS210:AT210"/>
    <mergeCell ref="AU210:AV210"/>
    <mergeCell ref="BF223:BJ223"/>
    <mergeCell ref="BF232:BJ232"/>
    <mergeCell ref="BF241:BJ241"/>
    <mergeCell ref="BF249:BJ249"/>
    <mergeCell ref="BF257:BJ257"/>
    <mergeCell ref="BF267:BJ267"/>
    <mergeCell ref="AT283:AX283"/>
    <mergeCell ref="AZ223:BD223"/>
    <mergeCell ref="AZ232:BD232"/>
    <mergeCell ref="AZ241:BD241"/>
    <mergeCell ref="AZ249:BD249"/>
    <mergeCell ref="AZ257:BD25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6250A-C114-4BE1-B546-26F920C03E46}">
  <dimension ref="B2:T62"/>
  <sheetViews>
    <sheetView topLeftCell="C40" workbookViewId="0">
      <selection activeCell="K58" sqref="K58"/>
    </sheetView>
  </sheetViews>
  <sheetFormatPr baseColWidth="10" defaultColWidth="8.83203125" defaultRowHeight="15" x14ac:dyDescent="0.2"/>
  <cols>
    <col min="2" max="2" width="10.1640625" customWidth="1"/>
    <col min="3" max="3" width="21.33203125" customWidth="1"/>
    <col min="4" max="4" width="26.33203125" customWidth="1"/>
    <col min="5" max="5" width="20" customWidth="1"/>
    <col min="7" max="7" width="13.33203125" customWidth="1"/>
    <col min="8" max="8" width="10.83203125" customWidth="1"/>
    <col min="10" max="10" width="14" customWidth="1"/>
    <col min="11" max="11" width="13.33203125" customWidth="1"/>
    <col min="12" max="12" width="11.6640625" customWidth="1"/>
    <col min="15" max="15" width="11" customWidth="1"/>
    <col min="19" max="19" width="11.6640625" bestFit="1" customWidth="1"/>
    <col min="20" max="20" width="66.6640625" bestFit="1" customWidth="1"/>
  </cols>
  <sheetData>
    <row r="2" spans="2:16" x14ac:dyDescent="0.2">
      <c r="D2" s="2" t="s">
        <v>485</v>
      </c>
      <c r="E2" s="2" t="s">
        <v>483</v>
      </c>
      <c r="F2" s="2" t="s">
        <v>484</v>
      </c>
      <c r="G2" s="2" t="s">
        <v>486</v>
      </c>
      <c r="H2" s="2" t="s">
        <v>445</v>
      </c>
      <c r="K2" s="2" t="s">
        <v>491</v>
      </c>
      <c r="L2" s="2" t="s">
        <v>492</v>
      </c>
      <c r="O2" s="2" t="s">
        <v>445</v>
      </c>
    </row>
    <row r="3" spans="2:16" x14ac:dyDescent="0.2">
      <c r="C3" s="2" t="s">
        <v>487</v>
      </c>
      <c r="D3">
        <v>0.45</v>
      </c>
      <c r="E3">
        <v>1</v>
      </c>
      <c r="F3">
        <f>E3*1</f>
        <v>1</v>
      </c>
      <c r="G3">
        <v>0.15</v>
      </c>
      <c r="H3">
        <f>6*0.0000000001</f>
        <v>6E-10</v>
      </c>
      <c r="J3" s="2" t="s">
        <v>488</v>
      </c>
      <c r="K3">
        <v>0.5</v>
      </c>
      <c r="L3">
        <v>40</v>
      </c>
      <c r="M3" s="130" t="s">
        <v>495</v>
      </c>
      <c r="N3" s="130"/>
    </row>
    <row r="4" spans="2:16" x14ac:dyDescent="0.2">
      <c r="C4" s="2" t="s">
        <v>482</v>
      </c>
      <c r="D4">
        <v>0.47</v>
      </c>
      <c r="E4">
        <v>1</v>
      </c>
      <c r="F4">
        <v>1</v>
      </c>
      <c r="G4">
        <v>0.17</v>
      </c>
      <c r="H4">
        <f>6.2*0.0000000001</f>
        <v>6.2000000000000003E-10</v>
      </c>
      <c r="J4" s="2" t="s">
        <v>489</v>
      </c>
      <c r="K4">
        <v>10</v>
      </c>
      <c r="L4">
        <v>150</v>
      </c>
      <c r="M4" s="130"/>
      <c r="N4" s="130"/>
    </row>
    <row r="5" spans="2:16" x14ac:dyDescent="0.2">
      <c r="C5" s="2" t="s">
        <v>561</v>
      </c>
      <c r="D5">
        <v>0.3</v>
      </c>
      <c r="F5">
        <v>1</v>
      </c>
      <c r="H5">
        <f>8*20*20*0.000000000001*512*256*2</f>
        <v>8.3886080000000003E-4</v>
      </c>
      <c r="J5" s="2" t="s">
        <v>490</v>
      </c>
      <c r="K5">
        <v>0.3</v>
      </c>
      <c r="L5">
        <v>21</v>
      </c>
      <c r="M5" s="131" t="s">
        <v>494</v>
      </c>
      <c r="N5" s="131"/>
    </row>
    <row r="6" spans="2:16" x14ac:dyDescent="0.2">
      <c r="C6" s="2" t="s">
        <v>519</v>
      </c>
      <c r="D6">
        <v>1.4999999999999999E-2</v>
      </c>
      <c r="G6">
        <v>8.0000000000000002E-3</v>
      </c>
      <c r="H6">
        <f>5.3*0.000000000001</f>
        <v>5.2999999999999996E-12</v>
      </c>
      <c r="J6" s="2" t="s">
        <v>493</v>
      </c>
      <c r="K6">
        <v>0.3</v>
      </c>
      <c r="L6">
        <v>21</v>
      </c>
      <c r="M6" s="131"/>
      <c r="N6" s="131"/>
    </row>
    <row r="7" spans="2:16" x14ac:dyDescent="0.2">
      <c r="C7" s="2" t="s">
        <v>524</v>
      </c>
      <c r="H7">
        <v>1E-3</v>
      </c>
      <c r="J7" s="2" t="s">
        <v>530</v>
      </c>
      <c r="O7">
        <v>8.9999999999999998E-4</v>
      </c>
    </row>
    <row r="8" spans="2:16" x14ac:dyDescent="0.2">
      <c r="C8" s="2" t="s">
        <v>525</v>
      </c>
      <c r="H8">
        <v>0.02</v>
      </c>
      <c r="J8" s="2" t="s">
        <v>531</v>
      </c>
      <c r="O8">
        <v>1.4999999999999999E-4</v>
      </c>
    </row>
    <row r="9" spans="2:16" x14ac:dyDescent="0.2">
      <c r="C9" s="2" t="s">
        <v>535</v>
      </c>
      <c r="D9">
        <v>1.0999999999999999E-2</v>
      </c>
      <c r="H9">
        <f>4.8*0.000000000001</f>
        <v>4.7999999999999997E-12</v>
      </c>
      <c r="J9" s="2" t="s">
        <v>532</v>
      </c>
      <c r="O9">
        <v>3.0000000000000001E-5</v>
      </c>
    </row>
    <row r="10" spans="2:16" x14ac:dyDescent="0.2">
      <c r="H10">
        <f>H7+H8+H5</f>
        <v>2.1838860800000002E-2</v>
      </c>
    </row>
    <row r="13" spans="2:16" ht="3.75" customHeight="1" x14ac:dyDescent="0.2"/>
    <row r="14" spans="2:16" hidden="1" x14ac:dyDescent="0.2"/>
    <row r="15" spans="2:16" ht="233.5" customHeight="1" x14ac:dyDescent="0.25">
      <c r="B15" s="76" t="s">
        <v>521</v>
      </c>
      <c r="C15" s="132" t="s">
        <v>533</v>
      </c>
      <c r="D15" s="132"/>
      <c r="E15" s="132"/>
      <c r="F15" s="132"/>
      <c r="G15" s="132"/>
      <c r="H15" s="132"/>
      <c r="I15" s="132"/>
      <c r="J15" s="132"/>
      <c r="K15" s="132"/>
      <c r="L15" s="132"/>
      <c r="M15" s="132"/>
      <c r="N15" s="132"/>
      <c r="O15" s="132"/>
      <c r="P15" s="132"/>
    </row>
    <row r="17" spans="2:20" x14ac:dyDescent="0.2">
      <c r="C17" s="2" t="s">
        <v>497</v>
      </c>
      <c r="K17" s="2" t="s">
        <v>498</v>
      </c>
      <c r="S17" s="2" t="s">
        <v>522</v>
      </c>
    </row>
    <row r="18" spans="2:20" x14ac:dyDescent="0.2">
      <c r="C18" s="78">
        <v>2</v>
      </c>
      <c r="D18" t="s">
        <v>528</v>
      </c>
      <c r="H18" s="2"/>
      <c r="K18" s="78">
        <f>(256*D6)+10</f>
        <v>13.84</v>
      </c>
      <c r="L18" t="s">
        <v>520</v>
      </c>
      <c r="R18" s="119" t="s">
        <v>526</v>
      </c>
      <c r="S18">
        <f>512*H$6*256</f>
        <v>6.9468159999999995E-7</v>
      </c>
      <c r="T18" t="s">
        <v>523</v>
      </c>
    </row>
    <row r="19" spans="2:20" x14ac:dyDescent="0.2">
      <c r="C19" s="78">
        <v>0</v>
      </c>
      <c r="D19" t="s">
        <v>496</v>
      </c>
      <c r="E19" t="s">
        <v>501</v>
      </c>
      <c r="K19" s="78">
        <f>256*D4</f>
        <v>120.32</v>
      </c>
      <c r="L19" t="s">
        <v>496</v>
      </c>
      <c r="R19" s="119"/>
      <c r="S19">
        <f>(5*0.000000001)*512</f>
        <v>2.5600000000000001E-6</v>
      </c>
      <c r="T19" t="s">
        <v>505</v>
      </c>
    </row>
    <row r="20" spans="2:20" x14ac:dyDescent="0.2">
      <c r="C20" s="78">
        <v>43</v>
      </c>
      <c r="D20" t="s">
        <v>88</v>
      </c>
      <c r="E20" t="s">
        <v>502</v>
      </c>
      <c r="K20" s="78">
        <f>K3*256</f>
        <v>128</v>
      </c>
      <c r="L20" t="s">
        <v>88</v>
      </c>
      <c r="R20" s="119"/>
      <c r="S20">
        <f>H$7*512</f>
        <v>0.51200000000000001</v>
      </c>
      <c r="T20" t="s">
        <v>367</v>
      </c>
    </row>
    <row r="21" spans="2:20" x14ac:dyDescent="0.2">
      <c r="C21" s="78">
        <v>150</v>
      </c>
      <c r="D21" t="s">
        <v>499</v>
      </c>
      <c r="E21" t="s">
        <v>503</v>
      </c>
      <c r="K21" s="78">
        <f>256*K4</f>
        <v>2560</v>
      </c>
      <c r="L21" t="s">
        <v>499</v>
      </c>
      <c r="R21" s="119"/>
      <c r="S21">
        <f>H$5*512</f>
        <v>0.42949672960000002</v>
      </c>
      <c r="T21" t="s">
        <v>500</v>
      </c>
    </row>
    <row r="22" spans="2:20" x14ac:dyDescent="0.2">
      <c r="C22" s="79">
        <v>2</v>
      </c>
      <c r="D22" t="s">
        <v>529</v>
      </c>
      <c r="K22" s="79">
        <v>10</v>
      </c>
      <c r="R22" s="119"/>
      <c r="S22">
        <f>512*H$5</f>
        <v>0.42949672960000002</v>
      </c>
      <c r="T22" t="s">
        <v>562</v>
      </c>
    </row>
    <row r="23" spans="2:20" x14ac:dyDescent="0.2">
      <c r="C23" s="79">
        <v>256</v>
      </c>
      <c r="D23" t="s">
        <v>505</v>
      </c>
      <c r="K23" s="79">
        <f>256*0.3</f>
        <v>76.8</v>
      </c>
      <c r="R23" s="119"/>
      <c r="S23">
        <f>(O7+O8+O9)*256*1024</f>
        <v>283.11552</v>
      </c>
      <c r="T23" t="s">
        <v>534</v>
      </c>
    </row>
    <row r="24" spans="2:20" x14ac:dyDescent="0.2">
      <c r="C24" s="79">
        <v>20</v>
      </c>
      <c r="D24" t="s">
        <v>367</v>
      </c>
      <c r="K24" s="79">
        <v>2140</v>
      </c>
      <c r="R24" s="130"/>
    </row>
    <row r="25" spans="2:20" x14ac:dyDescent="0.2">
      <c r="C25" s="79">
        <v>4.3</v>
      </c>
      <c r="D25" t="s">
        <v>512</v>
      </c>
      <c r="K25" s="79">
        <v>185</v>
      </c>
      <c r="R25" s="130"/>
    </row>
    <row r="26" spans="2:20" x14ac:dyDescent="0.2">
      <c r="C26" s="79">
        <v>1</v>
      </c>
      <c r="D26" t="s">
        <v>506</v>
      </c>
      <c r="K26" s="79">
        <v>0.3</v>
      </c>
      <c r="R26" s="130"/>
    </row>
    <row r="27" spans="2:20" x14ac:dyDescent="0.2">
      <c r="C27" s="80">
        <v>2</v>
      </c>
      <c r="D27" t="s">
        <v>508</v>
      </c>
      <c r="K27" s="80">
        <v>10</v>
      </c>
      <c r="R27" s="130"/>
    </row>
    <row r="28" spans="2:20" x14ac:dyDescent="0.2">
      <c r="C28" s="80">
        <v>5</v>
      </c>
      <c r="D28" t="s">
        <v>507</v>
      </c>
      <c r="K28" s="80">
        <v>50</v>
      </c>
      <c r="R28" s="130"/>
    </row>
    <row r="29" spans="2:20" x14ac:dyDescent="0.2">
      <c r="C29" s="78">
        <v>150</v>
      </c>
      <c r="D29" t="s">
        <v>509</v>
      </c>
      <c r="K29" s="78">
        <v>2560</v>
      </c>
    </row>
    <row r="31" spans="2:20" x14ac:dyDescent="0.2">
      <c r="B31" s="2"/>
      <c r="C31" s="78">
        <f>SUM(C18:C21,C29)</f>
        <v>345</v>
      </c>
      <c r="D31" t="s">
        <v>510</v>
      </c>
      <c r="K31" s="78">
        <f>SUM(K18:K21,K29)</f>
        <v>5382.16</v>
      </c>
      <c r="L31" t="s">
        <v>516</v>
      </c>
    </row>
    <row r="32" spans="2:20" ht="19" x14ac:dyDescent="0.25">
      <c r="C32" s="81">
        <f>C31/32</f>
        <v>10.78125</v>
      </c>
      <c r="D32" t="s">
        <v>511</v>
      </c>
      <c r="K32" s="81">
        <f>(K31+K33)/32</f>
        <v>243.57062500000001</v>
      </c>
      <c r="L32" t="s">
        <v>517</v>
      </c>
    </row>
    <row r="33" spans="2:20" x14ac:dyDescent="0.2">
      <c r="C33" s="79">
        <f>SUM(C22:C26)</f>
        <v>283.3</v>
      </c>
      <c r="D33" t="s">
        <v>513</v>
      </c>
      <c r="K33" s="79">
        <f>SUM(K22:K26)</f>
        <v>2412.1000000000004</v>
      </c>
      <c r="L33" t="s">
        <v>518</v>
      </c>
    </row>
    <row r="34" spans="2:20" ht="19" x14ac:dyDescent="0.25">
      <c r="C34" s="82">
        <f>SUM(C27:C28)</f>
        <v>7</v>
      </c>
      <c r="D34" t="s">
        <v>514</v>
      </c>
      <c r="K34" s="82">
        <f>SUM(K27:K28)</f>
        <v>60</v>
      </c>
      <c r="L34" t="s">
        <v>515</v>
      </c>
    </row>
    <row r="35" spans="2:20" x14ac:dyDescent="0.2">
      <c r="B35" s="2"/>
    </row>
    <row r="42" spans="2:20" ht="222.5" customHeight="1" x14ac:dyDescent="0.25">
      <c r="B42" s="76" t="s">
        <v>527</v>
      </c>
      <c r="C42" s="132" t="s">
        <v>566</v>
      </c>
      <c r="D42" s="132"/>
      <c r="E42" s="132"/>
      <c r="F42" s="132"/>
      <c r="G42" s="132"/>
      <c r="H42" s="132"/>
      <c r="I42" s="132"/>
      <c r="J42" s="132"/>
      <c r="K42" s="132"/>
      <c r="L42" s="132"/>
      <c r="M42" s="132"/>
      <c r="N42" s="132"/>
      <c r="O42" s="132"/>
      <c r="P42" s="132"/>
    </row>
    <row r="44" spans="2:20" x14ac:dyDescent="0.2">
      <c r="C44" s="2" t="s">
        <v>497</v>
      </c>
      <c r="K44" s="2" t="s">
        <v>498</v>
      </c>
      <c r="S44" s="2" t="s">
        <v>522</v>
      </c>
    </row>
    <row r="45" spans="2:20" x14ac:dyDescent="0.2">
      <c r="C45" s="78">
        <v>2</v>
      </c>
      <c r="D45" t="s">
        <v>537</v>
      </c>
      <c r="H45" s="2"/>
      <c r="K45" s="78">
        <f>(512*D9)+10</f>
        <v>15.632</v>
      </c>
      <c r="L45" t="s">
        <v>543</v>
      </c>
      <c r="R45" s="119" t="s">
        <v>526</v>
      </c>
      <c r="S45">
        <f>4096*H$9*512</f>
        <v>1.0066329599999999E-5</v>
      </c>
      <c r="T45" t="s">
        <v>536</v>
      </c>
    </row>
    <row r="46" spans="2:20" x14ac:dyDescent="0.2">
      <c r="C46" s="78">
        <v>16</v>
      </c>
      <c r="D46" t="s">
        <v>88</v>
      </c>
      <c r="E46" t="s">
        <v>538</v>
      </c>
      <c r="K46" s="78">
        <f>512*D3</f>
        <v>230.4</v>
      </c>
      <c r="L46" t="s">
        <v>544</v>
      </c>
      <c r="R46" s="119"/>
      <c r="S46">
        <f>(5*0.000000001)*4096</f>
        <v>2.048E-5</v>
      </c>
      <c r="T46" t="s">
        <v>505</v>
      </c>
    </row>
    <row r="47" spans="2:20" x14ac:dyDescent="0.2">
      <c r="C47" s="78">
        <v>32</v>
      </c>
      <c r="D47" t="s">
        <v>539</v>
      </c>
      <c r="E47" t="s">
        <v>545</v>
      </c>
      <c r="K47" s="78">
        <f>K5*8192*2</f>
        <v>4915.2</v>
      </c>
      <c r="R47" s="119"/>
      <c r="S47">
        <f>4096*$H$7</f>
        <v>4.0960000000000001</v>
      </c>
      <c r="T47" t="s">
        <v>120</v>
      </c>
    </row>
    <row r="48" spans="2:20" x14ac:dyDescent="0.2">
      <c r="C48" s="78">
        <v>17</v>
      </c>
      <c r="D48" t="s">
        <v>499</v>
      </c>
      <c r="E48" t="s">
        <v>503</v>
      </c>
      <c r="K48" s="78">
        <f>K47/2</f>
        <v>2457.6</v>
      </c>
      <c r="R48" s="119"/>
      <c r="S48">
        <f>H$5*4096</f>
        <v>3.4359738368000001</v>
      </c>
      <c r="T48" t="s">
        <v>563</v>
      </c>
    </row>
    <row r="49" spans="2:20" x14ac:dyDescent="0.2">
      <c r="C49" s="79">
        <v>2</v>
      </c>
      <c r="D49" t="s">
        <v>504</v>
      </c>
      <c r="K49" s="79">
        <v>10</v>
      </c>
      <c r="R49" s="119"/>
      <c r="S49">
        <f>4096*H$5</f>
        <v>3.4359738368000001</v>
      </c>
      <c r="T49" t="s">
        <v>562</v>
      </c>
    </row>
    <row r="50" spans="2:20" x14ac:dyDescent="0.2">
      <c r="C50" s="79">
        <v>512</v>
      </c>
      <c r="D50" t="s">
        <v>505</v>
      </c>
      <c r="K50" s="79">
        <f>512*0.3</f>
        <v>153.6</v>
      </c>
      <c r="S50">
        <f>$H$3*512*4096</f>
        <v>1.2582912E-3</v>
      </c>
      <c r="T50" t="s">
        <v>564</v>
      </c>
    </row>
    <row r="51" spans="2:20" x14ac:dyDescent="0.2">
      <c r="C51" s="79">
        <v>20</v>
      </c>
      <c r="D51" t="s">
        <v>367</v>
      </c>
      <c r="K51" s="79">
        <v>2140</v>
      </c>
      <c r="R51" s="130"/>
    </row>
    <row r="52" spans="2:20" ht="21" x14ac:dyDescent="0.25">
      <c r="C52" s="79">
        <v>4.3</v>
      </c>
      <c r="D52" t="s">
        <v>512</v>
      </c>
      <c r="K52" s="79">
        <v>185</v>
      </c>
      <c r="R52" s="130"/>
      <c r="S52" s="96">
        <f>SUM(S45:S50)</f>
        <v>10.9692365111296</v>
      </c>
    </row>
    <row r="53" spans="2:20" x14ac:dyDescent="0.2">
      <c r="C53" s="79">
        <v>1</v>
      </c>
      <c r="D53" t="s">
        <v>506</v>
      </c>
      <c r="K53" s="79">
        <v>0.3</v>
      </c>
      <c r="R53" s="130"/>
    </row>
    <row r="54" spans="2:20" x14ac:dyDescent="0.2">
      <c r="C54" s="80">
        <v>2</v>
      </c>
      <c r="D54" t="s">
        <v>508</v>
      </c>
      <c r="K54" s="80">
        <v>10</v>
      </c>
      <c r="R54" s="130"/>
    </row>
    <row r="55" spans="2:20" x14ac:dyDescent="0.2">
      <c r="C55" s="80">
        <v>3</v>
      </c>
      <c r="D55" t="s">
        <v>540</v>
      </c>
      <c r="K55" s="80">
        <v>50</v>
      </c>
      <c r="R55" s="130"/>
    </row>
    <row r="56" spans="2:20" x14ac:dyDescent="0.2">
      <c r="C56" s="78">
        <v>17</v>
      </c>
      <c r="D56" t="s">
        <v>541</v>
      </c>
      <c r="K56" s="78">
        <f>K48</f>
        <v>2457.6</v>
      </c>
    </row>
    <row r="58" spans="2:20" x14ac:dyDescent="0.2">
      <c r="B58" s="2"/>
      <c r="C58" s="78">
        <f>SUM(C45:C48,C56)</f>
        <v>84</v>
      </c>
      <c r="D58" t="s">
        <v>542</v>
      </c>
      <c r="K58" s="78">
        <f>SUM(K45:K48,K56)</f>
        <v>10076.432000000001</v>
      </c>
      <c r="L58" t="s">
        <v>546</v>
      </c>
    </row>
    <row r="59" spans="2:20" ht="19" x14ac:dyDescent="0.25">
      <c r="C59" s="81">
        <f>C58/16</f>
        <v>5.25</v>
      </c>
      <c r="D59" t="s">
        <v>511</v>
      </c>
      <c r="K59" s="81">
        <f>(K58+K60)/16</f>
        <v>785.33325000000002</v>
      </c>
      <c r="L59" t="s">
        <v>517</v>
      </c>
    </row>
    <row r="60" spans="2:20" x14ac:dyDescent="0.2">
      <c r="C60" s="79">
        <f>SUM(C49:C53)</f>
        <v>539.29999999999995</v>
      </c>
      <c r="D60" t="s">
        <v>513</v>
      </c>
      <c r="K60" s="79">
        <f>SUM(K49:K53)</f>
        <v>2488.9</v>
      </c>
      <c r="L60" t="s">
        <v>518</v>
      </c>
    </row>
    <row r="61" spans="2:20" ht="21" x14ac:dyDescent="0.25">
      <c r="C61" s="83">
        <f>SUM(C54:C55)</f>
        <v>5</v>
      </c>
      <c r="D61" t="s">
        <v>514</v>
      </c>
      <c r="K61" s="83">
        <f>SUM(K54:K55)</f>
        <v>60</v>
      </c>
      <c r="L61" t="s">
        <v>515</v>
      </c>
    </row>
    <row r="62" spans="2:20" x14ac:dyDescent="0.2">
      <c r="B62" s="2"/>
      <c r="K62">
        <f>K58/16</f>
        <v>629.77700000000004</v>
      </c>
    </row>
  </sheetData>
  <mergeCells count="8">
    <mergeCell ref="R45:R49"/>
    <mergeCell ref="R51:R55"/>
    <mergeCell ref="M5:N6"/>
    <mergeCell ref="M3:N4"/>
    <mergeCell ref="C15:P15"/>
    <mergeCell ref="R18:R23"/>
    <mergeCell ref="R24:R28"/>
    <mergeCell ref="C42:P4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169D2-ECF5-4EE9-93AF-7AB60FCE178B}">
  <dimension ref="A3:BQ69"/>
  <sheetViews>
    <sheetView topLeftCell="A23" zoomScale="106" zoomScaleNormal="70" workbookViewId="0">
      <selection activeCell="E37" sqref="E37"/>
    </sheetView>
  </sheetViews>
  <sheetFormatPr baseColWidth="10" defaultColWidth="8.83203125" defaultRowHeight="15" x14ac:dyDescent="0.2"/>
  <cols>
    <col min="1" max="1" width="61.33203125" bestFit="1" customWidth="1"/>
    <col min="2" max="2" width="17" customWidth="1"/>
    <col min="3" max="3" width="14.6640625" customWidth="1"/>
    <col min="4" max="4" width="15.6640625" customWidth="1"/>
    <col min="5" max="5" width="20.33203125" customWidth="1"/>
    <col min="6" max="7" width="20.33203125" bestFit="1" customWidth="1"/>
    <col min="8" max="8" width="21.83203125" customWidth="1"/>
    <col min="9" max="9" width="19.6640625" customWidth="1"/>
    <col min="10" max="10" width="11.83203125" style="14" bestFit="1" customWidth="1"/>
    <col min="11" max="11" width="11.6640625" bestFit="1" customWidth="1"/>
    <col min="12" max="12" width="9.6640625" bestFit="1" customWidth="1"/>
    <col min="13" max="13" width="11.6640625" bestFit="1" customWidth="1"/>
    <col min="14" max="15" width="10.6640625" bestFit="1" customWidth="1"/>
    <col min="16" max="17" width="10.6640625" customWidth="1"/>
    <col min="18" max="21" width="14.83203125" bestFit="1" customWidth="1"/>
    <col min="22" max="27" width="10.6640625" customWidth="1"/>
    <col min="35" max="35" width="10.6640625" bestFit="1" customWidth="1"/>
    <col min="36" max="36" width="11.6640625" bestFit="1" customWidth="1"/>
    <col min="37" max="37" width="14.83203125" bestFit="1" customWidth="1"/>
    <col min="38" max="39" width="9.6640625" bestFit="1" customWidth="1"/>
    <col min="41" max="41" width="12.1640625" bestFit="1" customWidth="1"/>
    <col min="47" max="47" width="11.33203125" bestFit="1" customWidth="1"/>
  </cols>
  <sheetData>
    <row r="3" spans="1:27" x14ac:dyDescent="0.2">
      <c r="C3" s="2" t="s">
        <v>414</v>
      </c>
      <c r="K3" s="2" t="s">
        <v>417</v>
      </c>
      <c r="L3" s="2" t="s">
        <v>418</v>
      </c>
      <c r="M3" s="2" t="s">
        <v>419</v>
      </c>
      <c r="N3" s="2" t="s">
        <v>420</v>
      </c>
      <c r="O3" s="2" t="s">
        <v>421</v>
      </c>
      <c r="P3" s="2"/>
      <c r="Q3" s="2" t="s">
        <v>417</v>
      </c>
      <c r="R3" s="2" t="s">
        <v>418</v>
      </c>
      <c r="S3" s="2" t="s">
        <v>419</v>
      </c>
      <c r="T3" s="2" t="s">
        <v>420</v>
      </c>
      <c r="U3" s="2" t="s">
        <v>421</v>
      </c>
      <c r="V3" s="2"/>
      <c r="W3" s="2"/>
      <c r="X3" s="2"/>
      <c r="Y3" s="2"/>
      <c r="Z3" s="2"/>
      <c r="AA3" s="2"/>
    </row>
    <row r="4" spans="1:27" ht="16" x14ac:dyDescent="0.2">
      <c r="C4">
        <v>512</v>
      </c>
      <c r="J4" s="13" t="s">
        <v>422</v>
      </c>
      <c r="K4">
        <v>341000</v>
      </c>
      <c r="L4">
        <f>724*1000000</f>
        <v>724000000</v>
      </c>
      <c r="M4">
        <f>15.5*1000000000</f>
        <v>15500000000</v>
      </c>
      <c r="N4">
        <f>1.43*1000000000</f>
        <v>1430000000</v>
      </c>
      <c r="O4">
        <f>3.9*1000000000</f>
        <v>3900000000</v>
      </c>
      <c r="Q4">
        <f>K4*0.000008</f>
        <v>2.7279999999999998</v>
      </c>
      <c r="R4">
        <f>L4*0.00005</f>
        <v>36200</v>
      </c>
      <c r="S4">
        <f>M4*0.00003</f>
        <v>465000</v>
      </c>
      <c r="T4">
        <f>N4*0.00006</f>
        <v>85800</v>
      </c>
      <c r="U4">
        <f>O4*0.00008</f>
        <v>312000</v>
      </c>
    </row>
    <row r="5" spans="1:27" ht="16" x14ac:dyDescent="0.2">
      <c r="J5" s="13" t="s">
        <v>435</v>
      </c>
      <c r="K5">
        <v>60000</v>
      </c>
      <c r="L5">
        <f>61*1000000</f>
        <v>61000000</v>
      </c>
      <c r="M5">
        <f>138*1000000</f>
        <v>138000000</v>
      </c>
      <c r="N5">
        <f>7*1000000</f>
        <v>7000000</v>
      </c>
      <c r="O5" s="57">
        <f>25.5*1000000</f>
        <v>25500000</v>
      </c>
      <c r="P5" s="58" t="s">
        <v>447</v>
      </c>
      <c r="Q5" s="60">
        <v>5814</v>
      </c>
      <c r="R5" s="61">
        <v>764200</v>
      </c>
      <c r="S5" s="61">
        <v>15112168</v>
      </c>
      <c r="T5" s="61">
        <v>3123616</v>
      </c>
      <c r="U5" s="62">
        <v>9736840</v>
      </c>
    </row>
    <row r="6" spans="1:27" ht="64" x14ac:dyDescent="0.2">
      <c r="J6" s="13" t="s">
        <v>441</v>
      </c>
      <c r="K6">
        <f>(K5*8)/(1024*1024)</f>
        <v>0.457763671875</v>
      </c>
      <c r="L6">
        <f t="shared" ref="L6:O6" si="0">(L5*8)/(1024*1024)</f>
        <v>465.39306640625</v>
      </c>
      <c r="M6">
        <f t="shared" si="0"/>
        <v>1052.8564453125</v>
      </c>
      <c r="N6">
        <f t="shared" si="0"/>
        <v>53.40576171875</v>
      </c>
      <c r="O6">
        <f t="shared" si="0"/>
        <v>194.549560546875</v>
      </c>
      <c r="P6" s="59" t="s">
        <v>441</v>
      </c>
      <c r="Q6" s="55">
        <f>(Q5*8)/(1024*1024)</f>
        <v>4.43572998046875E-2</v>
      </c>
      <c r="R6" s="55">
        <f t="shared" ref="R6:U6" si="1">(R5*8)/(1024*1024)</f>
        <v>5.83038330078125</v>
      </c>
      <c r="S6" s="55">
        <f t="shared" si="1"/>
        <v>115.29669189453125</v>
      </c>
      <c r="T6" s="55">
        <f t="shared" si="1"/>
        <v>23.831298828125</v>
      </c>
      <c r="U6" s="55">
        <f t="shared" si="1"/>
        <v>74.28619384765625</v>
      </c>
    </row>
    <row r="7" spans="1:27" ht="80" x14ac:dyDescent="0.2">
      <c r="J7" s="13" t="s">
        <v>440</v>
      </c>
      <c r="K7">
        <f>(K5*256)/(1024*1024)</f>
        <v>14.6484375</v>
      </c>
      <c r="L7">
        <f t="shared" ref="L7:O7" si="2">(L5*256)/(1024*1024)</f>
        <v>14892.578125</v>
      </c>
      <c r="M7">
        <f t="shared" si="2"/>
        <v>33691.40625</v>
      </c>
      <c r="N7">
        <f t="shared" si="2"/>
        <v>1708.984375</v>
      </c>
      <c r="O7">
        <f t="shared" si="2"/>
        <v>6225.5859375</v>
      </c>
      <c r="P7" s="59" t="s">
        <v>440</v>
      </c>
      <c r="Q7" s="55">
        <f>(Q5*256)/(1024*1024)</f>
        <v>1.41943359375</v>
      </c>
      <c r="R7" s="55">
        <f t="shared" ref="R7:U7" si="3">(R5*256)/(1024*1024)</f>
        <v>186.572265625</v>
      </c>
      <c r="S7" s="55">
        <f t="shared" si="3"/>
        <v>3689.494140625</v>
      </c>
      <c r="T7" s="55">
        <f t="shared" si="3"/>
        <v>762.6015625</v>
      </c>
      <c r="U7" s="55">
        <f t="shared" si="3"/>
        <v>2377.158203125</v>
      </c>
    </row>
    <row r="8" spans="1:27" x14ac:dyDescent="0.2">
      <c r="J8" s="13"/>
    </row>
    <row r="9" spans="1:27" x14ac:dyDescent="0.2">
      <c r="J9" s="13"/>
    </row>
    <row r="10" spans="1:27" x14ac:dyDescent="0.2">
      <c r="J10" s="13"/>
    </row>
    <row r="11" spans="1:27" x14ac:dyDescent="0.2">
      <c r="J11" s="13"/>
    </row>
    <row r="12" spans="1:27" x14ac:dyDescent="0.2">
      <c r="J12" s="13"/>
    </row>
    <row r="13" spans="1:27" x14ac:dyDescent="0.2">
      <c r="J13" s="13"/>
    </row>
    <row r="14" spans="1:27" x14ac:dyDescent="0.2">
      <c r="J14" s="13"/>
    </row>
    <row r="16" spans="1:27" x14ac:dyDescent="0.2">
      <c r="A16" s="63"/>
      <c r="B16" s="63"/>
      <c r="C16" s="63"/>
      <c r="D16" s="63"/>
      <c r="E16" s="63"/>
      <c r="F16" s="63"/>
      <c r="G16" s="63"/>
      <c r="H16" s="63"/>
      <c r="I16" s="63"/>
      <c r="J16" s="64"/>
      <c r="K16" s="133" t="s">
        <v>423</v>
      </c>
      <c r="L16" s="133"/>
      <c r="M16" s="133"/>
      <c r="N16" s="133"/>
      <c r="O16" s="133"/>
      <c r="P16" s="53"/>
      <c r="Q16" s="53"/>
      <c r="R16" s="53"/>
      <c r="S16" s="53"/>
      <c r="T16" s="53"/>
      <c r="U16" s="53"/>
      <c r="V16" s="53"/>
      <c r="W16" s="53"/>
      <c r="X16" s="53"/>
      <c r="Y16" s="53"/>
      <c r="Z16" s="53"/>
      <c r="AA16" s="53"/>
    </row>
    <row r="17" spans="1:42" x14ac:dyDescent="0.2">
      <c r="A17" s="63"/>
      <c r="B17" s="63"/>
      <c r="C17" s="63"/>
      <c r="D17" s="63"/>
      <c r="E17" s="63"/>
      <c r="F17" s="63"/>
      <c r="G17" s="63"/>
      <c r="H17" s="133" t="s">
        <v>426</v>
      </c>
      <c r="I17" s="133"/>
      <c r="J17" s="64"/>
      <c r="K17" s="133" t="s">
        <v>427</v>
      </c>
      <c r="L17" s="133"/>
      <c r="M17" s="133"/>
      <c r="N17" s="133"/>
      <c r="O17" s="133"/>
      <c r="P17" s="53"/>
      <c r="Q17" s="53"/>
      <c r="R17" s="53"/>
      <c r="S17" s="53"/>
      <c r="T17" s="53"/>
      <c r="U17" s="53"/>
      <c r="V17" s="53"/>
      <c r="W17" s="53"/>
      <c r="X17" s="53"/>
      <c r="Y17" s="53"/>
      <c r="Z17" s="53"/>
      <c r="AA17" s="53"/>
    </row>
    <row r="18" spans="1:42" s="2" customFormat="1" ht="16" x14ac:dyDescent="0.2">
      <c r="A18" s="65"/>
      <c r="B18" s="65" t="s">
        <v>415</v>
      </c>
      <c r="C18" s="65" t="s">
        <v>416</v>
      </c>
      <c r="D18" s="65" t="s">
        <v>409</v>
      </c>
      <c r="E18" s="65" t="s">
        <v>410</v>
      </c>
      <c r="F18" s="65" t="s">
        <v>411</v>
      </c>
      <c r="G18" s="65" t="s">
        <v>412</v>
      </c>
      <c r="H18" s="66" t="s">
        <v>424</v>
      </c>
      <c r="I18" s="67" t="s">
        <v>425</v>
      </c>
      <c r="J18" s="68" t="s">
        <v>413</v>
      </c>
      <c r="K18" s="65" t="s">
        <v>417</v>
      </c>
      <c r="L18" s="65" t="s">
        <v>418</v>
      </c>
      <c r="M18" s="65" t="s">
        <v>419</v>
      </c>
      <c r="N18" s="65" t="s">
        <v>420</v>
      </c>
      <c r="O18" s="65" t="s">
        <v>421</v>
      </c>
    </row>
    <row r="19" spans="1:42" x14ac:dyDescent="0.2">
      <c r="A19" s="65" t="s">
        <v>374</v>
      </c>
      <c r="B19" s="63">
        <v>1.43E-7</v>
      </c>
      <c r="C19" s="63">
        <v>4.6500000000000005E-7</v>
      </c>
      <c r="D19" s="63">
        <f>(B19+C19)*1000000000</f>
        <v>608</v>
      </c>
      <c r="E19" s="63">
        <v>9.3000000000000002E-11</v>
      </c>
      <c r="F19" s="63">
        <v>1.6699999999999999E-10</v>
      </c>
      <c r="G19" s="63">
        <f>(E19+F19)*1000000000000</f>
        <v>260</v>
      </c>
      <c r="H19" s="69">
        <f>64*D19</f>
        <v>38912</v>
      </c>
      <c r="I19" s="69">
        <f>63*G19</f>
        <v>16380</v>
      </c>
      <c r="J19" s="70">
        <f>256*16*4</f>
        <v>16384</v>
      </c>
      <c r="K19" s="63">
        <f>($D19*K$4)*0.000000001</f>
        <v>0.20732800000000001</v>
      </c>
      <c r="L19" s="63">
        <f t="shared" ref="L19:O19" si="4">($D19*L$4)*0.000000001</f>
        <v>440.19200000000001</v>
      </c>
      <c r="M19" s="63">
        <f t="shared" si="4"/>
        <v>9424</v>
      </c>
      <c r="N19" s="63">
        <f t="shared" si="4"/>
        <v>869.44</v>
      </c>
      <c r="O19" s="63">
        <f t="shared" si="4"/>
        <v>2371.2000000000003</v>
      </c>
    </row>
    <row r="20" spans="1:42" x14ac:dyDescent="0.2">
      <c r="A20" s="65" t="s">
        <v>375</v>
      </c>
      <c r="B20" s="63">
        <v>1.5000000000000002E-7</v>
      </c>
      <c r="C20" s="63">
        <v>4.5000000000000003E-7</v>
      </c>
      <c r="D20" s="63">
        <f t="shared" ref="D20:D25" si="5">(B20+C20)*1000000000</f>
        <v>600.00000000000011</v>
      </c>
      <c r="E20" s="63">
        <v>9.0999999999999996E-11</v>
      </c>
      <c r="F20" s="63">
        <v>1.5500000000000001E-10</v>
      </c>
      <c r="G20" s="63">
        <f t="shared" ref="G20:G25" si="6">(E20+F20)*1000000000000</f>
        <v>245.99999999999997</v>
      </c>
      <c r="H20" s="69">
        <f t="shared" ref="H20:H25" si="7">64*D20</f>
        <v>38400.000000000007</v>
      </c>
      <c r="I20" s="69">
        <f t="shared" ref="I20:I25" si="8">63*G20</f>
        <v>15497.999999999998</v>
      </c>
      <c r="J20" s="69">
        <f>F37</f>
        <v>32768</v>
      </c>
      <c r="K20" s="63">
        <f t="shared" ref="K20:O26" si="9">($D20*K$4)*0.000000001</f>
        <v>0.20460000000000003</v>
      </c>
      <c r="L20" s="63">
        <f t="shared" si="9"/>
        <v>434.40000000000009</v>
      </c>
      <c r="M20" s="63">
        <f t="shared" si="9"/>
        <v>9300.0000000000018</v>
      </c>
      <c r="N20" s="63">
        <f t="shared" si="9"/>
        <v>858.00000000000023</v>
      </c>
      <c r="O20" s="63">
        <f t="shared" si="9"/>
        <v>2340.0000000000005</v>
      </c>
    </row>
    <row r="21" spans="1:42" x14ac:dyDescent="0.2">
      <c r="A21" s="65" t="s">
        <v>377</v>
      </c>
      <c r="B21" s="63">
        <v>1.2500000000000002E-7</v>
      </c>
      <c r="C21" s="63">
        <v>1.7000000000000001E-7</v>
      </c>
      <c r="D21" s="63">
        <f t="shared" si="5"/>
        <v>295.00000000000006</v>
      </c>
      <c r="E21" s="63">
        <v>9.8999999999999994E-11</v>
      </c>
      <c r="F21" s="63">
        <v>1.8E-10</v>
      </c>
      <c r="G21" s="63">
        <f t="shared" si="6"/>
        <v>278.99999999999994</v>
      </c>
      <c r="H21" s="69">
        <f t="shared" si="7"/>
        <v>18880.000000000004</v>
      </c>
      <c r="I21" s="69">
        <f t="shared" si="8"/>
        <v>17576.999999999996</v>
      </c>
      <c r="J21" s="69">
        <f>512*16*4</f>
        <v>32768</v>
      </c>
      <c r="K21" s="63">
        <f t="shared" si="9"/>
        <v>0.10059500000000002</v>
      </c>
      <c r="L21" s="63">
        <f t="shared" si="9"/>
        <v>213.58000000000004</v>
      </c>
      <c r="M21" s="63">
        <f t="shared" si="9"/>
        <v>4572.5000000000009</v>
      </c>
      <c r="N21" s="63">
        <f t="shared" si="9"/>
        <v>421.85000000000008</v>
      </c>
      <c r="O21" s="63">
        <f t="shared" si="9"/>
        <v>1150.5000000000002</v>
      </c>
    </row>
    <row r="22" spans="1:42" x14ac:dyDescent="0.2">
      <c r="A22" s="65" t="s">
        <v>378</v>
      </c>
      <c r="B22" s="63">
        <v>1.7000000000000001E-7</v>
      </c>
      <c r="C22" s="63">
        <v>4.6800000000000001E-7</v>
      </c>
      <c r="D22" s="63">
        <f t="shared" si="5"/>
        <v>638.00000000000011</v>
      </c>
      <c r="E22" s="63">
        <v>8.9999999999999999E-11</v>
      </c>
      <c r="F22" s="63">
        <v>1.8E-10</v>
      </c>
      <c r="G22" s="63">
        <f t="shared" si="6"/>
        <v>270</v>
      </c>
      <c r="H22" s="69">
        <f t="shared" si="7"/>
        <v>40832.000000000007</v>
      </c>
      <c r="I22" s="69">
        <f t="shared" si="8"/>
        <v>17010</v>
      </c>
      <c r="J22" s="71">
        <f>F38</f>
        <v>16384</v>
      </c>
      <c r="K22" s="63">
        <f t="shared" si="9"/>
        <v>0.21755800000000006</v>
      </c>
      <c r="L22" s="63">
        <f t="shared" si="9"/>
        <v>461.91200000000009</v>
      </c>
      <c r="M22" s="63">
        <f t="shared" si="9"/>
        <v>9889.0000000000018</v>
      </c>
      <c r="N22" s="63">
        <f t="shared" si="9"/>
        <v>912.34000000000015</v>
      </c>
      <c r="O22" s="63">
        <f t="shared" si="9"/>
        <v>2488.2000000000007</v>
      </c>
    </row>
    <row r="23" spans="1:42" x14ac:dyDescent="0.2">
      <c r="A23" s="65" t="s">
        <v>379</v>
      </c>
      <c r="B23" s="63">
        <v>2.1000000000000003E-8</v>
      </c>
      <c r="C23" s="63">
        <v>1.7000000000000001E-7</v>
      </c>
      <c r="D23" s="63">
        <f t="shared" si="5"/>
        <v>191</v>
      </c>
      <c r="E23" s="63">
        <v>2.1299999999999999E-10</v>
      </c>
      <c r="F23" s="63">
        <v>2.8000000000000002E-10</v>
      </c>
      <c r="G23" s="63">
        <f t="shared" si="6"/>
        <v>493.00000000000006</v>
      </c>
      <c r="H23" s="69">
        <f t="shared" si="7"/>
        <v>12224</v>
      </c>
      <c r="I23" s="69">
        <f t="shared" si="8"/>
        <v>31059.000000000004</v>
      </c>
      <c r="J23" s="71">
        <f t="shared" ref="J23:J26" si="10">F39</f>
        <v>16384</v>
      </c>
      <c r="K23" s="63">
        <f t="shared" si="9"/>
        <v>6.5131000000000008E-2</v>
      </c>
      <c r="L23" s="63">
        <f t="shared" si="9"/>
        <v>138.28400000000002</v>
      </c>
      <c r="M23" s="63">
        <f t="shared" si="9"/>
        <v>2960.5</v>
      </c>
      <c r="N23" s="63">
        <f t="shared" si="9"/>
        <v>273.13</v>
      </c>
      <c r="O23" s="63">
        <f t="shared" si="9"/>
        <v>744.90000000000009</v>
      </c>
    </row>
    <row r="24" spans="1:42" x14ac:dyDescent="0.2">
      <c r="A24" s="65" t="s">
        <v>35</v>
      </c>
      <c r="B24" s="63">
        <v>1.176E-6</v>
      </c>
      <c r="C24" s="63">
        <v>4.7300000000000001E-7</v>
      </c>
      <c r="D24" s="72">
        <f t="shared" si="5"/>
        <v>1649</v>
      </c>
      <c r="E24" s="63">
        <v>4.5E-11</v>
      </c>
      <c r="F24" s="63">
        <v>6.4999999999999995E-11</v>
      </c>
      <c r="G24" s="63">
        <f t="shared" si="6"/>
        <v>110</v>
      </c>
      <c r="H24" s="69">
        <f t="shared" si="7"/>
        <v>105536</v>
      </c>
      <c r="I24" s="69">
        <f t="shared" si="8"/>
        <v>6930</v>
      </c>
      <c r="J24" s="71">
        <f t="shared" si="10"/>
        <v>65536</v>
      </c>
      <c r="K24" s="63">
        <f t="shared" si="9"/>
        <v>0.56230900000000006</v>
      </c>
      <c r="L24" s="63">
        <f t="shared" si="9"/>
        <v>1193.876</v>
      </c>
      <c r="M24" s="63">
        <f t="shared" si="9"/>
        <v>25559.5</v>
      </c>
      <c r="N24" s="63">
        <f t="shared" si="9"/>
        <v>2358.0700000000002</v>
      </c>
      <c r="O24" s="63">
        <f t="shared" si="9"/>
        <v>6431.1</v>
      </c>
    </row>
    <row r="25" spans="1:42" x14ac:dyDescent="0.2">
      <c r="A25" s="65" t="s">
        <v>34</v>
      </c>
      <c r="B25" s="63">
        <v>3.2000000000000001E-7</v>
      </c>
      <c r="C25" s="63">
        <v>4.5000000000000003E-7</v>
      </c>
      <c r="D25" s="63">
        <f t="shared" si="5"/>
        <v>770</v>
      </c>
      <c r="E25" s="63">
        <v>7.5E-12</v>
      </c>
      <c r="F25" s="63">
        <v>2.4000000000000001E-11</v>
      </c>
      <c r="G25" s="63">
        <f t="shared" si="6"/>
        <v>31.5</v>
      </c>
      <c r="H25" s="69">
        <f t="shared" si="7"/>
        <v>49280</v>
      </c>
      <c r="I25" s="69">
        <f t="shared" si="8"/>
        <v>1984.5</v>
      </c>
      <c r="J25" s="71">
        <f t="shared" si="10"/>
        <v>65536</v>
      </c>
      <c r="K25" s="63">
        <f t="shared" si="9"/>
        <v>0.26257000000000003</v>
      </c>
      <c r="L25" s="63">
        <f>($D25*L$4)*0.000000001</f>
        <v>557.48</v>
      </c>
      <c r="M25" s="63">
        <f t="shared" si="9"/>
        <v>11935</v>
      </c>
      <c r="N25" s="63">
        <f t="shared" si="9"/>
        <v>1101.1000000000001</v>
      </c>
      <c r="O25" s="63">
        <f t="shared" si="9"/>
        <v>3003</v>
      </c>
    </row>
    <row r="26" spans="1:42" x14ac:dyDescent="0.2">
      <c r="A26" s="65" t="s">
        <v>407</v>
      </c>
      <c r="B26" s="63">
        <f>ODIN_MAC!K10*0.000000001</f>
        <v>2.9799999999999999E-7</v>
      </c>
      <c r="C26" s="63"/>
      <c r="D26" s="72">
        <f>298/32</f>
        <v>9.3125</v>
      </c>
      <c r="E26" s="63"/>
      <c r="F26" s="63"/>
      <c r="G26" s="63">
        <f>ODIN_MAC!K7/32</f>
        <v>8.9268750000000008</v>
      </c>
      <c r="H26" s="69">
        <f>2*D26</f>
        <v>18.625</v>
      </c>
      <c r="I26" s="73">
        <f>2*G26</f>
        <v>17.853750000000002</v>
      </c>
      <c r="J26" s="71">
        <f t="shared" si="10"/>
        <v>4098</v>
      </c>
      <c r="K26" s="63">
        <f t="shared" si="9"/>
        <v>3.1755625E-3</v>
      </c>
      <c r="L26" s="63">
        <f t="shared" si="9"/>
        <v>6.7422500000000003</v>
      </c>
      <c r="M26" s="63">
        <f t="shared" si="9"/>
        <v>144.34375</v>
      </c>
      <c r="N26" s="63">
        <f t="shared" si="9"/>
        <v>13.316875000000001</v>
      </c>
      <c r="O26" s="63">
        <f t="shared" si="9"/>
        <v>36.318750000000001</v>
      </c>
    </row>
    <row r="27" spans="1:42" x14ac:dyDescent="0.2">
      <c r="A27" s="65" t="s">
        <v>408</v>
      </c>
      <c r="B27" s="63"/>
      <c r="C27" s="63"/>
      <c r="D27" s="63"/>
      <c r="E27" s="84">
        <v>3E-11</v>
      </c>
      <c r="F27" s="63"/>
      <c r="G27" s="63"/>
      <c r="H27" s="63"/>
      <c r="I27" s="63"/>
      <c r="J27" s="64"/>
      <c r="K27" s="63"/>
      <c r="L27" s="63"/>
      <c r="M27" s="63"/>
      <c r="N27" s="63"/>
      <c r="O27" s="63"/>
    </row>
    <row r="28" spans="1:42" ht="96" x14ac:dyDescent="0.2">
      <c r="A28" s="63"/>
      <c r="B28" s="63"/>
      <c r="C28" s="63"/>
      <c r="D28" s="63"/>
      <c r="E28" s="74" t="s">
        <v>455</v>
      </c>
      <c r="F28" s="75" t="s">
        <v>456</v>
      </c>
      <c r="G28" s="63"/>
      <c r="H28" s="63"/>
      <c r="I28" s="63"/>
      <c r="J28" s="64"/>
      <c r="K28" s="63"/>
      <c r="L28" s="63"/>
      <c r="M28" s="63"/>
      <c r="N28" s="63"/>
      <c r="O28" s="63"/>
    </row>
    <row r="29" spans="1:42" x14ac:dyDescent="0.2">
      <c r="AO29" t="s">
        <v>464</v>
      </c>
      <c r="AP29">
        <v>64</v>
      </c>
    </row>
    <row r="33" spans="1:69" x14ac:dyDescent="0.2">
      <c r="E33" s="2" t="s">
        <v>471</v>
      </c>
      <c r="F33">
        <v>0.3</v>
      </c>
    </row>
    <row r="34" spans="1:69" x14ac:dyDescent="0.2">
      <c r="E34" s="2" t="s">
        <v>433</v>
      </c>
      <c r="F34">
        <v>21</v>
      </c>
      <c r="K34" s="130" t="s">
        <v>459</v>
      </c>
      <c r="L34" s="130"/>
      <c r="M34" s="130"/>
      <c r="N34" s="130"/>
      <c r="O34" s="130"/>
      <c r="P34" s="53"/>
      <c r="Q34" s="130" t="s">
        <v>460</v>
      </c>
      <c r="R34" s="130"/>
      <c r="S34" s="130"/>
      <c r="T34" s="130"/>
      <c r="U34" s="130"/>
      <c r="V34" s="53"/>
      <c r="W34" s="130" t="s">
        <v>461</v>
      </c>
      <c r="X34" s="130"/>
      <c r="Y34" s="130"/>
      <c r="Z34" s="130"/>
      <c r="AA34" s="130"/>
      <c r="AC34" s="130" t="s">
        <v>462</v>
      </c>
      <c r="AD34" s="130"/>
      <c r="AE34" s="130"/>
      <c r="AF34" s="130"/>
      <c r="AG34" s="130"/>
      <c r="AI34" s="130" t="s">
        <v>463</v>
      </c>
      <c r="AJ34" s="130"/>
      <c r="AK34" s="130"/>
      <c r="AL34" s="130"/>
      <c r="AM34" s="130"/>
      <c r="AO34" s="130" t="s">
        <v>465</v>
      </c>
      <c r="AP34" s="130"/>
      <c r="AQ34" s="130"/>
      <c r="AR34" s="130"/>
      <c r="AS34" s="130"/>
      <c r="AU34" s="130" t="s">
        <v>467</v>
      </c>
      <c r="AV34" s="130"/>
      <c r="AW34" s="130"/>
      <c r="AX34" s="130"/>
      <c r="AY34" s="130"/>
      <c r="BA34" s="130" t="s">
        <v>468</v>
      </c>
      <c r="BB34" s="130"/>
      <c r="BC34" s="130"/>
      <c r="BD34" s="130"/>
      <c r="BE34" s="130"/>
      <c r="BG34" s="130" t="s">
        <v>469</v>
      </c>
      <c r="BH34" s="130"/>
      <c r="BI34" s="130"/>
      <c r="BJ34" s="130"/>
      <c r="BK34" s="130"/>
      <c r="BM34" s="130" t="s">
        <v>470</v>
      </c>
      <c r="BN34" s="130"/>
      <c r="BO34" s="130"/>
      <c r="BP34" s="130"/>
      <c r="BQ34" s="130"/>
    </row>
    <row r="35" spans="1:69" ht="64" x14ac:dyDescent="0.2">
      <c r="F35" s="14" t="s">
        <v>458</v>
      </c>
      <c r="H35" t="s">
        <v>466</v>
      </c>
      <c r="K35" s="130"/>
      <c r="L35" s="130"/>
      <c r="M35" s="130"/>
      <c r="N35" s="130"/>
      <c r="O35" s="130"/>
      <c r="P35" s="53"/>
      <c r="Q35" s="130"/>
      <c r="R35" s="130"/>
      <c r="S35" s="130"/>
      <c r="T35" s="130"/>
      <c r="U35" s="130"/>
      <c r="V35" s="53"/>
      <c r="W35" s="130"/>
      <c r="X35" s="130"/>
      <c r="Y35" s="130"/>
      <c r="Z35" s="130"/>
      <c r="AA35" s="130"/>
      <c r="AC35" s="130"/>
      <c r="AD35" s="130"/>
      <c r="AE35" s="130"/>
      <c r="AF35" s="130"/>
      <c r="AG35" s="130"/>
      <c r="AI35" s="130"/>
      <c r="AJ35" s="130"/>
      <c r="AK35" s="130"/>
      <c r="AL35" s="130"/>
      <c r="AM35" s="130"/>
    </row>
    <row r="36" spans="1:69" ht="16" x14ac:dyDescent="0.2">
      <c r="B36" s="2" t="s">
        <v>437</v>
      </c>
      <c r="C36" s="2" t="s">
        <v>438</v>
      </c>
      <c r="D36" s="2" t="s">
        <v>436</v>
      </c>
      <c r="E36" s="2" t="s">
        <v>434</v>
      </c>
      <c r="F36" s="2" t="s">
        <v>442</v>
      </c>
      <c r="G36" s="2" t="s">
        <v>445</v>
      </c>
      <c r="H36" s="2" t="s">
        <v>444</v>
      </c>
      <c r="I36" s="2"/>
      <c r="J36" s="13" t="s">
        <v>433</v>
      </c>
      <c r="K36" s="2" t="s">
        <v>417</v>
      </c>
      <c r="L36" s="2" t="s">
        <v>418</v>
      </c>
      <c r="M36" s="2" t="s">
        <v>419</v>
      </c>
      <c r="N36" s="2" t="s">
        <v>420</v>
      </c>
      <c r="O36" s="2" t="s">
        <v>421</v>
      </c>
      <c r="P36" s="2"/>
      <c r="Q36" s="2" t="s">
        <v>417</v>
      </c>
      <c r="R36" s="2" t="s">
        <v>418</v>
      </c>
      <c r="S36" s="2" t="s">
        <v>419</v>
      </c>
      <c r="T36" s="2" t="s">
        <v>420</v>
      </c>
      <c r="U36" s="2" t="s">
        <v>421</v>
      </c>
      <c r="V36" s="2"/>
      <c r="W36" s="2" t="s">
        <v>417</v>
      </c>
      <c r="X36" s="2" t="s">
        <v>418</v>
      </c>
      <c r="Y36" s="2" t="s">
        <v>419</v>
      </c>
      <c r="Z36" s="2" t="s">
        <v>420</v>
      </c>
      <c r="AA36" s="2" t="s">
        <v>421</v>
      </c>
      <c r="AC36" s="2" t="s">
        <v>417</v>
      </c>
      <c r="AD36" s="2" t="s">
        <v>418</v>
      </c>
      <c r="AE36" s="2" t="s">
        <v>419</v>
      </c>
      <c r="AF36" s="2" t="s">
        <v>420</v>
      </c>
      <c r="AG36" s="2" t="s">
        <v>421</v>
      </c>
      <c r="AI36" s="2" t="s">
        <v>417</v>
      </c>
      <c r="AJ36" s="2" t="s">
        <v>418</v>
      </c>
      <c r="AK36" s="2" t="s">
        <v>419</v>
      </c>
      <c r="AL36" s="2" t="s">
        <v>420</v>
      </c>
      <c r="AM36" s="2" t="s">
        <v>421</v>
      </c>
      <c r="AO36" s="2" t="s">
        <v>417</v>
      </c>
      <c r="AP36" s="2" t="s">
        <v>418</v>
      </c>
      <c r="AQ36" s="2" t="s">
        <v>419</v>
      </c>
      <c r="AR36" s="2" t="s">
        <v>420</v>
      </c>
      <c r="AS36" s="2" t="s">
        <v>421</v>
      </c>
      <c r="AU36" s="2" t="s">
        <v>417</v>
      </c>
      <c r="AV36" s="2" t="s">
        <v>418</v>
      </c>
      <c r="AW36" s="2" t="s">
        <v>419</v>
      </c>
      <c r="AX36" s="2" t="s">
        <v>420</v>
      </c>
      <c r="AY36" s="2" t="s">
        <v>421</v>
      </c>
      <c r="BA36" s="2" t="s">
        <v>417</v>
      </c>
      <c r="BB36" s="2" t="s">
        <v>418</v>
      </c>
      <c r="BC36" s="2" t="s">
        <v>419</v>
      </c>
      <c r="BD36" s="2" t="s">
        <v>420</v>
      </c>
      <c r="BE36" s="2" t="s">
        <v>421</v>
      </c>
      <c r="BG36" s="2" t="s">
        <v>417</v>
      </c>
      <c r="BH36" s="2" t="s">
        <v>418</v>
      </c>
      <c r="BI36" s="2" t="s">
        <v>419</v>
      </c>
      <c r="BJ36" s="2" t="s">
        <v>420</v>
      </c>
      <c r="BK36" s="2" t="s">
        <v>421</v>
      </c>
      <c r="BM36" s="2" t="s">
        <v>417</v>
      </c>
      <c r="BN36" s="2" t="s">
        <v>418</v>
      </c>
      <c r="BO36" s="2" t="s">
        <v>419</v>
      </c>
      <c r="BP36" s="2" t="s">
        <v>420</v>
      </c>
      <c r="BQ36" s="2" t="s">
        <v>421</v>
      </c>
    </row>
    <row r="37" spans="1:69" x14ac:dyDescent="0.2">
      <c r="A37" s="2" t="s">
        <v>429</v>
      </c>
      <c r="B37">
        <v>200</v>
      </c>
      <c r="C37">
        <v>21</v>
      </c>
      <c r="D37">
        <v>0</v>
      </c>
      <c r="E37">
        <f>(B37+C37)*J37</f>
        <v>1768</v>
      </c>
      <c r="F37">
        <f>512*16*4</f>
        <v>32768</v>
      </c>
      <c r="G37">
        <v>55</v>
      </c>
      <c r="H37">
        <v>8</v>
      </c>
      <c r="I37">
        <f>F37/4</f>
        <v>8192</v>
      </c>
      <c r="J37" s="14">
        <v>8</v>
      </c>
      <c r="K37">
        <f>(($E37*K$4)*0.000000001)/$F37</f>
        <v>1.8398681640625003E-5</v>
      </c>
      <c r="L37">
        <f t="shared" ref="L37:O42" si="11">(($E37*L$4)*0.000000001)/$F37</f>
        <v>3.9063476562500005E-2</v>
      </c>
      <c r="M37">
        <f>(($E37*M$4)*0.000000001)/$F37</f>
        <v>0.8363037109375</v>
      </c>
      <c r="N37">
        <f t="shared" si="11"/>
        <v>7.7155761718750007E-2</v>
      </c>
      <c r="O37">
        <f>(($E37*O$4)*0.000000001)/$F37</f>
        <v>0.21042480468750002</v>
      </c>
      <c r="Q37">
        <f>(($H37*(Q$5))*0.000000001)</f>
        <v>4.6512000000000005E-5</v>
      </c>
      <c r="R37">
        <f>(($H37*(R$5))*0.000000001)</f>
        <v>6.1136000000000003E-3</v>
      </c>
      <c r="S37">
        <f>(($H37*(S$5))*0.000000001)</f>
        <v>0.120897344</v>
      </c>
      <c r="T37">
        <f t="shared" ref="R37:U42" si="12">(($H37*(T$5))*0.000000001)</f>
        <v>2.4988928000000001E-2</v>
      </c>
      <c r="U37">
        <f t="shared" si="12"/>
        <v>7.7894720000000001E-2</v>
      </c>
      <c r="W37">
        <f>K37+Q37</f>
        <v>6.4910681640625007E-5</v>
      </c>
      <c r="X37">
        <f t="shared" ref="X37:AA37" si="13">L37+R37</f>
        <v>4.5177076562500001E-2</v>
      </c>
      <c r="Y37">
        <f>M37+S37</f>
        <v>0.95720105493749996</v>
      </c>
      <c r="Z37">
        <f t="shared" si="13"/>
        <v>0.10214468971875001</v>
      </c>
      <c r="AA37">
        <f t="shared" si="13"/>
        <v>0.2883195246875</v>
      </c>
      <c r="AC37">
        <f>1/W37</f>
        <v>15405.784914360534</v>
      </c>
      <c r="AD37">
        <f t="shared" ref="AD37:AG37" si="14">1/X37</f>
        <v>22.135119757396321</v>
      </c>
      <c r="AE37">
        <f t="shared" si="14"/>
        <v>1.0447125970471214</v>
      </c>
      <c r="AF37">
        <f t="shared" si="14"/>
        <v>9.7900341442462349</v>
      </c>
      <c r="AG37">
        <f t="shared" si="14"/>
        <v>3.4683741972863853</v>
      </c>
      <c r="AI37" s="56">
        <f>(Q37/W37)</f>
        <v>0.71655386793673725</v>
      </c>
      <c r="AJ37" s="56">
        <f>(R37/X37)</f>
        <v>0.13532526814881815</v>
      </c>
      <c r="AK37" s="56">
        <f t="shared" ref="AK37:AM37" si="15">(S37/Y37)</f>
        <v>0.12630297822633924</v>
      </c>
      <c r="AL37" s="56">
        <f t="shared" si="15"/>
        <v>0.2446424583481108</v>
      </c>
      <c r="AM37" s="56">
        <f t="shared" si="15"/>
        <v>0.27016803695284775</v>
      </c>
      <c r="AO37">
        <f>((($E37*K$4)*0.000000001)/$F37)*$AP$29</f>
        <v>1.1775156250000002E-3</v>
      </c>
      <c r="AP37">
        <f t="shared" ref="AP37:AS37" si="16">((($E37*L$4)*0.000000001)/$F37)*$AP$29</f>
        <v>2.5000625000000003</v>
      </c>
      <c r="AQ37">
        <f t="shared" si="16"/>
        <v>53.5234375</v>
      </c>
      <c r="AR37">
        <f t="shared" si="16"/>
        <v>4.9379687500000005</v>
      </c>
      <c r="AS37">
        <f t="shared" si="16"/>
        <v>13.467187500000001</v>
      </c>
      <c r="AU37">
        <f>(($H37*(Q$5))*0.000000001)*$AP$29/1.5</f>
        <v>1.9845120000000003E-3</v>
      </c>
      <c r="AV37">
        <f t="shared" ref="AV37:AY37" si="17">(($H37*(R$5))*0.000000001)*$AP$29/1.5</f>
        <v>0.26084693333333336</v>
      </c>
      <c r="AW37">
        <f t="shared" si="17"/>
        <v>5.1582866773333338</v>
      </c>
      <c r="AX37">
        <f t="shared" si="17"/>
        <v>1.0661942613333333</v>
      </c>
      <c r="AY37">
        <f t="shared" si="17"/>
        <v>3.3235080533333332</v>
      </c>
      <c r="BA37">
        <f>AO37+AU37</f>
        <v>3.1620276250000005E-3</v>
      </c>
      <c r="BB37">
        <f t="shared" ref="BB37:BE37" si="18">AP37+AV37</f>
        <v>2.7609094333333335</v>
      </c>
      <c r="BC37">
        <f t="shared" si="18"/>
        <v>58.681724177333336</v>
      </c>
      <c r="BD37">
        <f t="shared" si="18"/>
        <v>6.0041630113333335</v>
      </c>
      <c r="BE37">
        <f t="shared" si="18"/>
        <v>16.790695553333336</v>
      </c>
      <c r="BG37">
        <f>(1/BA37)*$AP$29</f>
        <v>20240.177376691954</v>
      </c>
      <c r="BH37">
        <f t="shared" ref="BH37:BK37" si="19">(1/BB37)*$AP$29</f>
        <v>23.180767622185552</v>
      </c>
      <c r="BI37">
        <f t="shared" si="19"/>
        <v>1.0906291677217099</v>
      </c>
      <c r="BJ37">
        <f t="shared" si="19"/>
        <v>10.659270889080615</v>
      </c>
      <c r="BK37">
        <f t="shared" si="19"/>
        <v>3.8116348305353283</v>
      </c>
      <c r="BM37" s="56">
        <f>AU37/BA37</f>
        <v>0.6276074200964642</v>
      </c>
      <c r="BN37" s="56">
        <f t="shared" ref="BN37:BQ37" si="20">AV37/BB37</f>
        <v>9.4478627289995745E-2</v>
      </c>
      <c r="BO37" s="56">
        <f t="shared" si="20"/>
        <v>8.7902779777656842E-2</v>
      </c>
      <c r="BP37" s="56">
        <f t="shared" si="20"/>
        <v>0.17757583518648762</v>
      </c>
      <c r="BQ37" s="56">
        <f t="shared" si="20"/>
        <v>0.19793748524453122</v>
      </c>
    </row>
    <row r="38" spans="1:69" x14ac:dyDescent="0.2">
      <c r="A38" s="2" t="s">
        <v>430</v>
      </c>
      <c r="B38">
        <v>200</v>
      </c>
      <c r="C38">
        <v>11</v>
      </c>
      <c r="D38">
        <v>0</v>
      </c>
      <c r="E38">
        <f>(B38+C38)*J38</f>
        <v>2110</v>
      </c>
      <c r="F38">
        <f>256*16*4</f>
        <v>16384</v>
      </c>
      <c r="G38">
        <v>64.599999999999994</v>
      </c>
      <c r="H38">
        <v>21</v>
      </c>
      <c r="I38">
        <f t="shared" ref="I38:I40" si="21">F38/4</f>
        <v>4096</v>
      </c>
      <c r="J38" s="14">
        <v>10</v>
      </c>
      <c r="K38">
        <f t="shared" ref="K38:O42" si="22">(($E38*K$4)*0.000000001)/$F38</f>
        <v>4.3915405273437506E-5</v>
      </c>
      <c r="L38">
        <f t="shared" si="11"/>
        <v>9.3239746093750006E-2</v>
      </c>
      <c r="M38">
        <f t="shared" si="11"/>
        <v>1.9961547851562502</v>
      </c>
      <c r="N38">
        <f t="shared" si="11"/>
        <v>0.18416137695312501</v>
      </c>
      <c r="O38">
        <f t="shared" si="11"/>
        <v>0.50225830078125</v>
      </c>
      <c r="Q38">
        <f t="shared" ref="Q38:Q40" si="23">(($H38*(Q$5))*0.000000001)</f>
        <v>1.22094E-4</v>
      </c>
      <c r="R38">
        <f t="shared" si="12"/>
        <v>1.6048200000000002E-2</v>
      </c>
      <c r="S38">
        <f t="shared" si="12"/>
        <v>0.317355528</v>
      </c>
      <c r="T38">
        <f t="shared" si="12"/>
        <v>6.5595936000000007E-2</v>
      </c>
      <c r="U38">
        <f t="shared" si="12"/>
        <v>0.20447364000000001</v>
      </c>
      <c r="W38">
        <f>K38+Q38</f>
        <v>1.6600940527343751E-4</v>
      </c>
      <c r="X38">
        <f t="shared" ref="X38:X42" si="24">L38+R38</f>
        <v>0.10928794609375</v>
      </c>
      <c r="Y38">
        <f t="shared" ref="Y38:Y42" si="25">M38+S38</f>
        <v>2.3135103131562502</v>
      </c>
      <c r="Z38">
        <f t="shared" ref="Z38:Z42" si="26">N38+T38</f>
        <v>0.24975731295312503</v>
      </c>
      <c r="AA38">
        <f t="shared" ref="AA38:AA42" si="27">O38+U38</f>
        <v>0.70673194078125001</v>
      </c>
      <c r="AC38">
        <f t="shared" ref="AC38:AC42" si="28">1/W38</f>
        <v>6023.7550899774587</v>
      </c>
      <c r="AD38">
        <f t="shared" ref="AD38:AD42" si="29">1/X38</f>
        <v>9.1501399353060791</v>
      </c>
      <c r="AE38">
        <f t="shared" ref="AE38:AE42" si="30">1/Y38</f>
        <v>0.4322435885905912</v>
      </c>
      <c r="AF38">
        <f t="shared" ref="AF38:AF42" si="31">1/Z38</f>
        <v>4.0038867658208757</v>
      </c>
      <c r="AG38">
        <f t="shared" ref="AG38:AG42" si="32">1/AA38</f>
        <v>1.4149636408035551</v>
      </c>
      <c r="AI38" s="56">
        <f>(Q38/W38)</f>
        <v>0.73546435395570786</v>
      </c>
      <c r="AJ38" s="56">
        <f t="shared" ref="AJ38:AJ42" si="33">(R38/X38)</f>
        <v>0.14684327570977904</v>
      </c>
      <c r="AK38" s="56">
        <f t="shared" ref="AK38:AK42" si="34">(S38/Y38)</f>
        <v>0.13717489228178184</v>
      </c>
      <c r="AL38" s="56">
        <f t="shared" ref="AL38:AL42" si="35">(T38/Z38)</f>
        <v>0.26263870004203316</v>
      </c>
      <c r="AM38" s="56">
        <f t="shared" ref="AM38:AM42" si="36">(U38/AA38)</f>
        <v>0.28932276610275542</v>
      </c>
      <c r="AO38">
        <f t="shared" ref="AO38:AO42" si="37">((($E38*K$4)*0.000000001)/$F38)*$AP$29</f>
        <v>2.8105859375000004E-3</v>
      </c>
      <c r="AP38">
        <f t="shared" ref="AP38:AP41" si="38">((($E38*L$4)*0.000000001)/$F38)*$AP$29</f>
        <v>5.9673437500000004</v>
      </c>
      <c r="AQ38">
        <f t="shared" ref="AQ38:AQ42" si="39">((($E38*M$4)*0.000000001)/$F38)*$AP$29</f>
        <v>127.75390625000001</v>
      </c>
      <c r="AR38">
        <f t="shared" ref="AR38:AR42" si="40">((($E38*N$4)*0.000000001)/$F38)*$AP$29</f>
        <v>11.786328125000001</v>
      </c>
      <c r="AS38">
        <f t="shared" ref="AS38:AS42" si="41">((($E38*O$4)*0.000000001)/$F38)*$AP$29</f>
        <v>32.14453125</v>
      </c>
      <c r="AU38">
        <f>(($H38*(Q$5))*0.000000001)*$AP$29/1.5</f>
        <v>5.2093440000000003E-3</v>
      </c>
      <c r="AV38">
        <f t="shared" ref="AV38" si="42">(($H38*(R$5))*0.000000001)*$AP$29/1.5</f>
        <v>0.68472320000000009</v>
      </c>
      <c r="AW38">
        <f t="shared" ref="AW38" si="43">(($H38*(S$5))*0.000000001)*$AP$29/1.5</f>
        <v>13.540502527999999</v>
      </c>
      <c r="AX38">
        <f t="shared" ref="AX38" si="44">(($H38*(T$5))*0.000000001)*$AP$29/1.5</f>
        <v>2.7987599360000002</v>
      </c>
      <c r="AY38">
        <f t="shared" ref="AY38" si="45">(($H38*(U$5))*0.000000001)*$AP$29/1.5</f>
        <v>8.7242086400000005</v>
      </c>
      <c r="BA38">
        <f t="shared" ref="BA38:BA42" si="46">AO38+AU38</f>
        <v>8.0199299374999998E-3</v>
      </c>
      <c r="BB38">
        <f t="shared" ref="BB38:BB42" si="47">AP38+AV38</f>
        <v>6.65206695</v>
      </c>
      <c r="BC38">
        <f t="shared" ref="BC38:BC42" si="48">AQ38+AW38</f>
        <v>141.29440877800002</v>
      </c>
      <c r="BD38">
        <f t="shared" ref="BD38:BD42" si="49">AR38+AX38</f>
        <v>14.585088061</v>
      </c>
      <c r="BE38">
        <f t="shared" ref="BE38:BE42" si="50">AS38+AY38</f>
        <v>40.868739890000001</v>
      </c>
      <c r="BG38">
        <f t="shared" ref="BG38:BG41" si="51">(1/BA38)*$AP$29</f>
        <v>7980.119589417548</v>
      </c>
      <c r="BH38">
        <f t="shared" ref="BH38:BH42" si="52">(1/BB38)*$AP$29</f>
        <v>9.6210697338216065</v>
      </c>
      <c r="BI38">
        <f t="shared" ref="BI38:BI42" si="53">(1/BC38)*$AP$29</f>
        <v>0.45295493681251031</v>
      </c>
      <c r="BJ38">
        <f t="shared" ref="BJ38:BJ42" si="54">(1/BD38)*$AP$29</f>
        <v>4.388043440830069</v>
      </c>
      <c r="BK38">
        <f t="shared" ref="BK38:BK42" si="55">(1/BE38)*$AP$29</f>
        <v>1.5659890706750146</v>
      </c>
      <c r="BM38" s="56">
        <f t="shared" ref="BM38:BM42" si="56">AU38/BA38</f>
        <v>0.64954981410023083</v>
      </c>
      <c r="BN38" s="56">
        <f t="shared" ref="BN38:BN42" si="57">AV38/BB38</f>
        <v>0.10293390086821061</v>
      </c>
      <c r="BO38" s="56">
        <f t="shared" ref="BO38:BO42" si="58">AW38/BC38</f>
        <v>9.5831835421560554E-2</v>
      </c>
      <c r="BP38" s="56">
        <f t="shared" ref="BP38:BP42" si="59">AX38/BD38</f>
        <v>0.19189187780660599</v>
      </c>
      <c r="BQ38" s="56">
        <f t="shared" ref="BQ38:BQ42" si="60">AY38/BE38</f>
        <v>0.21346899032075833</v>
      </c>
    </row>
    <row r="39" spans="1:69" x14ac:dyDescent="0.2">
      <c r="A39" s="2" t="s">
        <v>428</v>
      </c>
      <c r="B39">
        <v>1</v>
      </c>
      <c r="C39">
        <v>10</v>
      </c>
      <c r="D39">
        <v>0</v>
      </c>
      <c r="E39">
        <f t="shared" ref="E39:E41" si="61">(B39+C39)*J39</f>
        <v>231</v>
      </c>
      <c r="F39">
        <f>32*512</f>
        <v>16384</v>
      </c>
      <c r="G39">
        <v>61</v>
      </c>
      <c r="H39">
        <v>10</v>
      </c>
      <c r="I39">
        <f t="shared" si="21"/>
        <v>4096</v>
      </c>
      <c r="J39" s="14">
        <v>21</v>
      </c>
      <c r="K39">
        <f t="shared" si="22"/>
        <v>4.8078002929687505E-6</v>
      </c>
      <c r="L39">
        <f>(($E39*L$4)*0.000000001)/$F39</f>
        <v>1.0207763671875E-2</v>
      </c>
      <c r="M39">
        <f t="shared" si="11"/>
        <v>0.218536376953125</v>
      </c>
      <c r="N39">
        <f t="shared" si="11"/>
        <v>2.0161743164062502E-2</v>
      </c>
      <c r="O39">
        <f t="shared" si="11"/>
        <v>5.4986572265625006E-2</v>
      </c>
      <c r="Q39">
        <f t="shared" si="23"/>
        <v>5.8140000000000002E-5</v>
      </c>
      <c r="R39">
        <f t="shared" si="12"/>
        <v>7.6420000000000004E-3</v>
      </c>
      <c r="S39">
        <f t="shared" si="12"/>
        <v>0.15112168000000001</v>
      </c>
      <c r="T39">
        <f t="shared" si="12"/>
        <v>3.1236160000000002E-2</v>
      </c>
      <c r="U39">
        <f t="shared" si="12"/>
        <v>9.7368400000000008E-2</v>
      </c>
      <c r="W39">
        <f t="shared" ref="W39:W42" si="62">K39+Q39</f>
        <v>6.2947800292968755E-5</v>
      </c>
      <c r="X39">
        <f t="shared" si="24"/>
        <v>1.7849763671875001E-2</v>
      </c>
      <c r="Y39">
        <f t="shared" si="25"/>
        <v>0.36965805695312504</v>
      </c>
      <c r="Z39">
        <f t="shared" si="26"/>
        <v>5.1397903164062508E-2</v>
      </c>
      <c r="AA39">
        <f t="shared" si="27"/>
        <v>0.152354972265625</v>
      </c>
      <c r="AC39">
        <f t="shared" si="28"/>
        <v>15886.178632864787</v>
      </c>
      <c r="AD39">
        <f t="shared" si="29"/>
        <v>56.023150691661598</v>
      </c>
      <c r="AE39">
        <f t="shared" si="30"/>
        <v>2.7052027710214532</v>
      </c>
      <c r="AF39">
        <f t="shared" si="31"/>
        <v>19.456046617465933</v>
      </c>
      <c r="AG39">
        <f t="shared" si="32"/>
        <v>6.5636190609948635</v>
      </c>
      <c r="AI39" s="56">
        <f t="shared" ref="AI39:AI42" si="63">(Q39/W39)</f>
        <v>0.92362242571475872</v>
      </c>
      <c r="AJ39" s="56">
        <f t="shared" si="33"/>
        <v>0.42812891758567795</v>
      </c>
      <c r="AK39" s="56">
        <f t="shared" si="34"/>
        <v>0.40881478749741734</v>
      </c>
      <c r="AL39" s="56">
        <f t="shared" si="35"/>
        <v>0.60773218511062477</v>
      </c>
      <c r="AM39" s="56">
        <f t="shared" si="36"/>
        <v>0.6390890861785723</v>
      </c>
      <c r="AO39">
        <f t="shared" si="37"/>
        <v>3.0769921875000003E-4</v>
      </c>
      <c r="AP39">
        <f t="shared" si="38"/>
        <v>0.653296875</v>
      </c>
      <c r="AQ39">
        <f t="shared" si="39"/>
        <v>13.986328125</v>
      </c>
      <c r="AR39">
        <f t="shared" si="40"/>
        <v>1.2903515625000002</v>
      </c>
      <c r="AS39">
        <f t="shared" si="41"/>
        <v>3.5191406250000004</v>
      </c>
      <c r="AU39">
        <f t="shared" ref="AU39:AU42" si="64">(($H39*(Q$5))*0.000000001)</f>
        <v>5.8140000000000002E-5</v>
      </c>
      <c r="AV39">
        <f t="shared" ref="AV39:AY42" si="65">(($H39*(R$5))*0.000000001)</f>
        <v>7.6420000000000004E-3</v>
      </c>
      <c r="AW39">
        <f t="shared" si="65"/>
        <v>0.15112168000000001</v>
      </c>
      <c r="AX39">
        <f t="shared" si="65"/>
        <v>3.1236160000000002E-2</v>
      </c>
      <c r="AY39">
        <f t="shared" si="65"/>
        <v>9.7368400000000008E-2</v>
      </c>
      <c r="BA39">
        <f t="shared" si="46"/>
        <v>3.6583921875000001E-4</v>
      </c>
      <c r="BB39">
        <f t="shared" si="47"/>
        <v>0.66093887500000004</v>
      </c>
      <c r="BC39">
        <f t="shared" si="48"/>
        <v>14.137449804999999</v>
      </c>
      <c r="BD39">
        <f t="shared" si="49"/>
        <v>1.3215877225000001</v>
      </c>
      <c r="BE39">
        <f t="shared" si="50"/>
        <v>3.6165090250000005</v>
      </c>
      <c r="BG39">
        <f t="shared" si="51"/>
        <v>174940.23800585212</v>
      </c>
      <c r="BH39">
        <f t="shared" si="52"/>
        <v>96.831949853153958</v>
      </c>
      <c r="BI39">
        <f t="shared" si="53"/>
        <v>4.5269833585803489</v>
      </c>
      <c r="BJ39">
        <f t="shared" si="54"/>
        <v>48.426599998169998</v>
      </c>
      <c r="BK39">
        <f t="shared" si="55"/>
        <v>17.696623887175281</v>
      </c>
      <c r="BM39" s="56">
        <f t="shared" si="56"/>
        <v>0.15892227246344129</v>
      </c>
      <c r="BN39" s="56">
        <f t="shared" si="57"/>
        <v>1.1562340012153166E-2</v>
      </c>
      <c r="BO39" s="56">
        <f t="shared" si="58"/>
        <v>1.0689458288761012E-2</v>
      </c>
      <c r="BP39" s="56">
        <f t="shared" si="59"/>
        <v>2.3635328528106844E-2</v>
      </c>
      <c r="BQ39" s="56">
        <f t="shared" si="60"/>
        <v>2.6923311770250591E-2</v>
      </c>
    </row>
    <row r="40" spans="1:69" x14ac:dyDescent="0.2">
      <c r="A40" s="2" t="s">
        <v>446</v>
      </c>
      <c r="B40">
        <v>3</v>
      </c>
      <c r="C40">
        <v>4</v>
      </c>
      <c r="D40">
        <v>22</v>
      </c>
      <c r="E40">
        <f>(B40+C40)*J40</f>
        <v>56</v>
      </c>
      <c r="F40">
        <f>1024*16*4</f>
        <v>65536</v>
      </c>
      <c r="G40">
        <v>259.42</v>
      </c>
      <c r="H40">
        <v>38</v>
      </c>
      <c r="I40">
        <f t="shared" si="21"/>
        <v>16384</v>
      </c>
      <c r="J40" s="14">
        <v>8</v>
      </c>
      <c r="K40">
        <f t="shared" si="22"/>
        <v>2.9138183593750003E-7</v>
      </c>
      <c r="L40">
        <f t="shared" si="22"/>
        <v>6.1865234375000006E-4</v>
      </c>
      <c r="M40">
        <f t="shared" si="22"/>
        <v>1.324462890625E-2</v>
      </c>
      <c r="N40">
        <f t="shared" si="22"/>
        <v>1.221923828125E-3</v>
      </c>
      <c r="O40">
        <f t="shared" si="22"/>
        <v>3.3325195312500001E-3</v>
      </c>
      <c r="Q40">
        <f t="shared" si="23"/>
        <v>2.2093200000000002E-4</v>
      </c>
      <c r="R40">
        <f t="shared" si="12"/>
        <v>2.9039600000000002E-2</v>
      </c>
      <c r="S40">
        <f t="shared" si="12"/>
        <v>0.57426238400000007</v>
      </c>
      <c r="T40">
        <f t="shared" si="12"/>
        <v>0.118697408</v>
      </c>
      <c r="U40">
        <f t="shared" si="12"/>
        <v>0.36999992000000004</v>
      </c>
      <c r="W40">
        <f t="shared" si="62"/>
        <v>2.2122338183593751E-4</v>
      </c>
      <c r="X40">
        <f t="shared" si="24"/>
        <v>2.9658252343750004E-2</v>
      </c>
      <c r="Y40">
        <f t="shared" si="25"/>
        <v>0.58750701290625007</v>
      </c>
      <c r="Z40">
        <f t="shared" si="26"/>
        <v>0.119919331828125</v>
      </c>
      <c r="AA40">
        <f t="shared" si="27"/>
        <v>0.37333243953125006</v>
      </c>
      <c r="AC40">
        <f t="shared" si="28"/>
        <v>4520.317842087843</v>
      </c>
      <c r="AD40">
        <f t="shared" si="29"/>
        <v>33.71742840439935</v>
      </c>
      <c r="AE40">
        <f t="shared" si="30"/>
        <v>1.7021073417545272</v>
      </c>
      <c r="AF40">
        <f t="shared" si="31"/>
        <v>8.3389390580766012</v>
      </c>
      <c r="AG40">
        <f t="shared" si="32"/>
        <v>2.6785778413887185</v>
      </c>
      <c r="AI40" s="56">
        <f t="shared" si="63"/>
        <v>0.99868286148815144</v>
      </c>
      <c r="AJ40" s="56">
        <f t="shared" si="33"/>
        <v>0.97914063389239547</v>
      </c>
      <c r="AK40" s="56">
        <f t="shared" si="34"/>
        <v>0.97745621989985765</v>
      </c>
      <c r="AL40" s="56">
        <f t="shared" si="35"/>
        <v>0.989810451663654</v>
      </c>
      <c r="AM40" s="56">
        <f t="shared" si="36"/>
        <v>0.99107358702759862</v>
      </c>
      <c r="AO40">
        <f t="shared" si="37"/>
        <v>1.8648437500000002E-5</v>
      </c>
      <c r="AP40">
        <f>((($E40*L$4)*0.000000001)/$F40)*$AP$29</f>
        <v>3.9593750000000004E-2</v>
      </c>
      <c r="AQ40">
        <f t="shared" si="39"/>
        <v>0.84765625</v>
      </c>
      <c r="AR40">
        <f t="shared" si="40"/>
        <v>7.8203124999999998E-2</v>
      </c>
      <c r="AS40">
        <f t="shared" si="41"/>
        <v>0.21328125000000001</v>
      </c>
      <c r="AU40">
        <f t="shared" si="64"/>
        <v>2.2093200000000002E-4</v>
      </c>
      <c r="AV40">
        <f t="shared" si="65"/>
        <v>2.9039600000000002E-2</v>
      </c>
      <c r="AW40">
        <f t="shared" si="65"/>
        <v>0.57426238400000007</v>
      </c>
      <c r="AX40">
        <f t="shared" si="65"/>
        <v>0.118697408</v>
      </c>
      <c r="AY40">
        <f t="shared" si="65"/>
        <v>0.36999992000000004</v>
      </c>
      <c r="BA40">
        <f t="shared" si="46"/>
        <v>2.3958043750000002E-4</v>
      </c>
      <c r="BB40">
        <f t="shared" si="47"/>
        <v>6.863335000000001E-2</v>
      </c>
      <c r="BC40">
        <f t="shared" si="48"/>
        <v>1.4219186340000001</v>
      </c>
      <c r="BD40">
        <f t="shared" si="49"/>
        <v>0.19690053299999999</v>
      </c>
      <c r="BE40">
        <f t="shared" si="50"/>
        <v>0.58328117000000002</v>
      </c>
      <c r="BG40">
        <f t="shared" si="51"/>
        <v>267133.66361558629</v>
      </c>
      <c r="BH40">
        <f t="shared" si="52"/>
        <v>932.49127428575162</v>
      </c>
      <c r="BI40">
        <f t="shared" si="53"/>
        <v>45.009607771973258</v>
      </c>
      <c r="BJ40">
        <f t="shared" si="54"/>
        <v>325.03721053919139</v>
      </c>
      <c r="BK40">
        <f t="shared" si="55"/>
        <v>109.72409755658664</v>
      </c>
      <c r="BM40" s="56">
        <f t="shared" si="56"/>
        <v>0.92216210265497989</v>
      </c>
      <c r="BN40" s="56">
        <f t="shared" si="57"/>
        <v>0.42311208763669556</v>
      </c>
      <c r="BO40" s="56">
        <f t="shared" si="58"/>
        <v>0.40386444784434833</v>
      </c>
      <c r="BP40" s="56">
        <f t="shared" si="59"/>
        <v>0.60282928741487973</v>
      </c>
      <c r="BQ40" s="56">
        <f t="shared" si="60"/>
        <v>0.63434230184389462</v>
      </c>
    </row>
    <row r="41" spans="1:69" x14ac:dyDescent="0.2">
      <c r="A41" s="2" t="s">
        <v>443</v>
      </c>
      <c r="B41">
        <v>21</v>
      </c>
      <c r="C41">
        <v>4</v>
      </c>
      <c r="D41">
        <v>22</v>
      </c>
      <c r="E41">
        <f t="shared" si="61"/>
        <v>200</v>
      </c>
      <c r="F41">
        <f>1024*16*4</f>
        <v>65536</v>
      </c>
      <c r="G41">
        <v>273.38</v>
      </c>
      <c r="H41">
        <v>24</v>
      </c>
      <c r="I41">
        <f>F41/4</f>
        <v>16384</v>
      </c>
      <c r="J41" s="14">
        <v>8</v>
      </c>
      <c r="K41">
        <f t="shared" si="22"/>
        <v>1.0406494140625002E-6</v>
      </c>
      <c r="L41">
        <f t="shared" si="11"/>
        <v>2.2094726562500002E-3</v>
      </c>
      <c r="M41">
        <f t="shared" si="11"/>
        <v>4.730224609375E-2</v>
      </c>
      <c r="N41">
        <f t="shared" si="11"/>
        <v>4.364013671875E-3</v>
      </c>
      <c r="O41">
        <f t="shared" si="11"/>
        <v>1.190185546875E-2</v>
      </c>
      <c r="Q41">
        <f>(($H41*(Q$5))*0.000000001)</f>
        <v>1.39536E-4</v>
      </c>
      <c r="R41">
        <f t="shared" si="12"/>
        <v>1.8340800000000001E-2</v>
      </c>
      <c r="S41">
        <f t="shared" si="12"/>
        <v>0.362692032</v>
      </c>
      <c r="T41">
        <f t="shared" si="12"/>
        <v>7.4966784000000009E-2</v>
      </c>
      <c r="U41">
        <f t="shared" si="12"/>
        <v>0.23368416</v>
      </c>
      <c r="W41">
        <f t="shared" si="62"/>
        <v>1.4057664941406249E-4</v>
      </c>
      <c r="X41">
        <f t="shared" si="24"/>
        <v>2.055027265625E-2</v>
      </c>
      <c r="Y41">
        <f t="shared" si="25"/>
        <v>0.40999427809375</v>
      </c>
      <c r="Z41">
        <f t="shared" si="26"/>
        <v>7.9330797671875009E-2</v>
      </c>
      <c r="AA41">
        <f t="shared" si="27"/>
        <v>0.24558601546875</v>
      </c>
      <c r="AC41">
        <f t="shared" si="28"/>
        <v>7113.5569397058462</v>
      </c>
      <c r="AD41">
        <f t="shared" si="29"/>
        <v>48.661154853138541</v>
      </c>
      <c r="AE41">
        <f t="shared" si="30"/>
        <v>2.4390584294235889</v>
      </c>
      <c r="AF41">
        <f t="shared" si="31"/>
        <v>12.605444913539904</v>
      </c>
      <c r="AG41">
        <f t="shared" si="32"/>
        <v>4.0718930924926653</v>
      </c>
      <c r="AI41" s="56">
        <f t="shared" si="63"/>
        <v>0.99259728113879497</v>
      </c>
      <c r="AJ41" s="56">
        <f t="shared" si="33"/>
        <v>0.8924845089304434</v>
      </c>
      <c r="AK41" s="56">
        <f t="shared" si="34"/>
        <v>0.88462705793437002</v>
      </c>
      <c r="AL41" s="56">
        <f t="shared" si="35"/>
        <v>0.94498966605724466</v>
      </c>
      <c r="AM41" s="56">
        <f t="shared" si="36"/>
        <v>0.95153691692895082</v>
      </c>
      <c r="AO41">
        <f t="shared" si="37"/>
        <v>6.660156250000001E-5</v>
      </c>
      <c r="AP41">
        <f t="shared" si="38"/>
        <v>0.14140625000000001</v>
      </c>
      <c r="AQ41">
        <f t="shared" si="39"/>
        <v>3.02734375</v>
      </c>
      <c r="AR41">
        <f t="shared" si="40"/>
        <v>0.279296875</v>
      </c>
      <c r="AS41">
        <f t="shared" si="41"/>
        <v>0.76171875</v>
      </c>
      <c r="AU41">
        <f t="shared" si="64"/>
        <v>1.39536E-4</v>
      </c>
      <c r="AV41">
        <f t="shared" si="65"/>
        <v>1.8340800000000001E-2</v>
      </c>
      <c r="AW41">
        <f t="shared" si="65"/>
        <v>0.362692032</v>
      </c>
      <c r="AX41">
        <f t="shared" si="65"/>
        <v>7.4966784000000009E-2</v>
      </c>
      <c r="AY41">
        <f t="shared" si="65"/>
        <v>0.23368416</v>
      </c>
      <c r="BA41">
        <f t="shared" si="46"/>
        <v>2.0613756250000001E-4</v>
      </c>
      <c r="BB41">
        <f t="shared" si="47"/>
        <v>0.15974705</v>
      </c>
      <c r="BC41">
        <f t="shared" si="48"/>
        <v>3.390035782</v>
      </c>
      <c r="BD41">
        <f t="shared" si="49"/>
        <v>0.35426365900000001</v>
      </c>
      <c r="BE41">
        <f t="shared" si="50"/>
        <v>0.99540291000000003</v>
      </c>
      <c r="BG41">
        <f t="shared" si="51"/>
        <v>310472.28473946854</v>
      </c>
      <c r="BH41">
        <f t="shared" si="52"/>
        <v>400.63337632838915</v>
      </c>
      <c r="BI41">
        <f t="shared" si="53"/>
        <v>18.87885677780141</v>
      </c>
      <c r="BJ41">
        <f t="shared" si="54"/>
        <v>180.65640766161678</v>
      </c>
      <c r="BK41">
        <f t="shared" si="55"/>
        <v>64.295572533538206</v>
      </c>
      <c r="BM41" s="56">
        <f t="shared" si="56"/>
        <v>0.67690719880322636</v>
      </c>
      <c r="BN41" s="56">
        <f t="shared" si="57"/>
        <v>0.11481150982130812</v>
      </c>
      <c r="BO41" s="56">
        <f t="shared" si="58"/>
        <v>0.10698767072777758</v>
      </c>
      <c r="BP41" s="56">
        <f t="shared" si="59"/>
        <v>0.21161296705288082</v>
      </c>
      <c r="BQ41" s="56">
        <f t="shared" si="60"/>
        <v>0.23476338842529604</v>
      </c>
    </row>
    <row r="42" spans="1:69" x14ac:dyDescent="0.2">
      <c r="A42" s="2" t="s">
        <v>547</v>
      </c>
      <c r="E42" s="55">
        <v>5.25</v>
      </c>
      <c r="F42">
        <v>4098</v>
      </c>
      <c r="G42" s="55">
        <v>77</v>
      </c>
      <c r="H42">
        <v>5</v>
      </c>
      <c r="I42">
        <f>F42/4</f>
        <v>1024.5</v>
      </c>
      <c r="J42" s="14">
        <v>21</v>
      </c>
      <c r="K42">
        <f t="shared" si="22"/>
        <v>4.368594436310396E-7</v>
      </c>
      <c r="L42">
        <f t="shared" si="11"/>
        <v>9.2752562225475847E-4</v>
      </c>
      <c r="M42">
        <f t="shared" si="11"/>
        <v>1.9857247437774523E-2</v>
      </c>
      <c r="N42">
        <f t="shared" si="11"/>
        <v>1.83199121522694E-3</v>
      </c>
      <c r="O42">
        <f t="shared" si="11"/>
        <v>4.996339677891655E-3</v>
      </c>
      <c r="Q42">
        <f>(($H42*(Q$5))*0.000000001)</f>
        <v>2.9070000000000001E-5</v>
      </c>
      <c r="R42">
        <f t="shared" si="12"/>
        <v>3.8210000000000002E-3</v>
      </c>
      <c r="S42">
        <f t="shared" si="12"/>
        <v>7.5560840000000004E-2</v>
      </c>
      <c r="T42">
        <f t="shared" si="12"/>
        <v>1.5618080000000001E-2</v>
      </c>
      <c r="U42">
        <f t="shared" si="12"/>
        <v>4.8684200000000004E-2</v>
      </c>
      <c r="W42">
        <f t="shared" si="62"/>
        <v>2.9506859443631041E-5</v>
      </c>
      <c r="X42">
        <f t="shared" si="24"/>
        <v>4.748525622254759E-3</v>
      </c>
      <c r="Y42">
        <f t="shared" si="25"/>
        <v>9.5418087437774524E-2</v>
      </c>
      <c r="Z42">
        <f t="shared" si="26"/>
        <v>1.7450071215226941E-2</v>
      </c>
      <c r="AA42">
        <f t="shared" si="27"/>
        <v>5.3680539677891659E-2</v>
      </c>
      <c r="AC42">
        <f t="shared" si="28"/>
        <v>33890.424764125368</v>
      </c>
      <c r="AD42">
        <f t="shared" si="29"/>
        <v>210.59168246104284</v>
      </c>
      <c r="AE42">
        <f t="shared" si="30"/>
        <v>10.480193293039278</v>
      </c>
      <c r="AF42">
        <f t="shared" si="31"/>
        <v>57.306356384803721</v>
      </c>
      <c r="AG42">
        <f t="shared" si="32"/>
        <v>18.628724785564149</v>
      </c>
      <c r="AI42" s="56">
        <f t="shared" si="63"/>
        <v>0.98519464789312461</v>
      </c>
      <c r="AJ42" s="56">
        <f t="shared" si="33"/>
        <v>0.80467081868364465</v>
      </c>
      <c r="AK42" s="56">
        <f t="shared" si="34"/>
        <v>0.79189220858441411</v>
      </c>
      <c r="AL42" s="56">
        <f t="shared" si="35"/>
        <v>0.89501525852637531</v>
      </c>
      <c r="AM42" s="56">
        <f t="shared" si="36"/>
        <v>0.90692456320536219</v>
      </c>
      <c r="AO42">
        <f t="shared" si="37"/>
        <v>2.7959004392386534E-5</v>
      </c>
      <c r="AP42">
        <f>((($E42*L$4)*0.000000001)/$F42)*$AP$29</f>
        <v>5.9361639824304542E-2</v>
      </c>
      <c r="AQ42">
        <f t="shared" si="39"/>
        <v>1.2708638360175695</v>
      </c>
      <c r="AR42">
        <f t="shared" si="40"/>
        <v>0.11724743777452416</v>
      </c>
      <c r="AS42">
        <f t="shared" si="41"/>
        <v>0.31976573938506592</v>
      </c>
      <c r="AU42">
        <f t="shared" si="64"/>
        <v>2.9070000000000001E-5</v>
      </c>
      <c r="AV42">
        <f>(($H42*(R$5))*0.000000001)</f>
        <v>3.8210000000000002E-3</v>
      </c>
      <c r="AW42">
        <f t="shared" si="65"/>
        <v>7.5560840000000004E-2</v>
      </c>
      <c r="AX42">
        <f t="shared" si="65"/>
        <v>1.5618080000000001E-2</v>
      </c>
      <c r="AY42">
        <f t="shared" si="65"/>
        <v>4.8684200000000004E-2</v>
      </c>
      <c r="BA42">
        <f t="shared" si="46"/>
        <v>5.7029004392386532E-5</v>
      </c>
      <c r="BB42">
        <f t="shared" si="47"/>
        <v>6.318263982430454E-2</v>
      </c>
      <c r="BC42">
        <f t="shared" si="48"/>
        <v>1.3464246760175695</v>
      </c>
      <c r="BD42">
        <f t="shared" si="49"/>
        <v>0.13286551777452416</v>
      </c>
      <c r="BE42">
        <f t="shared" si="50"/>
        <v>0.36844993938506593</v>
      </c>
      <c r="BG42">
        <f>(1/BA42)*$AP$29</f>
        <v>1122235.9689053963</v>
      </c>
      <c r="BH42">
        <f t="shared" si="52"/>
        <v>1012.9364676431428</v>
      </c>
      <c r="BI42">
        <f t="shared" si="53"/>
        <v>47.533294019311974</v>
      </c>
      <c r="BJ42">
        <f t="shared" si="54"/>
        <v>481.69006580480476</v>
      </c>
      <c r="BK42">
        <f t="shared" si="55"/>
        <v>173.7006663831034</v>
      </c>
      <c r="BM42" s="56">
        <f t="shared" si="56"/>
        <v>0.50974061900124801</v>
      </c>
      <c r="BN42" s="56">
        <f t="shared" si="57"/>
        <v>6.0475472544757013E-2</v>
      </c>
      <c r="BO42" s="56">
        <f t="shared" si="58"/>
        <v>5.6119619126034206E-2</v>
      </c>
      <c r="BP42" s="56">
        <f t="shared" si="59"/>
        <v>0.11754803098351103</v>
      </c>
      <c r="BQ42" s="56">
        <f t="shared" si="60"/>
        <v>0.13213246847387941</v>
      </c>
    </row>
    <row r="43" spans="1:69" x14ac:dyDescent="0.2">
      <c r="A43" s="2" t="s">
        <v>548</v>
      </c>
      <c r="AI43" s="56"/>
      <c r="AJ43" s="56"/>
      <c r="AK43" s="56"/>
      <c r="AL43" s="56"/>
      <c r="AM43" s="56"/>
      <c r="BM43" s="56"/>
      <c r="BN43" s="56"/>
      <c r="BO43" s="56"/>
      <c r="BP43" s="56"/>
      <c r="BQ43" s="56"/>
    </row>
    <row r="44" spans="1:69" x14ac:dyDescent="0.2">
      <c r="A44" s="2"/>
      <c r="AI44" s="56"/>
      <c r="AJ44" s="56"/>
      <c r="AK44" s="56"/>
      <c r="AL44" s="56"/>
      <c r="AM44" s="56"/>
      <c r="BM44" s="56"/>
      <c r="BN44" s="56"/>
      <c r="BO44" s="56"/>
      <c r="BP44" s="56"/>
      <c r="BQ44" s="56"/>
    </row>
    <row r="45" spans="1:69" ht="32" x14ac:dyDescent="0.2">
      <c r="A45" s="2"/>
      <c r="H45" s="77" t="s">
        <v>549</v>
      </c>
      <c r="I45">
        <v>2.1000000000000001E-2</v>
      </c>
      <c r="AI45" s="2" t="s">
        <v>417</v>
      </c>
      <c r="AJ45" s="2" t="s">
        <v>418</v>
      </c>
      <c r="AK45" s="2" t="s">
        <v>419</v>
      </c>
      <c r="AL45" s="2" t="s">
        <v>420</v>
      </c>
      <c r="AM45" s="2" t="s">
        <v>421</v>
      </c>
      <c r="BG45" s="2" t="s">
        <v>417</v>
      </c>
      <c r="BH45" s="2" t="s">
        <v>418</v>
      </c>
      <c r="BI45" s="2" t="s">
        <v>419</v>
      </c>
      <c r="BJ45" s="2" t="s">
        <v>420</v>
      </c>
      <c r="BK45" s="2" t="s">
        <v>421</v>
      </c>
      <c r="BM45" s="56"/>
      <c r="BN45" s="56"/>
      <c r="BO45" s="56"/>
      <c r="BP45" s="56"/>
      <c r="BQ45" s="56"/>
    </row>
    <row r="46" spans="1:69" ht="19" x14ac:dyDescent="0.25">
      <c r="A46" s="2"/>
      <c r="K46" s="136" t="s">
        <v>466</v>
      </c>
      <c r="L46" s="136"/>
      <c r="M46" s="136"/>
      <c r="N46" s="136"/>
      <c r="O46" s="136"/>
      <c r="P46" s="136"/>
      <c r="Q46" s="136"/>
      <c r="R46" s="136"/>
      <c r="S46" s="136"/>
      <c r="T46" s="136"/>
      <c r="U46" s="136"/>
      <c r="V46" s="136"/>
      <c r="W46" s="136"/>
      <c r="X46" s="136"/>
      <c r="Y46" s="136"/>
      <c r="Z46" s="136"/>
      <c r="AA46" s="136"/>
      <c r="AB46" s="136"/>
      <c r="AC46" s="136"/>
      <c r="AD46" s="136"/>
      <c r="AE46" s="136"/>
      <c r="AF46" s="136"/>
      <c r="AG46" s="136"/>
      <c r="AI46" s="135" t="s">
        <v>466</v>
      </c>
      <c r="AJ46" s="135"/>
      <c r="AK46" s="135"/>
      <c r="AL46" s="135"/>
      <c r="AM46" s="135"/>
      <c r="AO46" s="130" t="s">
        <v>480</v>
      </c>
      <c r="AP46" s="130"/>
      <c r="AQ46" s="130"/>
      <c r="AR46" s="130"/>
      <c r="AS46" s="130"/>
      <c r="AT46" s="130"/>
      <c r="AU46" s="130"/>
      <c r="AV46" s="130"/>
      <c r="AW46" s="130"/>
      <c r="AX46" s="130"/>
      <c r="AY46" s="130"/>
      <c r="AZ46" s="130"/>
      <c r="BA46" s="130"/>
      <c r="BB46" s="130"/>
      <c r="BC46" s="130"/>
      <c r="BD46" s="130"/>
      <c r="BE46" s="130"/>
      <c r="BG46" s="130" t="s">
        <v>552</v>
      </c>
      <c r="BH46" s="130"/>
      <c r="BI46" s="130"/>
      <c r="BJ46" s="130"/>
      <c r="BK46" s="130"/>
      <c r="BM46" s="56"/>
      <c r="BN46" s="56"/>
      <c r="BO46" s="56"/>
      <c r="BP46" s="56"/>
      <c r="BQ46" s="56"/>
    </row>
    <row r="47" spans="1:69" x14ac:dyDescent="0.2">
      <c r="A47" s="2"/>
      <c r="D47" s="2" t="s">
        <v>473</v>
      </c>
      <c r="E47" s="2" t="s">
        <v>412</v>
      </c>
      <c r="F47" s="2" t="s">
        <v>472</v>
      </c>
      <c r="G47" s="2" t="s">
        <v>445</v>
      </c>
      <c r="H47" s="2" t="s">
        <v>474</v>
      </c>
      <c r="I47" s="2" t="s">
        <v>40</v>
      </c>
      <c r="K47" s="119" t="s">
        <v>476</v>
      </c>
      <c r="L47" s="119"/>
      <c r="M47" s="119"/>
      <c r="N47" s="119"/>
      <c r="O47" s="119"/>
      <c r="Q47" s="119" t="s">
        <v>477</v>
      </c>
      <c r="R47" s="119"/>
      <c r="S47" s="119"/>
      <c r="T47" s="119"/>
      <c r="U47" s="119"/>
      <c r="W47" s="119" t="s">
        <v>475</v>
      </c>
      <c r="X47" s="119"/>
      <c r="Y47" s="119"/>
      <c r="Z47" s="119"/>
      <c r="AA47" s="119"/>
      <c r="AC47" s="119" t="s">
        <v>478</v>
      </c>
      <c r="AD47" s="119"/>
      <c r="AE47" s="119"/>
      <c r="AF47" s="119"/>
      <c r="AG47" s="119"/>
      <c r="AI47" s="134" t="s">
        <v>551</v>
      </c>
      <c r="AJ47" s="134"/>
      <c r="AK47" s="134"/>
      <c r="AL47" s="134"/>
      <c r="AM47" s="134"/>
      <c r="AO47" s="119" t="s">
        <v>479</v>
      </c>
      <c r="AP47" s="119"/>
      <c r="AQ47" s="119"/>
      <c r="AR47" s="119"/>
      <c r="AS47" s="119"/>
      <c r="AU47" s="119" t="s">
        <v>481</v>
      </c>
      <c r="AV47" s="119"/>
      <c r="AW47" s="119"/>
      <c r="AX47" s="119"/>
      <c r="AY47" s="119"/>
      <c r="BA47" s="119" t="s">
        <v>478</v>
      </c>
      <c r="BB47" s="119"/>
      <c r="BC47" s="119"/>
      <c r="BD47" s="119"/>
      <c r="BE47" s="119"/>
      <c r="BG47" s="119" t="s">
        <v>551</v>
      </c>
      <c r="BH47" s="119"/>
      <c r="BI47" s="119"/>
      <c r="BJ47" s="119"/>
      <c r="BK47" s="119"/>
      <c r="BM47" s="56"/>
      <c r="BN47" s="56"/>
      <c r="BO47" s="56"/>
      <c r="BP47" s="56"/>
      <c r="BQ47" s="56"/>
    </row>
    <row r="48" spans="1:69" x14ac:dyDescent="0.2">
      <c r="A48" s="2" t="s">
        <v>429</v>
      </c>
      <c r="D48">
        <v>30</v>
      </c>
      <c r="E48">
        <f>(B37+C37)*$D48</f>
        <v>6630</v>
      </c>
      <c r="F48">
        <f>(E48/E37)*F37*0.001</f>
        <v>122.88</v>
      </c>
      <c r="G48">
        <v>55</v>
      </c>
      <c r="H48">
        <f>D48</f>
        <v>30</v>
      </c>
      <c r="I48" t="s">
        <v>565</v>
      </c>
      <c r="K48">
        <f>(($E48*K$4)*0.000000000001)</f>
        <v>2.2608300000000001E-3</v>
      </c>
      <c r="L48">
        <f>(($E48*L$4)*0.000000000001)</f>
        <v>4.8001199999999997</v>
      </c>
      <c r="M48">
        <f t="shared" ref="L48:O53" si="66">(($E48*M$4)*0.000000000001)</f>
        <v>102.765</v>
      </c>
      <c r="N48">
        <f t="shared" si="66"/>
        <v>9.4809000000000001</v>
      </c>
      <c r="O48">
        <f t="shared" si="66"/>
        <v>25.856999999999999</v>
      </c>
      <c r="Q48">
        <f>($H48*Q$5*$F37)*0.000000000001</f>
        <v>5.7153945599999999E-3</v>
      </c>
      <c r="R48">
        <f t="shared" ref="R48:U48" si="67">($H48*R$5*$F37)*0.000000000001</f>
        <v>0.75123916800000001</v>
      </c>
      <c r="S48">
        <f t="shared" si="67"/>
        <v>14.85586563072</v>
      </c>
      <c r="T48">
        <f t="shared" si="67"/>
        <v>3.0706394726399999</v>
      </c>
      <c r="U48">
        <f t="shared" si="67"/>
        <v>9.5717031935999994</v>
      </c>
      <c r="W48">
        <f>(K48+Q48)/W37</f>
        <v>122.87999999999998</v>
      </c>
      <c r="X48">
        <f t="shared" ref="X48:AA48" si="68">(L48+R48)/X37</f>
        <v>122.87999999999998</v>
      </c>
      <c r="Y48">
        <f t="shared" si="68"/>
        <v>122.88000000000001</v>
      </c>
      <c r="Z48">
        <f t="shared" si="68"/>
        <v>122.87999999999998</v>
      </c>
      <c r="AA48">
        <f t="shared" si="68"/>
        <v>122.88000000000001</v>
      </c>
      <c r="AC48">
        <f>AC37/W48</f>
        <v>125.37259858691843</v>
      </c>
      <c r="AD48">
        <f t="shared" ref="AD48:AG48" si="69">AD37/X48</f>
        <v>0.18013606573401958</v>
      </c>
      <c r="AE48">
        <f>AE37/Y48</f>
        <v>8.5018928796152457E-3</v>
      </c>
      <c r="AF48">
        <f t="shared" si="69"/>
        <v>7.967150182492054E-2</v>
      </c>
      <c r="AG48">
        <f t="shared" si="69"/>
        <v>2.8225701475312379E-2</v>
      </c>
      <c r="AI48">
        <f>AC48/G48</f>
        <v>2.2795017924894259</v>
      </c>
      <c r="AJ48">
        <f>AD48/G48</f>
        <v>3.2752011951639923E-3</v>
      </c>
      <c r="AK48">
        <f>AE48/G48</f>
        <v>1.5457987053845901E-4</v>
      </c>
      <c r="AL48">
        <f>AF48/G48</f>
        <v>1.4485727604531006E-3</v>
      </c>
      <c r="AM48">
        <f>AG48/G48</f>
        <v>5.1319457227840687E-4</v>
      </c>
      <c r="AO48">
        <f>K48*$AP$29</f>
        <v>0.14469312000000001</v>
      </c>
      <c r="AP48">
        <f t="shared" ref="AP48:AS48" si="70">L48*$AP$29</f>
        <v>307.20767999999998</v>
      </c>
      <c r="AQ48">
        <f t="shared" si="70"/>
        <v>6576.96</v>
      </c>
      <c r="AR48">
        <f t="shared" si="70"/>
        <v>606.77760000000001</v>
      </c>
      <c r="AS48">
        <f t="shared" si="70"/>
        <v>1654.848</v>
      </c>
      <c r="AU48">
        <f>(AO48+Q48)/BA37</f>
        <v>47.567109588424287</v>
      </c>
      <c r="AV48">
        <f t="shared" ref="AV48:AY48" si="71">(AP48+R48)/BB37</f>
        <v>111.54256472520049</v>
      </c>
      <c r="AW48">
        <f t="shared" si="71"/>
        <v>112.33166642668117</v>
      </c>
      <c r="AX48">
        <f t="shared" si="71"/>
        <v>101.57089977762148</v>
      </c>
      <c r="AY48">
        <f t="shared" si="71"/>
        <v>99.127501770656224</v>
      </c>
      <c r="BA48">
        <f>BG37/AU48</f>
        <v>425.50782571866654</v>
      </c>
      <c r="BB48">
        <f t="shared" ref="BB48:BE48" si="72">BH37/AV48</f>
        <v>0.20781992667368163</v>
      </c>
      <c r="BC48">
        <f t="shared" si="72"/>
        <v>9.7090090658769231E-3</v>
      </c>
      <c r="BD48">
        <f>BJ37/AX48</f>
        <v>0.10494414160372643</v>
      </c>
      <c r="BE48">
        <f t="shared" si="72"/>
        <v>3.8451839927874085E-2</v>
      </c>
      <c r="BG48">
        <f>BA48/G48</f>
        <v>7.7365059221575736</v>
      </c>
      <c r="BH48">
        <f>BB48/G48</f>
        <v>3.7785441213396657E-3</v>
      </c>
      <c r="BI48">
        <f>BC48/G48</f>
        <v>1.765274375613986E-4</v>
      </c>
      <c r="BJ48">
        <f>BD48/G48</f>
        <v>1.9080753018859353E-3</v>
      </c>
      <c r="BK48">
        <f>BE48/G48</f>
        <v>6.9912436232498335E-4</v>
      </c>
      <c r="BM48" s="56"/>
      <c r="BN48" s="56"/>
      <c r="BO48" s="56"/>
      <c r="BP48" s="56"/>
      <c r="BQ48" s="56"/>
    </row>
    <row r="49" spans="1:69" x14ac:dyDescent="0.2">
      <c r="A49" s="2" t="s">
        <v>430</v>
      </c>
      <c r="D49">
        <v>102.4</v>
      </c>
      <c r="E49">
        <f t="shared" ref="E49:E52" si="73">(B38+C38)*$D49</f>
        <v>21606.400000000001</v>
      </c>
      <c r="F49">
        <f t="shared" ref="F49:F53" si="74">(E49/E38)*F38*0.001</f>
        <v>167.77216000000001</v>
      </c>
      <c r="G49">
        <v>64.599999999999994</v>
      </c>
      <c r="H49">
        <f t="shared" ref="H49:H52" si="75">D49</f>
        <v>102.4</v>
      </c>
      <c r="I49" t="s">
        <v>565</v>
      </c>
      <c r="K49">
        <f t="shared" ref="K49:K53" si="76">(($E49*K$4)*0.000000000001)</f>
        <v>7.3677824000000008E-3</v>
      </c>
      <c r="L49">
        <f t="shared" si="66"/>
        <v>15.643033600000001</v>
      </c>
      <c r="M49">
        <f t="shared" si="66"/>
        <v>334.89920000000001</v>
      </c>
      <c r="N49">
        <f t="shared" si="66"/>
        <v>30.897152000000002</v>
      </c>
      <c r="O49">
        <f t="shared" si="66"/>
        <v>84.264960000000002</v>
      </c>
      <c r="Q49">
        <f t="shared" ref="Q49:U49" si="77">($H49*Q$5*$F38)*0.000000000001</f>
        <v>9.7542733823999996E-3</v>
      </c>
      <c r="R49">
        <f t="shared" si="77"/>
        <v>1.2821148467199999</v>
      </c>
      <c r="S49">
        <f t="shared" si="77"/>
        <v>25.3540106764288</v>
      </c>
      <c r="T49">
        <f t="shared" si="77"/>
        <v>5.2405580333056001</v>
      </c>
      <c r="U49">
        <f t="shared" si="77"/>
        <v>16.335706783744001</v>
      </c>
      <c r="W49">
        <f t="shared" ref="W49:W52" si="78">(K49+Q49)/W38</f>
        <v>103.13907067010999</v>
      </c>
      <c r="X49">
        <f t="shared" ref="X49:X52" si="79">(L49+R49)/X38</f>
        <v>154.86747671331636</v>
      </c>
      <c r="Y49">
        <f t="shared" ref="Y49:Y52" si="80">(M49+S49)/Y38</f>
        <v>155.71714058406187</v>
      </c>
      <c r="Z49">
        <f t="shared" ref="Z49:Z52" si="81">(N49+T49)/Z38</f>
        <v>144.69129894942458</v>
      </c>
      <c r="AA49">
        <f t="shared" ref="AA49:AA52" si="82">(O49+U49)/AA38</f>
        <v>142.34628573959168</v>
      </c>
      <c r="AC49">
        <f t="shared" ref="AC49:AC52" si="83">AC38/W49</f>
        <v>58.404201733060226</v>
      </c>
      <c r="AD49">
        <f t="shared" ref="AD49:AD52" si="84">AD38/X49</f>
        <v>5.9083676763484708E-2</v>
      </c>
      <c r="AE49">
        <f t="shared" ref="AE49:AE51" si="85">AE38/Y49</f>
        <v>2.7758253649491473E-3</v>
      </c>
      <c r="AF49">
        <f t="shared" ref="AF49:AF52" si="86">AF38/Z49</f>
        <v>2.7671924952587475E-2</v>
      </c>
      <c r="AG49">
        <f t="shared" ref="AG49:AG52" si="87">AG38/AA49</f>
        <v>9.9402919679414028E-3</v>
      </c>
      <c r="AI49">
        <f t="shared" ref="AI49:AI52" si="88">AC49/G49</f>
        <v>0.90408981010929146</v>
      </c>
      <c r="AJ49">
        <f t="shared" ref="AJ49:AJ53" si="89">AD49/G49</f>
        <v>9.1460799943474786E-4</v>
      </c>
      <c r="AK49">
        <f t="shared" ref="AK49:AK53" si="90">AE49/G49</f>
        <v>4.2969432893949651E-5</v>
      </c>
      <c r="AL49">
        <f t="shared" ref="AL49:AL53" si="91">AF49/G49</f>
        <v>4.2835797140228292E-4</v>
      </c>
      <c r="AM49">
        <f t="shared" ref="AM49:AM53" si="92">AG49/G49</f>
        <v>1.538744886678236E-4</v>
      </c>
      <c r="AO49">
        <f t="shared" ref="AO49:AO51" si="93">K49*$AP$29</f>
        <v>0.47153807360000005</v>
      </c>
      <c r="AP49">
        <f t="shared" ref="AP49:AP51" si="94">L49*$AP$29</f>
        <v>1001.1541504</v>
      </c>
      <c r="AQ49">
        <f t="shared" ref="AQ49:AQ52" si="95">M49*$AP$29</f>
        <v>21433.5488</v>
      </c>
      <c r="AR49">
        <f t="shared" ref="AR49:AR52" si="96">N49*$AP$29</f>
        <v>1977.4177280000001</v>
      </c>
      <c r="AS49">
        <f t="shared" ref="AS49:AS52" si="97">O49*$AP$29</f>
        <v>5392.9574400000001</v>
      </c>
      <c r="AU49">
        <f t="shared" ref="AU49:AU51" si="98">(AO49+Q49)/BA38</f>
        <v>60.012038849859344</v>
      </c>
      <c r="AV49">
        <f t="shared" ref="AV49:AV52" si="99">(AP49+R49)/BB38</f>
        <v>150.69545643203728</v>
      </c>
      <c r="AW49">
        <f t="shared" ref="AW49:AW52" si="100">(AQ49+S49)/BC38</f>
        <v>151.87368697930847</v>
      </c>
      <c r="AX49">
        <f t="shared" ref="AX49:AX52" si="101">(AR49+T49)/BD38</f>
        <v>135.93735449118492</v>
      </c>
      <c r="AY49">
        <f t="shared" ref="AY49:AY52" si="102">(AS49+U49)/BE38</f>
        <v>132.3577179365719</v>
      </c>
      <c r="BA49">
        <f t="shared" ref="BA49:BA51" si="103">BG38/AU49</f>
        <v>132.97531199335768</v>
      </c>
      <c r="BB49">
        <f t="shared" ref="BB49:BB52" si="104">BH38/AV49</f>
        <v>6.3844457965862092E-2</v>
      </c>
      <c r="BC49">
        <f t="shared" ref="BC49:BC52" si="105">BI38/AW49</f>
        <v>2.9824451214792835E-3</v>
      </c>
      <c r="BD49">
        <f t="shared" ref="BD49:BD52" si="106">BJ38/AX49</f>
        <v>3.2279894347323194E-2</v>
      </c>
      <c r="BE49">
        <f t="shared" ref="BE49:BE52" si="107">BK38/AY49</f>
        <v>1.183149041165445E-2</v>
      </c>
      <c r="BG49">
        <f t="shared" ref="BG49:BG51" si="108">BA49/G49</f>
        <v>2.0584413621262798</v>
      </c>
      <c r="BH49">
        <f t="shared" ref="BH49:BH52" si="109">BB49/G49</f>
        <v>9.8830430287712222E-4</v>
      </c>
      <c r="BI49">
        <f t="shared" ref="BI49:BI52" si="110">BC49/G49</f>
        <v>4.6167881137450215E-5</v>
      </c>
      <c r="BJ49">
        <f t="shared" ref="BJ49:BJ52" si="111">BD49/G49</f>
        <v>4.9968876698642725E-4</v>
      </c>
      <c r="BK49">
        <f t="shared" ref="BK49:BK52" si="112">BE49/G49</f>
        <v>1.8315000637235992E-4</v>
      </c>
      <c r="BM49" s="56"/>
      <c r="BN49" s="56"/>
      <c r="BO49" s="56"/>
      <c r="BP49" s="56"/>
      <c r="BQ49" s="56"/>
    </row>
    <row r="50" spans="1:69" x14ac:dyDescent="0.2">
      <c r="A50" s="2" t="s">
        <v>428</v>
      </c>
      <c r="D50">
        <v>7</v>
      </c>
      <c r="E50" s="55">
        <v>150</v>
      </c>
      <c r="F50">
        <f>(E50/E39)*F39*0.001</f>
        <v>10.638961038961039</v>
      </c>
      <c r="G50">
        <v>61</v>
      </c>
      <c r="H50">
        <f t="shared" si="75"/>
        <v>7</v>
      </c>
      <c r="I50" t="s">
        <v>565</v>
      </c>
      <c r="K50">
        <f t="shared" si="76"/>
        <v>5.1149999999999996E-5</v>
      </c>
      <c r="L50">
        <f t="shared" si="66"/>
        <v>0.1086</v>
      </c>
      <c r="M50">
        <f t="shared" si="66"/>
        <v>2.3249999999999997</v>
      </c>
      <c r="N50">
        <f t="shared" si="66"/>
        <v>0.2145</v>
      </c>
      <c r="O50">
        <f t="shared" si="66"/>
        <v>0.58499999999999996</v>
      </c>
      <c r="Q50">
        <f t="shared" ref="Q50:U50" si="113">($H50*Q$5*$F39)*0.000000000001</f>
        <v>6.6679603199999997E-4</v>
      </c>
      <c r="R50">
        <f t="shared" si="113"/>
        <v>8.76445696E-2</v>
      </c>
      <c r="S50">
        <f t="shared" si="113"/>
        <v>1.7331843235839999</v>
      </c>
      <c r="T50">
        <f t="shared" si="113"/>
        <v>0.35824127180799997</v>
      </c>
      <c r="U50">
        <f t="shared" si="113"/>
        <v>1.11669870592</v>
      </c>
      <c r="W50">
        <f t="shared" si="78"/>
        <v>11.405418913108459</v>
      </c>
      <c r="X50">
        <f t="shared" si="79"/>
        <v>10.994239095121072</v>
      </c>
      <c r="Y50">
        <f t="shared" si="80"/>
        <v>10.978211477475257</v>
      </c>
      <c r="Z50">
        <f t="shared" si="81"/>
        <v>11.143280884043174</v>
      </c>
      <c r="AA50">
        <f t="shared" si="82"/>
        <v>11.169302062246803</v>
      </c>
      <c r="AC50">
        <f t="shared" si="83"/>
        <v>1392.8623537541885</v>
      </c>
      <c r="AD50">
        <f t="shared" si="84"/>
        <v>5.0956824030253323</v>
      </c>
      <c r="AE50">
        <f t="shared" si="85"/>
        <v>0.24641561847955851</v>
      </c>
      <c r="AF50">
        <f t="shared" si="86"/>
        <v>1.7459890691013971</v>
      </c>
      <c r="AG50">
        <f t="shared" si="87"/>
        <v>0.587648093355847</v>
      </c>
      <c r="AI50">
        <f t="shared" si="88"/>
        <v>22.833809077937516</v>
      </c>
      <c r="AJ50">
        <f t="shared" si="89"/>
        <v>8.3535777098775937E-2</v>
      </c>
      <c r="AK50">
        <f t="shared" si="90"/>
        <v>4.0396003029435825E-3</v>
      </c>
      <c r="AL50">
        <f t="shared" si="91"/>
        <v>2.8622771624613068E-2</v>
      </c>
      <c r="AM50">
        <f t="shared" si="92"/>
        <v>9.6335753009155253E-3</v>
      </c>
      <c r="AO50">
        <f t="shared" si="93"/>
        <v>3.2735999999999998E-3</v>
      </c>
      <c r="AP50">
        <f t="shared" si="94"/>
        <v>6.9504000000000001</v>
      </c>
      <c r="AQ50">
        <f t="shared" si="95"/>
        <v>148.79999999999998</v>
      </c>
      <c r="AR50">
        <f t="shared" si="96"/>
        <v>13.728</v>
      </c>
      <c r="AS50">
        <f t="shared" si="97"/>
        <v>37.44</v>
      </c>
      <c r="AU50">
        <f t="shared" si="98"/>
        <v>10.770840932428051</v>
      </c>
      <c r="AV50">
        <f t="shared" si="99"/>
        <v>10.648555919183902</v>
      </c>
      <c r="AW50">
        <f t="shared" si="100"/>
        <v>10.647831567921452</v>
      </c>
      <c r="AX50">
        <f t="shared" si="101"/>
        <v>10.658574555430617</v>
      </c>
      <c r="AY50">
        <f t="shared" si="102"/>
        <v>10.66130305202819</v>
      </c>
      <c r="BA50">
        <f t="shared" si="103"/>
        <v>16242.022243514431</v>
      </c>
      <c r="BB50">
        <f t="shared" si="104"/>
        <v>9.0934348833822991</v>
      </c>
      <c r="BC50">
        <f t="shared" si="105"/>
        <v>0.42515542528102318</v>
      </c>
      <c r="BD50">
        <f t="shared" si="106"/>
        <v>4.5434405648076375</v>
      </c>
      <c r="BE50">
        <f t="shared" si="107"/>
        <v>1.6598931482215677</v>
      </c>
      <c r="BG50">
        <f t="shared" si="108"/>
        <v>266.26265972974477</v>
      </c>
      <c r="BH50">
        <f t="shared" si="109"/>
        <v>0.14907270300626721</v>
      </c>
      <c r="BI50">
        <f t="shared" si="110"/>
        <v>6.9697610701807081E-3</v>
      </c>
      <c r="BJ50">
        <f t="shared" si="111"/>
        <v>7.4482632209961264E-2</v>
      </c>
      <c r="BK50">
        <f t="shared" si="112"/>
        <v>2.7211363085599471E-2</v>
      </c>
    </row>
    <row r="51" spans="1:69" x14ac:dyDescent="0.2">
      <c r="A51" s="2" t="s">
        <v>446</v>
      </c>
      <c r="D51">
        <v>85</v>
      </c>
      <c r="E51">
        <f t="shared" si="73"/>
        <v>595</v>
      </c>
      <c r="F51">
        <f t="shared" si="74"/>
        <v>696.32</v>
      </c>
      <c r="G51">
        <v>259.42</v>
      </c>
      <c r="H51">
        <f t="shared" si="75"/>
        <v>85</v>
      </c>
      <c r="I51" t="s">
        <v>565</v>
      </c>
      <c r="K51">
        <f t="shared" si="76"/>
        <v>2.02895E-4</v>
      </c>
      <c r="L51">
        <f t="shared" si="66"/>
        <v>0.43078</v>
      </c>
      <c r="M51">
        <f t="shared" si="66"/>
        <v>9.2225000000000001</v>
      </c>
      <c r="N51">
        <f t="shared" si="66"/>
        <v>0.85085</v>
      </c>
      <c r="O51">
        <f t="shared" si="66"/>
        <v>2.3205</v>
      </c>
      <c r="Q51">
        <f t="shared" ref="Q51:U51" si="114">($H51*Q$5*$F40)*0.000000000001</f>
        <v>3.238723584E-2</v>
      </c>
      <c r="R51">
        <f t="shared" si="114"/>
        <v>4.2570219519999997</v>
      </c>
      <c r="S51">
        <f t="shared" si="114"/>
        <v>84.183238574079994</v>
      </c>
      <c r="T51">
        <f t="shared" si="114"/>
        <v>17.400290344959998</v>
      </c>
      <c r="U51">
        <f t="shared" si="114"/>
        <v>54.239651430400002</v>
      </c>
      <c r="W51">
        <f t="shared" si="78"/>
        <v>147.31774991202929</v>
      </c>
      <c r="X51">
        <f t="shared" si="79"/>
        <v>158.06062669056354</v>
      </c>
      <c r="Y51">
        <f t="shared" si="80"/>
        <v>158.98659338894558</v>
      </c>
      <c r="Z51">
        <f t="shared" si="81"/>
        <v>152.19514707702459</v>
      </c>
      <c r="AA51">
        <f t="shared" si="82"/>
        <v>151.50076832705989</v>
      </c>
      <c r="AC51">
        <f t="shared" si="83"/>
        <v>30.684135786673014</v>
      </c>
      <c r="AD51">
        <f t="shared" si="84"/>
        <v>0.21331959204747561</v>
      </c>
      <c r="AE51">
        <f t="shared" si="85"/>
        <v>1.0705980331250217E-2</v>
      </c>
      <c r="AF51">
        <f t="shared" si="86"/>
        <v>5.4791096945136758E-2</v>
      </c>
      <c r="AG51">
        <f t="shared" si="87"/>
        <v>1.7680292126348852E-2</v>
      </c>
      <c r="AI51">
        <f t="shared" si="88"/>
        <v>0.1182797617248979</v>
      </c>
      <c r="AJ51">
        <f t="shared" si="89"/>
        <v>8.2229431827721686E-4</v>
      </c>
      <c r="AK51">
        <f>AE51/G51</f>
        <v>4.1268908839912947E-5</v>
      </c>
      <c r="AL51">
        <f t="shared" si="91"/>
        <v>2.1120614040990191E-4</v>
      </c>
      <c r="AM51">
        <f t="shared" si="92"/>
        <v>6.8153157529677165E-5</v>
      </c>
      <c r="AO51">
        <f t="shared" si="93"/>
        <v>1.298528E-2</v>
      </c>
      <c r="AP51">
        <f t="shared" si="94"/>
        <v>27.56992</v>
      </c>
      <c r="AQ51">
        <f t="shared" si="95"/>
        <v>590.24</v>
      </c>
      <c r="AR51">
        <f t="shared" si="96"/>
        <v>54.4544</v>
      </c>
      <c r="AS51">
        <f t="shared" si="97"/>
        <v>148.512</v>
      </c>
      <c r="AU51">
        <f t="shared" si="98"/>
        <v>189.38322474680345</v>
      </c>
      <c r="AV51">
        <f t="shared" si="99"/>
        <v>463.72415089748637</v>
      </c>
      <c r="AW51">
        <f t="shared" si="100"/>
        <v>474.30508500817632</v>
      </c>
      <c r="AX51">
        <f t="shared" si="101"/>
        <v>364.92887677942451</v>
      </c>
      <c r="AY51">
        <f t="shared" si="102"/>
        <v>347.60534345794156</v>
      </c>
      <c r="BA51">
        <f t="shared" si="103"/>
        <v>1410.5455431584901</v>
      </c>
      <c r="BB51">
        <f t="shared" si="104"/>
        <v>2.0108749403735362</v>
      </c>
      <c r="BC51">
        <f t="shared" si="105"/>
        <v>9.4895899695440447E-2</v>
      </c>
      <c r="BD51">
        <f t="shared" si="106"/>
        <v>0.89068646309306732</v>
      </c>
      <c r="BE51">
        <f t="shared" si="107"/>
        <v>0.31565710833171551</v>
      </c>
      <c r="BG51">
        <f t="shared" si="108"/>
        <v>5.4373045376551152</v>
      </c>
      <c r="BH51">
        <f t="shared" si="109"/>
        <v>7.7514260287315402E-3</v>
      </c>
      <c r="BI51">
        <f t="shared" si="110"/>
        <v>3.658002455301844E-4</v>
      </c>
      <c r="BJ51">
        <f t="shared" si="111"/>
        <v>3.4333762358070589E-3</v>
      </c>
      <c r="BK51">
        <f t="shared" si="112"/>
        <v>1.2167801570106989E-3</v>
      </c>
    </row>
    <row r="52" spans="1:69" x14ac:dyDescent="0.2">
      <c r="A52" s="2" t="s">
        <v>443</v>
      </c>
      <c r="D52">
        <v>35</v>
      </c>
      <c r="E52">
        <f t="shared" si="73"/>
        <v>875</v>
      </c>
      <c r="F52">
        <f t="shared" si="74"/>
        <v>286.72000000000003</v>
      </c>
      <c r="G52">
        <v>273.38</v>
      </c>
      <c r="H52">
        <f t="shared" si="75"/>
        <v>35</v>
      </c>
      <c r="I52" t="s">
        <v>565</v>
      </c>
      <c r="K52">
        <f t="shared" si="76"/>
        <v>2.9837499999999997E-4</v>
      </c>
      <c r="L52">
        <f t="shared" si="66"/>
        <v>0.63349999999999995</v>
      </c>
      <c r="M52">
        <f t="shared" si="66"/>
        <v>13.5625</v>
      </c>
      <c r="N52">
        <f t="shared" si="66"/>
        <v>1.25125</v>
      </c>
      <c r="O52">
        <f t="shared" si="66"/>
        <v>3.4125000000000001</v>
      </c>
      <c r="Q52">
        <f t="shared" ref="Q52:U53" si="115">($H52*Q$5*$F41)*0.000000000001</f>
        <v>1.333592064E-2</v>
      </c>
      <c r="R52">
        <f t="shared" si="115"/>
        <v>1.752891392</v>
      </c>
      <c r="S52">
        <f t="shared" si="115"/>
        <v>34.663686471680002</v>
      </c>
      <c r="T52">
        <f t="shared" si="115"/>
        <v>7.1648254361600001</v>
      </c>
      <c r="U52">
        <f t="shared" si="115"/>
        <v>22.3339741184</v>
      </c>
      <c r="W52">
        <f t="shared" si="78"/>
        <v>96.988338367923163</v>
      </c>
      <c r="X52">
        <f t="shared" si="79"/>
        <v>116.12456106630886</v>
      </c>
      <c r="Y52">
        <f t="shared" si="80"/>
        <v>117.62648663270495</v>
      </c>
      <c r="Z52">
        <f t="shared" si="81"/>
        <v>106.08837529871118</v>
      </c>
      <c r="AA52">
        <f t="shared" si="82"/>
        <v>104.83689011875416</v>
      </c>
      <c r="AC52">
        <f t="shared" si="83"/>
        <v>73.34445624504589</v>
      </c>
      <c r="AD52">
        <f t="shared" si="84"/>
        <v>0.41904274518938589</v>
      </c>
      <c r="AE52">
        <f>AE41/Y52</f>
        <v>2.0735622556165265E-2</v>
      </c>
      <c r="AF52">
        <f t="shared" si="86"/>
        <v>0.11882022773981572</v>
      </c>
      <c r="AG52">
        <f t="shared" si="87"/>
        <v>3.8840269755047313E-2</v>
      </c>
      <c r="AI52">
        <f t="shared" si="88"/>
        <v>0.26828757131116354</v>
      </c>
      <c r="AJ52">
        <f t="shared" si="89"/>
        <v>1.5328215128736042E-3</v>
      </c>
      <c r="AK52">
        <f t="shared" si="90"/>
        <v>7.5849083898475622E-5</v>
      </c>
      <c r="AL52">
        <f t="shared" si="91"/>
        <v>4.3463394447222083E-4</v>
      </c>
      <c r="AM52">
        <f t="shared" si="92"/>
        <v>1.4207429129800027E-4</v>
      </c>
      <c r="AO52">
        <f>K52*$AP$29</f>
        <v>1.9095999999999998E-2</v>
      </c>
      <c r="AP52">
        <f>L52*$AP$29</f>
        <v>40.543999999999997</v>
      </c>
      <c r="AQ52">
        <f t="shared" si="95"/>
        <v>868</v>
      </c>
      <c r="AR52">
        <f t="shared" si="96"/>
        <v>80.08</v>
      </c>
      <c r="AS52">
        <f t="shared" si="97"/>
        <v>218.4</v>
      </c>
      <c r="AU52">
        <f>(AO52+Q52)/BA41</f>
        <v>157.3314453060926</v>
      </c>
      <c r="AV52">
        <f t="shared" si="99"/>
        <v>264.77416260268967</v>
      </c>
      <c r="AW52">
        <f t="shared" si="100"/>
        <v>266.26966336595439</v>
      </c>
      <c r="AX52">
        <f t="shared" si="101"/>
        <v>246.27088672439868</v>
      </c>
      <c r="AY52">
        <f t="shared" si="102"/>
        <v>241.84576084713274</v>
      </c>
      <c r="BA52">
        <f>BG41/AU52</f>
        <v>1973.3644735509565</v>
      </c>
      <c r="BB52">
        <f t="shared" si="104"/>
        <v>1.5131135621022236</v>
      </c>
      <c r="BC52">
        <f t="shared" si="105"/>
        <v>7.0901268057167968E-2</v>
      </c>
      <c r="BD52">
        <f t="shared" si="106"/>
        <v>0.73356786124617746</v>
      </c>
      <c r="BE52">
        <f t="shared" si="107"/>
        <v>0.26585362632913184</v>
      </c>
      <c r="BG52">
        <f>BA52/G52</f>
        <v>7.2183937140645131</v>
      </c>
      <c r="BH52">
        <f t="shared" si="109"/>
        <v>5.5348363527040149E-3</v>
      </c>
      <c r="BI52">
        <f t="shared" si="110"/>
        <v>2.5935060376460595E-4</v>
      </c>
      <c r="BJ52">
        <f t="shared" si="111"/>
        <v>2.6833267292639459E-3</v>
      </c>
      <c r="BK52">
        <f t="shared" si="112"/>
        <v>9.7246918695270993E-4</v>
      </c>
    </row>
    <row r="53" spans="1:69" x14ac:dyDescent="0.2">
      <c r="A53" s="2" t="s">
        <v>547</v>
      </c>
      <c r="D53">
        <v>0</v>
      </c>
      <c r="E53" s="55">
        <v>30</v>
      </c>
      <c r="F53">
        <f t="shared" si="74"/>
        <v>23.41714285714286</v>
      </c>
      <c r="G53" s="55">
        <v>77</v>
      </c>
      <c r="H53" s="55">
        <v>45</v>
      </c>
      <c r="I53" s="55">
        <v>11</v>
      </c>
      <c r="K53">
        <f t="shared" si="76"/>
        <v>1.023E-5</v>
      </c>
      <c r="L53">
        <f t="shared" si="66"/>
        <v>2.172E-2</v>
      </c>
      <c r="M53">
        <f t="shared" si="66"/>
        <v>0.46499999999999997</v>
      </c>
      <c r="N53">
        <f t="shared" si="66"/>
        <v>4.2900000000000001E-2</v>
      </c>
      <c r="O53">
        <f t="shared" si="66"/>
        <v>0.11699999999999999</v>
      </c>
      <c r="Q53">
        <f t="shared" si="115"/>
        <v>1.0721597399999999E-3</v>
      </c>
      <c r="R53">
        <f t="shared" si="115"/>
        <v>0.14092612199999999</v>
      </c>
      <c r="S53">
        <f t="shared" si="115"/>
        <v>2.7868349008799997</v>
      </c>
      <c r="T53">
        <f t="shared" si="115"/>
        <v>0.57602602656000002</v>
      </c>
      <c r="U53">
        <f t="shared" si="115"/>
        <v>1.7955706644</v>
      </c>
      <c r="W53">
        <f t="shared" ref="W53" si="116">(K53+Q53)/W42</f>
        <v>36.68264804893122</v>
      </c>
      <c r="X53">
        <f t="shared" ref="X53" si="117">(L53+R53)/X42</f>
        <v>34.251920477744029</v>
      </c>
      <c r="Y53">
        <f t="shared" ref="Y53" si="118">(M53+S53)/Y42</f>
        <v>34.079858318273622</v>
      </c>
      <c r="Z53">
        <f t="shared" ref="Z53" si="119">(N53+T53)/Z42</f>
        <v>35.468395453877854</v>
      </c>
      <c r="AA53">
        <f t="shared" ref="AA53" si="120">(O53+U53)/AA42</f>
        <v>35.628752540051167</v>
      </c>
      <c r="AC53">
        <f t="shared" ref="AC53" si="121">AC42/W53</f>
        <v>923.88163250697471</v>
      </c>
      <c r="AD53">
        <f t="shared" ref="AD53" si="122">AD42/X53</f>
        <v>6.1483175110686012</v>
      </c>
      <c r="AE53">
        <f>AE42/Y53</f>
        <v>0.3075186872892543</v>
      </c>
      <c r="AF53">
        <f t="shared" ref="AF53" si="123">AF42/Z53</f>
        <v>1.6157019693581391</v>
      </c>
      <c r="AG53">
        <f t="shared" ref="AG53" si="124">AG42/AA53</f>
        <v>0.52285649812249635</v>
      </c>
      <c r="AI53">
        <f>AC53/G53</f>
        <v>11.99846275983084</v>
      </c>
      <c r="AJ53">
        <f t="shared" si="89"/>
        <v>7.9848279364527291E-2</v>
      </c>
      <c r="AK53">
        <f t="shared" si="90"/>
        <v>3.9937491855747314E-3</v>
      </c>
      <c r="AL53">
        <f t="shared" si="91"/>
        <v>2.0983142459196611E-2</v>
      </c>
      <c r="AM53">
        <f t="shared" si="92"/>
        <v>6.7903441314609916E-3</v>
      </c>
      <c r="AO53">
        <f>K53*$AP$29</f>
        <v>6.5472000000000002E-4</v>
      </c>
      <c r="AP53">
        <f>L53*$AP$29</f>
        <v>1.39008</v>
      </c>
      <c r="AQ53">
        <f t="shared" ref="AQ53" si="125">M53*$AP$29</f>
        <v>29.759999999999998</v>
      </c>
      <c r="AR53">
        <f t="shared" ref="AR53" si="126">N53*$AP$29</f>
        <v>2.7456</v>
      </c>
      <c r="AS53">
        <f t="shared" ref="AS53" si="127">O53*$AP$29</f>
        <v>7.4879999999999995</v>
      </c>
      <c r="AU53">
        <f>(AO53+Q53)/BA42</f>
        <v>30.280727471906228</v>
      </c>
      <c r="AV53">
        <f t="shared" ref="AV53" si="128">(AP53+R53)/BB42</f>
        <v>24.23143645560479</v>
      </c>
      <c r="AW53">
        <f t="shared" ref="AW53" si="129">(AQ53+S53)/BC42</f>
        <v>24.172785511586461</v>
      </c>
      <c r="AX53">
        <f t="shared" ref="AX53" si="130">(AR53+T53)/BD42</f>
        <v>24.999910301759979</v>
      </c>
      <c r="AY53">
        <f t="shared" ref="AY53" si="131">(AS53+U53)/BE42</f>
        <v>25.196287669076714</v>
      </c>
      <c r="BA53">
        <f>BG42/AU53</f>
        <v>37061.063673142642</v>
      </c>
      <c r="BB53">
        <f>BH42/AV53</f>
        <v>41.802576149332992</v>
      </c>
      <c r="BC53">
        <f t="shared" ref="BC53" si="132">BI42/AW53</f>
        <v>1.9663970458236346</v>
      </c>
      <c r="BD53">
        <f t="shared" ref="BD53" si="133">BJ42/AX53</f>
        <v>19.267671763242049</v>
      </c>
      <c r="BE53">
        <f t="shared" ref="BE53" si="134">BK42/AY53</f>
        <v>6.8938991594498029</v>
      </c>
      <c r="BG53">
        <f>BA53/G53</f>
        <v>481.31251523561872</v>
      </c>
      <c r="BH53">
        <f t="shared" ref="BH53" si="135">BB53/G53</f>
        <v>0.54289059934198691</v>
      </c>
      <c r="BI53">
        <f t="shared" ref="BI53" si="136">BC53/G53</f>
        <v>2.5537623971735514E-2</v>
      </c>
      <c r="BJ53">
        <f t="shared" ref="BJ53" si="137">BD53/G53</f>
        <v>0.25022950341872791</v>
      </c>
      <c r="BK53">
        <f t="shared" ref="BK53" si="138">BE53/G53</f>
        <v>8.9531157914932505E-2</v>
      </c>
    </row>
    <row r="54" spans="1:69" x14ac:dyDescent="0.2">
      <c r="A54" s="2" t="s">
        <v>548</v>
      </c>
      <c r="AI54" s="56"/>
      <c r="AJ54" s="56"/>
      <c r="AK54" s="56"/>
      <c r="AL54" s="56"/>
      <c r="AM54" s="56"/>
    </row>
    <row r="55" spans="1:69" x14ac:dyDescent="0.2">
      <c r="A55" s="2"/>
      <c r="AI55" s="56"/>
      <c r="AJ55" s="56"/>
      <c r="AK55" s="56"/>
      <c r="AL55" s="56"/>
      <c r="AM55" s="56"/>
      <c r="BG55" s="130" t="s">
        <v>552</v>
      </c>
      <c r="BH55" s="130"/>
      <c r="BI55" s="130"/>
      <c r="BJ55" s="130"/>
      <c r="BK55" s="130"/>
    </row>
    <row r="56" spans="1:69" x14ac:dyDescent="0.2">
      <c r="A56" s="2"/>
      <c r="AI56" s="135" t="s">
        <v>466</v>
      </c>
      <c r="AJ56" s="135"/>
      <c r="AK56" s="135"/>
      <c r="AL56" s="135"/>
      <c r="AM56" s="135"/>
      <c r="BG56" s="119" t="s">
        <v>550</v>
      </c>
      <c r="BH56" s="119"/>
      <c r="BI56" s="119"/>
      <c r="BJ56" s="119"/>
      <c r="BK56" s="119"/>
    </row>
    <row r="57" spans="1:69" x14ac:dyDescent="0.2">
      <c r="AI57" s="134" t="s">
        <v>550</v>
      </c>
      <c r="AJ57" s="134"/>
      <c r="AK57" s="134"/>
      <c r="AL57" s="134"/>
      <c r="AM57" s="134"/>
      <c r="BG57">
        <f>BG37/G48</f>
        <v>368.00322503076279</v>
      </c>
      <c r="BH57">
        <f>BH37/G48</f>
        <v>0.42146850222155552</v>
      </c>
      <c r="BI57">
        <f>BI37/G48</f>
        <v>1.9829621231303819E-2</v>
      </c>
      <c r="BJ57">
        <f>BJ37/G48</f>
        <v>0.19380492525601117</v>
      </c>
      <c r="BK57">
        <f>BK37/G48</f>
        <v>6.93024514642787E-2</v>
      </c>
    </row>
    <row r="58" spans="1:69" x14ac:dyDescent="0.2">
      <c r="AI58">
        <f>AC37/G48</f>
        <v>280.1051802611006</v>
      </c>
      <c r="AJ58">
        <f>AD37/G48</f>
        <v>0.40245672286175127</v>
      </c>
      <c r="AK58">
        <f>AE37/G48</f>
        <v>1.8994774491765842E-2</v>
      </c>
      <c r="AL58">
        <f>AF37/G48</f>
        <v>0.17800062080447701</v>
      </c>
      <c r="AM58">
        <f>AG37/G48</f>
        <v>6.3061349041570638E-2</v>
      </c>
      <c r="BG58">
        <f t="shared" ref="BG58:BG62" si="139">BG38/G49</f>
        <v>123.5312629940797</v>
      </c>
      <c r="BH58">
        <f t="shared" ref="BH58:BH62" si="140">BH38/G49</f>
        <v>0.14893296801581435</v>
      </c>
      <c r="BI58">
        <f t="shared" ref="BI58:BI62" si="141">BI38/G49</f>
        <v>7.0116863283670337E-3</v>
      </c>
      <c r="BJ58">
        <f t="shared" ref="BJ58:BJ62" si="142">BJ38/G49</f>
        <v>6.7926369053097055E-2</v>
      </c>
      <c r="BK58">
        <f t="shared" ref="BK58:BK62" si="143">BK38/G49</f>
        <v>2.424131688351416E-2</v>
      </c>
    </row>
    <row r="59" spans="1:69" x14ac:dyDescent="0.2">
      <c r="AI59">
        <f t="shared" ref="AI59:AI63" si="144">AC38/G49</f>
        <v>93.246982816988535</v>
      </c>
      <c r="AJ59">
        <f t="shared" ref="AJ59:AJ63" si="145">AD38/G49</f>
        <v>0.14164303305427367</v>
      </c>
      <c r="AK59">
        <f t="shared" ref="AK59:AK63" si="146">AE38/G49</f>
        <v>6.6910772227645699E-3</v>
      </c>
      <c r="AL59">
        <f t="shared" ref="AL59:AL63" si="147">AF38/G49</f>
        <v>6.197967129753678E-2</v>
      </c>
      <c r="AM59">
        <f t="shared" ref="AM59:AM63" si="148">AG38/G49</f>
        <v>2.190346193194358E-2</v>
      </c>
      <c r="BG59">
        <f t="shared" si="139"/>
        <v>2867.8727541942972</v>
      </c>
      <c r="BH59">
        <f t="shared" si="140"/>
        <v>1.5874090139861305</v>
      </c>
      <c r="BI59">
        <f t="shared" si="141"/>
        <v>7.421284194394015E-2</v>
      </c>
      <c r="BJ59">
        <f t="shared" si="142"/>
        <v>0.79387868849459009</v>
      </c>
      <c r="BK59">
        <f t="shared" si="143"/>
        <v>0.29010858831434888</v>
      </c>
    </row>
    <row r="60" spans="1:69" x14ac:dyDescent="0.2">
      <c r="AI60">
        <f t="shared" si="144"/>
        <v>260.42915791581618</v>
      </c>
      <c r="AJ60">
        <f t="shared" si="145"/>
        <v>0.91841230642068195</v>
      </c>
      <c r="AK60">
        <f t="shared" si="146"/>
        <v>4.434758641018776E-2</v>
      </c>
      <c r="AL60">
        <f t="shared" si="147"/>
        <v>0.31895158389288414</v>
      </c>
      <c r="AM60">
        <f t="shared" si="148"/>
        <v>0.10760031247532563</v>
      </c>
      <c r="BG60">
        <f t="shared" si="139"/>
        <v>1029.7342672715531</v>
      </c>
      <c r="BH60">
        <f t="shared" si="140"/>
        <v>3.594523453418208</v>
      </c>
      <c r="BI60">
        <f t="shared" si="141"/>
        <v>0.1735009165522059</v>
      </c>
      <c r="BJ60">
        <f t="shared" si="142"/>
        <v>1.2529381332942386</v>
      </c>
      <c r="BK60">
        <f t="shared" si="143"/>
        <v>0.42295928439051206</v>
      </c>
    </row>
    <row r="61" spans="1:69" x14ac:dyDescent="0.2">
      <c r="A61" t="s">
        <v>431</v>
      </c>
      <c r="AI61">
        <f t="shared" si="144"/>
        <v>17.42470835744292</v>
      </c>
      <c r="AJ61">
        <f t="shared" si="145"/>
        <v>0.12997235527098661</v>
      </c>
      <c r="AK61">
        <f t="shared" si="146"/>
        <v>6.5612032293367014E-3</v>
      </c>
      <c r="AL61">
        <f t="shared" si="147"/>
        <v>3.2144549603255725E-2</v>
      </c>
      <c r="AM61">
        <f t="shared" si="148"/>
        <v>1.0325255729661238E-2</v>
      </c>
      <c r="BG61">
        <f t="shared" si="139"/>
        <v>1135.6803158221835</v>
      </c>
      <c r="BH61">
        <f t="shared" si="140"/>
        <v>1.4654816604301308</v>
      </c>
      <c r="BI61">
        <f t="shared" si="141"/>
        <v>6.905719795815865E-2</v>
      </c>
      <c r="BJ61">
        <f t="shared" si="142"/>
        <v>0.66082525298711237</v>
      </c>
      <c r="BK61">
        <f t="shared" si="143"/>
        <v>0.23518755041897069</v>
      </c>
    </row>
    <row r="62" spans="1:69" x14ac:dyDescent="0.2">
      <c r="A62" t="s">
        <v>432</v>
      </c>
      <c r="AI62">
        <f t="shared" si="144"/>
        <v>26.020765746235448</v>
      </c>
      <c r="AJ62">
        <f t="shared" si="145"/>
        <v>0.17799822537544277</v>
      </c>
      <c r="AK62">
        <f t="shared" si="146"/>
        <v>8.9218612532869588E-3</v>
      </c>
      <c r="AL62">
        <f t="shared" si="147"/>
        <v>4.6109609018728161E-2</v>
      </c>
      <c r="AM62">
        <f t="shared" si="148"/>
        <v>1.4894626865508322E-2</v>
      </c>
      <c r="BG62">
        <f t="shared" si="139"/>
        <v>14574.493102667484</v>
      </c>
      <c r="BH62">
        <f t="shared" si="140"/>
        <v>13.155019060300557</v>
      </c>
      <c r="BI62">
        <f t="shared" si="141"/>
        <v>0.61731550674431135</v>
      </c>
      <c r="BJ62">
        <f t="shared" si="142"/>
        <v>6.25571514032214</v>
      </c>
      <c r="BK62">
        <f t="shared" si="143"/>
        <v>2.255852810170174</v>
      </c>
    </row>
    <row r="63" spans="1:69" x14ac:dyDescent="0.2">
      <c r="A63" s="54" t="s">
        <v>439</v>
      </c>
      <c r="AI63">
        <f t="shared" si="144"/>
        <v>440.1353865470827</v>
      </c>
      <c r="AJ63">
        <f t="shared" si="145"/>
        <v>2.7349569150784783</v>
      </c>
      <c r="AK63">
        <f t="shared" si="146"/>
        <v>0.1361064064031075</v>
      </c>
      <c r="AL63">
        <f t="shared" si="147"/>
        <v>0.74423839460784058</v>
      </c>
      <c r="AM63">
        <f t="shared" si="148"/>
        <v>0.24193149072161232</v>
      </c>
    </row>
    <row r="64" spans="1:69" x14ac:dyDescent="0.2">
      <c r="A64" s="54"/>
    </row>
    <row r="66" spans="4:20" x14ac:dyDescent="0.2">
      <c r="D66" s="131" t="s">
        <v>457</v>
      </c>
      <c r="E66" s="130"/>
      <c r="F66" s="130"/>
      <c r="G66" s="130"/>
      <c r="H66" s="130"/>
      <c r="I66" s="130"/>
    </row>
    <row r="67" spans="4:20" x14ac:dyDescent="0.2">
      <c r="D67" s="130"/>
      <c r="E67" s="130"/>
      <c r="F67" s="130"/>
      <c r="G67" s="130"/>
      <c r="H67" s="130"/>
      <c r="I67" s="130"/>
    </row>
    <row r="68" spans="4:20" x14ac:dyDescent="0.2">
      <c r="D68" s="130"/>
      <c r="E68" s="130"/>
      <c r="F68" s="130"/>
      <c r="G68" s="130"/>
      <c r="H68" s="130"/>
      <c r="I68" s="130"/>
      <c r="P68" s="130" t="s">
        <v>449</v>
      </c>
      <c r="Q68" s="130"/>
      <c r="R68" s="130"/>
      <c r="S68" s="130"/>
      <c r="T68" s="130"/>
    </row>
    <row r="69" spans="4:20" x14ac:dyDescent="0.2">
      <c r="D69" s="130"/>
      <c r="E69" s="130"/>
      <c r="F69" s="130"/>
      <c r="G69" s="130"/>
      <c r="H69" s="130"/>
      <c r="I69" s="130"/>
    </row>
  </sheetData>
  <mergeCells count="37">
    <mergeCell ref="D66:I69"/>
    <mergeCell ref="K35:O35"/>
    <mergeCell ref="P68:T68"/>
    <mergeCell ref="K47:O47"/>
    <mergeCell ref="Q47:U47"/>
    <mergeCell ref="K46:AG46"/>
    <mergeCell ref="AC35:AG35"/>
    <mergeCell ref="Q35:U35"/>
    <mergeCell ref="W35:AA35"/>
    <mergeCell ref="W47:AA47"/>
    <mergeCell ref="AC47:AG47"/>
    <mergeCell ref="AI57:AM57"/>
    <mergeCell ref="AI46:AM46"/>
    <mergeCell ref="AI56:AM56"/>
    <mergeCell ref="AI35:AM35"/>
    <mergeCell ref="BG46:BK46"/>
    <mergeCell ref="BG47:BK47"/>
    <mergeCell ref="BG55:BK55"/>
    <mergeCell ref="BG56:BK56"/>
    <mergeCell ref="AI47:AM47"/>
    <mergeCell ref="AO47:AS47"/>
    <mergeCell ref="AU47:AY47"/>
    <mergeCell ref="BA47:BE47"/>
    <mergeCell ref="AO46:BE46"/>
    <mergeCell ref="BM34:BQ34"/>
    <mergeCell ref="K17:O17"/>
    <mergeCell ref="K16:O16"/>
    <mergeCell ref="H17:I17"/>
    <mergeCell ref="AI34:AM34"/>
    <mergeCell ref="AO34:AS34"/>
    <mergeCell ref="AU34:AY34"/>
    <mergeCell ref="BA34:BE34"/>
    <mergeCell ref="K34:O34"/>
    <mergeCell ref="AC34:AG34"/>
    <mergeCell ref="Q34:U34"/>
    <mergeCell ref="W34:AA34"/>
    <mergeCell ref="BG34:BK3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F4BEC-4D50-134A-8F12-EA0AA95EF684}">
  <dimension ref="D1:R29"/>
  <sheetViews>
    <sheetView tabSelected="1" workbookViewId="0">
      <selection activeCell="F1" sqref="F1"/>
    </sheetView>
  </sheetViews>
  <sheetFormatPr baseColWidth="10" defaultRowHeight="15" x14ac:dyDescent="0.2"/>
  <sheetData>
    <row r="1" spans="4:13" x14ac:dyDescent="0.2">
      <c r="F1">
        <v>4.4999999999999998E-2</v>
      </c>
    </row>
    <row r="3" spans="4:13" x14ac:dyDescent="0.2">
      <c r="D3">
        <v>1768</v>
      </c>
    </row>
    <row r="5" spans="4:13" x14ac:dyDescent="0.2">
      <c r="E5" t="s">
        <v>594</v>
      </c>
      <c r="F5">
        <v>1768</v>
      </c>
    </row>
    <row r="6" spans="4:13" x14ac:dyDescent="0.2">
      <c r="E6" t="s">
        <v>584</v>
      </c>
      <c r="F6">
        <f>F5+F5*$F$1</f>
        <v>1847.56</v>
      </c>
    </row>
    <row r="7" spans="4:13" x14ac:dyDescent="0.2">
      <c r="E7" t="s">
        <v>585</v>
      </c>
      <c r="F7">
        <f>F6+F6*$F$1</f>
        <v>1930.7002</v>
      </c>
    </row>
    <row r="8" spans="4:13" x14ac:dyDescent="0.2">
      <c r="E8" t="s">
        <v>586</v>
      </c>
      <c r="F8">
        <f>F7+F7*$F$1</f>
        <v>2017.581709</v>
      </c>
    </row>
    <row r="9" spans="4:13" x14ac:dyDescent="0.2">
      <c r="E9" t="s">
        <v>587</v>
      </c>
      <c r="F9">
        <f t="shared" ref="F7:F15" si="0">F8+F8*$F$1</f>
        <v>2108.3728859050002</v>
      </c>
      <c r="K9">
        <v>1</v>
      </c>
      <c r="L9">
        <v>6</v>
      </c>
      <c r="M9">
        <f>K9*L9</f>
        <v>6</v>
      </c>
    </row>
    <row r="10" spans="4:13" x14ac:dyDescent="0.2">
      <c r="E10" t="s">
        <v>588</v>
      </c>
      <c r="F10">
        <f t="shared" si="0"/>
        <v>2203.2496657707252</v>
      </c>
      <c r="K10">
        <v>2</v>
      </c>
      <c r="L10">
        <v>7</v>
      </c>
      <c r="M10">
        <f t="shared" ref="M10:M15" si="1">K10*L10</f>
        <v>14</v>
      </c>
    </row>
    <row r="11" spans="4:13" x14ac:dyDescent="0.2">
      <c r="E11" t="s">
        <v>589</v>
      </c>
      <c r="F11">
        <f t="shared" si="0"/>
        <v>2302.3959007304079</v>
      </c>
      <c r="K11">
        <v>3</v>
      </c>
      <c r="L11">
        <v>8</v>
      </c>
      <c r="M11">
        <f t="shared" si="1"/>
        <v>24</v>
      </c>
    </row>
    <row r="12" spans="4:13" x14ac:dyDescent="0.2">
      <c r="E12" t="s">
        <v>590</v>
      </c>
      <c r="F12">
        <f t="shared" si="0"/>
        <v>2406.0037162632761</v>
      </c>
      <c r="K12">
        <v>4</v>
      </c>
      <c r="L12">
        <v>95</v>
      </c>
      <c r="M12">
        <f t="shared" si="1"/>
        <v>380</v>
      </c>
    </row>
    <row r="13" spans="4:13" x14ac:dyDescent="0.2">
      <c r="E13" t="s">
        <v>591</v>
      </c>
      <c r="F13">
        <f t="shared" si="0"/>
        <v>2514.2738834951238</v>
      </c>
      <c r="K13">
        <v>5</v>
      </c>
      <c r="L13">
        <v>6</v>
      </c>
      <c r="M13">
        <f t="shared" si="1"/>
        <v>30</v>
      </c>
    </row>
    <row r="14" spans="4:13" x14ac:dyDescent="0.2">
      <c r="E14" t="s">
        <v>592</v>
      </c>
      <c r="F14">
        <f t="shared" si="0"/>
        <v>2627.4162082524044</v>
      </c>
      <c r="K14">
        <v>6</v>
      </c>
      <c r="L14">
        <v>7</v>
      </c>
      <c r="M14">
        <f t="shared" si="1"/>
        <v>42</v>
      </c>
    </row>
    <row r="15" spans="4:13" x14ac:dyDescent="0.2">
      <c r="E15" t="s">
        <v>593</v>
      </c>
      <c r="F15">
        <f t="shared" si="0"/>
        <v>2745.6499376237625</v>
      </c>
      <c r="K15">
        <v>7</v>
      </c>
      <c r="L15">
        <v>7</v>
      </c>
      <c r="M15">
        <f t="shared" si="1"/>
        <v>49</v>
      </c>
    </row>
    <row r="16" spans="4:13" x14ac:dyDescent="0.2">
      <c r="M16">
        <f>SUM(M9:M15)</f>
        <v>545</v>
      </c>
    </row>
    <row r="18" spans="11:18" x14ac:dyDescent="0.2">
      <c r="O18">
        <v>30</v>
      </c>
    </row>
    <row r="22" spans="11:18" x14ac:dyDescent="0.2">
      <c r="L22">
        <v>6</v>
      </c>
      <c r="M22">
        <v>7</v>
      </c>
      <c r="N22">
        <v>8</v>
      </c>
      <c r="O22">
        <v>95</v>
      </c>
      <c r="P22">
        <v>6</v>
      </c>
      <c r="Q22">
        <v>7</v>
      </c>
      <c r="R22">
        <v>7</v>
      </c>
    </row>
    <row r="23" spans="11:18" x14ac:dyDescent="0.2">
      <c r="K23">
        <v>1</v>
      </c>
      <c r="L23">
        <f>$K23+L$22+$O$18</f>
        <v>37</v>
      </c>
      <c r="M23">
        <f>$K23+M$22+$O$18</f>
        <v>38</v>
      </c>
      <c r="N23">
        <f t="shared" ref="M23:R23" si="2">$K23+N$22+$O$18</f>
        <v>39</v>
      </c>
      <c r="O23">
        <f t="shared" si="2"/>
        <v>126</v>
      </c>
      <c r="P23">
        <f t="shared" si="2"/>
        <v>37</v>
      </c>
      <c r="Q23">
        <f t="shared" si="2"/>
        <v>38</v>
      </c>
      <c r="R23">
        <f t="shared" si="2"/>
        <v>38</v>
      </c>
    </row>
    <row r="24" spans="11:18" x14ac:dyDescent="0.2">
      <c r="K24">
        <v>2</v>
      </c>
      <c r="L24">
        <f>$K24+L$22+$O$18</f>
        <v>38</v>
      </c>
      <c r="M24">
        <f t="shared" ref="L24:R29" si="3">$K24+M$22+$O$18</f>
        <v>39</v>
      </c>
      <c r="N24">
        <f t="shared" si="3"/>
        <v>40</v>
      </c>
      <c r="O24">
        <f t="shared" si="3"/>
        <v>127</v>
      </c>
      <c r="P24">
        <f t="shared" si="3"/>
        <v>38</v>
      </c>
      <c r="Q24">
        <f t="shared" si="3"/>
        <v>39</v>
      </c>
      <c r="R24">
        <f t="shared" si="3"/>
        <v>39</v>
      </c>
    </row>
    <row r="25" spans="11:18" x14ac:dyDescent="0.2">
      <c r="K25">
        <v>3</v>
      </c>
      <c r="L25">
        <f t="shared" si="3"/>
        <v>39</v>
      </c>
      <c r="M25">
        <f t="shared" si="3"/>
        <v>40</v>
      </c>
      <c r="N25">
        <f t="shared" si="3"/>
        <v>41</v>
      </c>
      <c r="O25">
        <f t="shared" si="3"/>
        <v>128</v>
      </c>
      <c r="P25">
        <f t="shared" si="3"/>
        <v>39</v>
      </c>
      <c r="Q25">
        <f t="shared" si="3"/>
        <v>40</v>
      </c>
      <c r="R25">
        <f t="shared" si="3"/>
        <v>40</v>
      </c>
    </row>
    <row r="26" spans="11:18" x14ac:dyDescent="0.2">
      <c r="K26">
        <v>4</v>
      </c>
      <c r="L26">
        <f t="shared" si="3"/>
        <v>40</v>
      </c>
      <c r="M26">
        <f t="shared" si="3"/>
        <v>41</v>
      </c>
      <c r="N26">
        <f t="shared" si="3"/>
        <v>42</v>
      </c>
      <c r="O26">
        <f t="shared" si="3"/>
        <v>129</v>
      </c>
      <c r="P26">
        <f t="shared" si="3"/>
        <v>40</v>
      </c>
      <c r="Q26">
        <f t="shared" si="3"/>
        <v>41</v>
      </c>
      <c r="R26">
        <f t="shared" si="3"/>
        <v>41</v>
      </c>
    </row>
    <row r="27" spans="11:18" x14ac:dyDescent="0.2">
      <c r="K27">
        <v>5</v>
      </c>
      <c r="L27">
        <f t="shared" si="3"/>
        <v>41</v>
      </c>
      <c r="M27">
        <f t="shared" si="3"/>
        <v>42</v>
      </c>
      <c r="N27">
        <f t="shared" si="3"/>
        <v>43</v>
      </c>
      <c r="O27">
        <f t="shared" si="3"/>
        <v>130</v>
      </c>
      <c r="P27">
        <f t="shared" si="3"/>
        <v>41</v>
      </c>
      <c r="Q27">
        <f t="shared" si="3"/>
        <v>42</v>
      </c>
      <c r="R27">
        <f t="shared" si="3"/>
        <v>42</v>
      </c>
    </row>
    <row r="28" spans="11:18" x14ac:dyDescent="0.2">
      <c r="K28">
        <v>6</v>
      </c>
      <c r="L28">
        <f t="shared" si="3"/>
        <v>42</v>
      </c>
      <c r="M28">
        <f t="shared" si="3"/>
        <v>43</v>
      </c>
      <c r="N28">
        <f t="shared" si="3"/>
        <v>44</v>
      </c>
      <c r="O28">
        <f t="shared" si="3"/>
        <v>131</v>
      </c>
      <c r="P28">
        <f t="shared" si="3"/>
        <v>42</v>
      </c>
      <c r="Q28">
        <f t="shared" si="3"/>
        <v>43</v>
      </c>
      <c r="R28">
        <f t="shared" si="3"/>
        <v>43</v>
      </c>
    </row>
    <row r="29" spans="11:18" x14ac:dyDescent="0.2">
      <c r="K29">
        <v>7</v>
      </c>
      <c r="L29">
        <f t="shared" si="3"/>
        <v>43</v>
      </c>
      <c r="M29">
        <f t="shared" si="3"/>
        <v>44</v>
      </c>
      <c r="N29">
        <f t="shared" si="3"/>
        <v>45</v>
      </c>
      <c r="O29">
        <f t="shared" si="3"/>
        <v>132</v>
      </c>
      <c r="P29">
        <f t="shared" si="3"/>
        <v>43</v>
      </c>
      <c r="Q29">
        <f t="shared" si="3"/>
        <v>44</v>
      </c>
      <c r="R29">
        <f t="shared" si="3"/>
        <v>44</v>
      </c>
    </row>
  </sheetData>
  <phoneticPr fontId="3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D0E-7F39-4CC7-861B-06B51654C465}">
  <dimension ref="D3:BT69"/>
  <sheetViews>
    <sheetView topLeftCell="A31" zoomScale="85" zoomScaleNormal="85" workbookViewId="0">
      <selection activeCell="H51" sqref="H51"/>
    </sheetView>
  </sheetViews>
  <sheetFormatPr baseColWidth="10" defaultColWidth="8.83203125" defaultRowHeight="15" x14ac:dyDescent="0.2"/>
  <cols>
    <col min="4" max="4" width="61.33203125" bestFit="1" customWidth="1"/>
    <col min="5" max="5" width="17" customWidth="1"/>
    <col min="6" max="6" width="14.6640625" customWidth="1"/>
    <col min="7" max="7" width="15.6640625" customWidth="1"/>
    <col min="8" max="8" width="20.33203125" customWidth="1"/>
    <col min="9" max="10" width="20.33203125" bestFit="1" customWidth="1"/>
    <col min="11" max="11" width="21.83203125" customWidth="1"/>
    <col min="12" max="12" width="19.6640625" customWidth="1"/>
    <col min="13" max="13" width="11.83203125" style="14" bestFit="1" customWidth="1"/>
    <col min="14" max="14" width="11.6640625" bestFit="1" customWidth="1"/>
    <col min="15" max="15" width="9.6640625" bestFit="1" customWidth="1"/>
    <col min="16" max="16" width="11.6640625" bestFit="1" customWidth="1"/>
    <col min="17" max="18" width="10.6640625" bestFit="1" customWidth="1"/>
    <col min="19" max="30" width="10.6640625" customWidth="1"/>
    <col min="38" max="38" width="10.6640625" bestFit="1" customWidth="1"/>
    <col min="39" max="39" width="11.6640625" bestFit="1" customWidth="1"/>
    <col min="40" max="40" width="14.83203125" bestFit="1" customWidth="1"/>
    <col min="41" max="42" width="9.6640625" bestFit="1" customWidth="1"/>
    <col min="44" max="44" width="12.1640625" bestFit="1" customWidth="1"/>
    <col min="50" max="50" width="11.33203125" bestFit="1" customWidth="1"/>
  </cols>
  <sheetData>
    <row r="3" spans="4:30" x14ac:dyDescent="0.2">
      <c r="F3" s="2" t="s">
        <v>414</v>
      </c>
      <c r="N3" s="2" t="s">
        <v>417</v>
      </c>
      <c r="O3" s="2" t="s">
        <v>418</v>
      </c>
      <c r="P3" s="2" t="s">
        <v>419</v>
      </c>
      <c r="Q3" s="2" t="s">
        <v>420</v>
      </c>
      <c r="R3" s="2" t="s">
        <v>421</v>
      </c>
      <c r="S3" s="2"/>
      <c r="T3" s="2" t="s">
        <v>417</v>
      </c>
      <c r="U3" s="2" t="s">
        <v>418</v>
      </c>
      <c r="V3" s="2" t="s">
        <v>419</v>
      </c>
      <c r="W3" s="2" t="s">
        <v>420</v>
      </c>
      <c r="X3" s="2" t="s">
        <v>421</v>
      </c>
      <c r="Y3" s="2"/>
      <c r="Z3" s="2"/>
      <c r="AA3" s="2"/>
      <c r="AB3" s="2"/>
      <c r="AC3" s="2"/>
      <c r="AD3" s="2"/>
    </row>
    <row r="4" spans="4:30" ht="16" x14ac:dyDescent="0.2">
      <c r="F4">
        <v>512</v>
      </c>
      <c r="M4" s="13" t="s">
        <v>422</v>
      </c>
      <c r="N4">
        <v>341000</v>
      </c>
      <c r="O4">
        <f>724*1000000</f>
        <v>724000000</v>
      </c>
      <c r="P4">
        <f>15.5*1000000000</f>
        <v>15500000000</v>
      </c>
      <c r="Q4">
        <f>1.43*1000000000</f>
        <v>1430000000</v>
      </c>
      <c r="R4">
        <f>3.9*1000000000</f>
        <v>3900000000</v>
      </c>
      <c r="T4">
        <f>N4*0.000008</f>
        <v>2.7279999999999998</v>
      </c>
      <c r="U4">
        <f>O4*0.00005</f>
        <v>36200</v>
      </c>
      <c r="V4">
        <f>P4*0.00003</f>
        <v>465000</v>
      </c>
      <c r="W4">
        <f>Q4*0.00006</f>
        <v>85800</v>
      </c>
      <c r="X4">
        <f>R4*0.00008</f>
        <v>312000</v>
      </c>
    </row>
    <row r="5" spans="4:30" ht="16" x14ac:dyDescent="0.2">
      <c r="M5" s="13" t="s">
        <v>435</v>
      </c>
      <c r="N5">
        <v>60000</v>
      </c>
      <c r="O5">
        <f>61*1000000</f>
        <v>61000000</v>
      </c>
      <c r="P5">
        <f>138*1000000</f>
        <v>138000000</v>
      </c>
      <c r="Q5">
        <f>7*1000000</f>
        <v>7000000</v>
      </c>
      <c r="R5" s="57">
        <f>25.5*1000000</f>
        <v>25500000</v>
      </c>
      <c r="S5" s="58" t="s">
        <v>447</v>
      </c>
      <c r="T5" s="60">
        <v>5814</v>
      </c>
      <c r="U5" s="61">
        <v>764200</v>
      </c>
      <c r="V5" s="61">
        <v>15112168</v>
      </c>
      <c r="W5" s="61">
        <v>3123616</v>
      </c>
      <c r="X5" s="62">
        <v>9736840</v>
      </c>
    </row>
    <row r="6" spans="4:30" ht="64" x14ac:dyDescent="0.2">
      <c r="M6" s="13" t="s">
        <v>441</v>
      </c>
      <c r="N6">
        <f>(N5*8)/(1024*1024)</f>
        <v>0.457763671875</v>
      </c>
      <c r="O6">
        <f t="shared" ref="O6:R6" si="0">(O5*8)/(1024*1024)</f>
        <v>465.39306640625</v>
      </c>
      <c r="P6">
        <f t="shared" si="0"/>
        <v>1052.8564453125</v>
      </c>
      <c r="Q6">
        <f t="shared" si="0"/>
        <v>53.40576171875</v>
      </c>
      <c r="R6">
        <f t="shared" si="0"/>
        <v>194.549560546875</v>
      </c>
      <c r="S6" s="59" t="s">
        <v>441</v>
      </c>
      <c r="T6" s="55">
        <f>(T5*8)/(1024*1024)</f>
        <v>4.43572998046875E-2</v>
      </c>
      <c r="U6" s="55">
        <f t="shared" ref="U6:X6" si="1">(U5*8)/(1024*1024)</f>
        <v>5.83038330078125</v>
      </c>
      <c r="V6" s="55">
        <f t="shared" si="1"/>
        <v>115.29669189453125</v>
      </c>
      <c r="W6" s="55">
        <f t="shared" si="1"/>
        <v>23.831298828125</v>
      </c>
      <c r="X6" s="55">
        <f t="shared" si="1"/>
        <v>74.28619384765625</v>
      </c>
    </row>
    <row r="7" spans="4:30" ht="80" x14ac:dyDescent="0.2">
      <c r="M7" s="13" t="s">
        <v>440</v>
      </c>
      <c r="N7">
        <f>(N5*256)/(1024*1024)</f>
        <v>14.6484375</v>
      </c>
      <c r="O7">
        <f t="shared" ref="O7:R7" si="2">(O5*256)/(1024*1024)</f>
        <v>14892.578125</v>
      </c>
      <c r="P7">
        <f t="shared" si="2"/>
        <v>33691.40625</v>
      </c>
      <c r="Q7">
        <f t="shared" si="2"/>
        <v>1708.984375</v>
      </c>
      <c r="R7">
        <f t="shared" si="2"/>
        <v>6225.5859375</v>
      </c>
      <c r="S7" s="59" t="s">
        <v>440</v>
      </c>
      <c r="T7" s="55">
        <f>(T5*256)/(1024*1024)</f>
        <v>1.41943359375</v>
      </c>
      <c r="U7" s="55">
        <f t="shared" ref="U7:X7" si="3">(U5*256)/(1024*1024)</f>
        <v>186.572265625</v>
      </c>
      <c r="V7" s="55">
        <f t="shared" si="3"/>
        <v>3689.494140625</v>
      </c>
      <c r="W7" s="55">
        <f t="shared" si="3"/>
        <v>762.6015625</v>
      </c>
      <c r="X7" s="55">
        <f t="shared" si="3"/>
        <v>2377.158203125</v>
      </c>
    </row>
    <row r="8" spans="4:30" x14ac:dyDescent="0.2">
      <c r="M8" s="13"/>
    </row>
    <row r="9" spans="4:30" x14ac:dyDescent="0.2">
      <c r="M9" s="13"/>
    </row>
    <row r="10" spans="4:30" x14ac:dyDescent="0.2">
      <c r="M10" s="13"/>
    </row>
    <row r="11" spans="4:30" x14ac:dyDescent="0.2">
      <c r="M11" s="13"/>
    </row>
    <row r="12" spans="4:30" x14ac:dyDescent="0.2">
      <c r="M12" s="13"/>
    </row>
    <row r="13" spans="4:30" x14ac:dyDescent="0.2">
      <c r="M13" s="13"/>
    </row>
    <row r="14" spans="4:30" x14ac:dyDescent="0.2">
      <c r="M14" s="13"/>
    </row>
    <row r="16" spans="4:30" x14ac:dyDescent="0.2">
      <c r="D16" s="63"/>
      <c r="E16" s="63"/>
      <c r="F16" s="63"/>
      <c r="G16" s="63"/>
      <c r="H16" s="63"/>
      <c r="I16" s="63"/>
      <c r="J16" s="63"/>
      <c r="K16" s="63"/>
      <c r="L16" s="63"/>
      <c r="M16" s="64"/>
      <c r="N16" s="133" t="s">
        <v>423</v>
      </c>
      <c r="O16" s="133"/>
      <c r="P16" s="133"/>
      <c r="Q16" s="133"/>
      <c r="R16" s="133"/>
      <c r="S16" s="53"/>
      <c r="T16" s="53"/>
      <c r="U16" s="53"/>
      <c r="V16" s="53"/>
      <c r="W16" s="53"/>
      <c r="X16" s="53"/>
      <c r="Y16" s="53"/>
      <c r="Z16" s="53"/>
      <c r="AA16" s="53"/>
      <c r="AB16" s="53"/>
      <c r="AC16" s="53"/>
      <c r="AD16" s="53"/>
    </row>
    <row r="17" spans="4:45" x14ac:dyDescent="0.2">
      <c r="D17" s="63"/>
      <c r="E17" s="63"/>
      <c r="F17" s="63"/>
      <c r="G17" s="63"/>
      <c r="H17" s="63"/>
      <c r="I17" s="63"/>
      <c r="J17" s="63"/>
      <c r="K17" s="133" t="s">
        <v>426</v>
      </c>
      <c r="L17" s="133"/>
      <c r="M17" s="64"/>
      <c r="N17" s="133" t="s">
        <v>427</v>
      </c>
      <c r="O17" s="133"/>
      <c r="P17" s="133"/>
      <c r="Q17" s="133"/>
      <c r="R17" s="133"/>
      <c r="S17" s="53"/>
      <c r="T17" s="53"/>
      <c r="U17" s="53"/>
      <c r="V17" s="53"/>
      <c r="W17" s="53"/>
      <c r="X17" s="53"/>
      <c r="Y17" s="53"/>
      <c r="Z17" s="53"/>
      <c r="AA17" s="53"/>
      <c r="AB17" s="53"/>
      <c r="AC17" s="53"/>
      <c r="AD17" s="53"/>
    </row>
    <row r="18" spans="4:45" s="2" customFormat="1" ht="16" x14ac:dyDescent="0.2">
      <c r="D18" s="65"/>
      <c r="E18" s="65" t="s">
        <v>415</v>
      </c>
      <c r="F18" s="65" t="s">
        <v>416</v>
      </c>
      <c r="G18" s="65" t="s">
        <v>409</v>
      </c>
      <c r="H18" s="65" t="s">
        <v>410</v>
      </c>
      <c r="I18" s="65" t="s">
        <v>411</v>
      </c>
      <c r="J18" s="65" t="s">
        <v>412</v>
      </c>
      <c r="K18" s="66" t="s">
        <v>424</v>
      </c>
      <c r="L18" s="67" t="s">
        <v>425</v>
      </c>
      <c r="M18" s="68" t="s">
        <v>413</v>
      </c>
      <c r="N18" s="65" t="s">
        <v>417</v>
      </c>
      <c r="O18" s="65" t="s">
        <v>418</v>
      </c>
      <c r="P18" s="65" t="s">
        <v>419</v>
      </c>
      <c r="Q18" s="65" t="s">
        <v>420</v>
      </c>
      <c r="R18" s="65" t="s">
        <v>421</v>
      </c>
    </row>
    <row r="19" spans="4:45" x14ac:dyDescent="0.2">
      <c r="D19" s="65" t="s">
        <v>374</v>
      </c>
      <c r="E19" s="63">
        <v>1.43E-7</v>
      </c>
      <c r="F19" s="63">
        <v>4.6500000000000005E-7</v>
      </c>
      <c r="G19" s="63">
        <f>(E19+F19)*1000000000</f>
        <v>608</v>
      </c>
      <c r="H19" s="63">
        <v>9.3000000000000002E-11</v>
      </c>
      <c r="I19" s="63">
        <v>1.6699999999999999E-10</v>
      </c>
      <c r="J19" s="63">
        <f>(H19+I19)*1000000000000</f>
        <v>260</v>
      </c>
      <c r="K19" s="69">
        <f>64*G19</f>
        <v>38912</v>
      </c>
      <c r="L19" s="69">
        <f>63*J19</f>
        <v>16380</v>
      </c>
      <c r="M19" s="70">
        <f>256*16*4</f>
        <v>16384</v>
      </c>
      <c r="N19" s="63">
        <f>($G19*N$4)*0.000000001</f>
        <v>0.20732800000000001</v>
      </c>
      <c r="O19" s="63">
        <f t="shared" ref="O19:R19" si="4">($G19*O$4)*0.000000001</f>
        <v>440.19200000000001</v>
      </c>
      <c r="P19" s="63">
        <f t="shared" si="4"/>
        <v>9424</v>
      </c>
      <c r="Q19" s="63">
        <f t="shared" si="4"/>
        <v>869.44</v>
      </c>
      <c r="R19" s="63">
        <f t="shared" si="4"/>
        <v>2371.2000000000003</v>
      </c>
    </row>
    <row r="20" spans="4:45" x14ac:dyDescent="0.2">
      <c r="D20" s="65" t="s">
        <v>375</v>
      </c>
      <c r="E20" s="63">
        <v>1.5000000000000002E-7</v>
      </c>
      <c r="F20" s="63">
        <v>4.5000000000000003E-7</v>
      </c>
      <c r="G20" s="63">
        <f t="shared" ref="G20:G25" si="5">(E20+F20)*1000000000</f>
        <v>600.00000000000011</v>
      </c>
      <c r="H20" s="63">
        <v>9.0999999999999996E-11</v>
      </c>
      <c r="I20" s="63">
        <v>1.5500000000000001E-10</v>
      </c>
      <c r="J20" s="63">
        <f t="shared" ref="J20:J25" si="6">(H20+I20)*1000000000000</f>
        <v>245.99999999999997</v>
      </c>
      <c r="K20" s="69">
        <f t="shared" ref="K20:K25" si="7">64*G20</f>
        <v>38400.000000000007</v>
      </c>
      <c r="L20" s="69">
        <f t="shared" ref="L20:L25" si="8">63*J20</f>
        <v>15497.999999999998</v>
      </c>
      <c r="M20" s="69">
        <f>I37</f>
        <v>32768</v>
      </c>
      <c r="N20" s="63">
        <f t="shared" ref="N20:R26" si="9">($G20*N$4)*0.000000001</f>
        <v>0.20460000000000003</v>
      </c>
      <c r="O20" s="63">
        <f t="shared" si="9"/>
        <v>434.40000000000009</v>
      </c>
      <c r="P20" s="63">
        <f t="shared" si="9"/>
        <v>9300.0000000000018</v>
      </c>
      <c r="Q20" s="63">
        <f t="shared" si="9"/>
        <v>858.00000000000023</v>
      </c>
      <c r="R20" s="63">
        <f t="shared" si="9"/>
        <v>2340.0000000000005</v>
      </c>
    </row>
    <row r="21" spans="4:45" x14ac:dyDescent="0.2">
      <c r="D21" s="65" t="s">
        <v>377</v>
      </c>
      <c r="E21" s="63">
        <v>1.2500000000000002E-7</v>
      </c>
      <c r="F21" s="63">
        <v>1.7000000000000001E-7</v>
      </c>
      <c r="G21" s="63">
        <f t="shared" si="5"/>
        <v>295.00000000000006</v>
      </c>
      <c r="H21" s="63">
        <v>9.8999999999999994E-11</v>
      </c>
      <c r="I21" s="63">
        <v>1.8E-10</v>
      </c>
      <c r="J21" s="63">
        <f t="shared" si="6"/>
        <v>278.99999999999994</v>
      </c>
      <c r="K21" s="69">
        <f t="shared" si="7"/>
        <v>18880.000000000004</v>
      </c>
      <c r="L21" s="69">
        <f t="shared" si="8"/>
        <v>17576.999999999996</v>
      </c>
      <c r="M21" s="69">
        <f>512*16*4</f>
        <v>32768</v>
      </c>
      <c r="N21" s="63">
        <f t="shared" si="9"/>
        <v>0.10059500000000002</v>
      </c>
      <c r="O21" s="63">
        <f t="shared" si="9"/>
        <v>213.58000000000004</v>
      </c>
      <c r="P21" s="63">
        <f t="shared" si="9"/>
        <v>4572.5000000000009</v>
      </c>
      <c r="Q21" s="63">
        <f t="shared" si="9"/>
        <v>421.85000000000008</v>
      </c>
      <c r="R21" s="63">
        <f t="shared" si="9"/>
        <v>1150.5000000000002</v>
      </c>
    </row>
    <row r="22" spans="4:45" x14ac:dyDescent="0.2">
      <c r="D22" s="65" t="s">
        <v>378</v>
      </c>
      <c r="E22" s="63">
        <v>1.7000000000000001E-7</v>
      </c>
      <c r="F22" s="63">
        <v>4.6800000000000001E-7</v>
      </c>
      <c r="G22" s="63">
        <f t="shared" si="5"/>
        <v>638.00000000000011</v>
      </c>
      <c r="H22" s="63">
        <v>8.9999999999999999E-11</v>
      </c>
      <c r="I22" s="63">
        <v>1.8E-10</v>
      </c>
      <c r="J22" s="63">
        <f t="shared" si="6"/>
        <v>270</v>
      </c>
      <c r="K22" s="69">
        <f t="shared" si="7"/>
        <v>40832.000000000007</v>
      </c>
      <c r="L22" s="69">
        <f t="shared" si="8"/>
        <v>17010</v>
      </c>
      <c r="M22" s="71">
        <f>I38</f>
        <v>16384</v>
      </c>
      <c r="N22" s="63">
        <f t="shared" si="9"/>
        <v>0.21755800000000006</v>
      </c>
      <c r="O22" s="63">
        <f t="shared" si="9"/>
        <v>461.91200000000009</v>
      </c>
      <c r="P22" s="63">
        <f t="shared" si="9"/>
        <v>9889.0000000000018</v>
      </c>
      <c r="Q22" s="63">
        <f t="shared" si="9"/>
        <v>912.34000000000015</v>
      </c>
      <c r="R22" s="63">
        <f t="shared" si="9"/>
        <v>2488.2000000000007</v>
      </c>
    </row>
    <row r="23" spans="4:45" x14ac:dyDescent="0.2">
      <c r="D23" s="65" t="s">
        <v>379</v>
      </c>
      <c r="E23" s="63">
        <v>2.1000000000000003E-8</v>
      </c>
      <c r="F23" s="63">
        <v>1.7000000000000001E-7</v>
      </c>
      <c r="G23" s="63">
        <f t="shared" si="5"/>
        <v>191</v>
      </c>
      <c r="H23" s="63">
        <v>2.1299999999999999E-10</v>
      </c>
      <c r="I23" s="63">
        <v>2.8000000000000002E-10</v>
      </c>
      <c r="J23" s="63">
        <f t="shared" si="6"/>
        <v>493.00000000000006</v>
      </c>
      <c r="K23" s="69">
        <f t="shared" si="7"/>
        <v>12224</v>
      </c>
      <c r="L23" s="69">
        <f t="shared" si="8"/>
        <v>31059.000000000004</v>
      </c>
      <c r="M23" s="71">
        <f t="shared" ref="M23:M26" si="10">I39</f>
        <v>16384</v>
      </c>
      <c r="N23" s="63">
        <f t="shared" si="9"/>
        <v>6.5131000000000008E-2</v>
      </c>
      <c r="O23" s="63">
        <f t="shared" si="9"/>
        <v>138.28400000000002</v>
      </c>
      <c r="P23" s="63">
        <f t="shared" si="9"/>
        <v>2960.5</v>
      </c>
      <c r="Q23" s="63">
        <f t="shared" si="9"/>
        <v>273.13</v>
      </c>
      <c r="R23" s="63">
        <f t="shared" si="9"/>
        <v>744.90000000000009</v>
      </c>
    </row>
    <row r="24" spans="4:45" x14ac:dyDescent="0.2">
      <c r="D24" s="65" t="s">
        <v>35</v>
      </c>
      <c r="E24" s="63">
        <v>1.176E-6</v>
      </c>
      <c r="F24" s="63">
        <v>4.7300000000000001E-7</v>
      </c>
      <c r="G24" s="72">
        <f t="shared" si="5"/>
        <v>1649</v>
      </c>
      <c r="H24" s="63">
        <v>4.5E-11</v>
      </c>
      <c r="I24" s="63">
        <v>6.4999999999999995E-11</v>
      </c>
      <c r="J24" s="63">
        <f t="shared" si="6"/>
        <v>110</v>
      </c>
      <c r="K24" s="69">
        <f t="shared" si="7"/>
        <v>105536</v>
      </c>
      <c r="L24" s="69">
        <f t="shared" si="8"/>
        <v>6930</v>
      </c>
      <c r="M24" s="71">
        <f t="shared" si="10"/>
        <v>65536</v>
      </c>
      <c r="N24" s="63">
        <f t="shared" si="9"/>
        <v>0.56230900000000006</v>
      </c>
      <c r="O24" s="63">
        <f t="shared" si="9"/>
        <v>1193.876</v>
      </c>
      <c r="P24" s="63">
        <f t="shared" si="9"/>
        <v>25559.5</v>
      </c>
      <c r="Q24" s="63">
        <f t="shared" si="9"/>
        <v>2358.0700000000002</v>
      </c>
      <c r="R24" s="63">
        <f t="shared" si="9"/>
        <v>6431.1</v>
      </c>
    </row>
    <row r="25" spans="4:45" x14ac:dyDescent="0.2">
      <c r="D25" s="65" t="s">
        <v>34</v>
      </c>
      <c r="E25" s="63">
        <v>3.2000000000000001E-7</v>
      </c>
      <c r="F25" s="63">
        <v>4.5000000000000003E-7</v>
      </c>
      <c r="G25" s="63">
        <f t="shared" si="5"/>
        <v>770</v>
      </c>
      <c r="H25" s="63">
        <v>7.5E-12</v>
      </c>
      <c r="I25" s="63">
        <v>2.4000000000000001E-11</v>
      </c>
      <c r="J25" s="63">
        <f t="shared" si="6"/>
        <v>31.5</v>
      </c>
      <c r="K25" s="69">
        <f t="shared" si="7"/>
        <v>49280</v>
      </c>
      <c r="L25" s="69">
        <f t="shared" si="8"/>
        <v>1984.5</v>
      </c>
      <c r="M25" s="71">
        <f t="shared" si="10"/>
        <v>65536</v>
      </c>
      <c r="N25" s="63">
        <f t="shared" si="9"/>
        <v>0.26257000000000003</v>
      </c>
      <c r="O25" s="63">
        <f>($G25*O$4)*0.000000001</f>
        <v>557.48</v>
      </c>
      <c r="P25" s="63">
        <f t="shared" si="9"/>
        <v>11935</v>
      </c>
      <c r="Q25" s="63">
        <f t="shared" si="9"/>
        <v>1101.1000000000001</v>
      </c>
      <c r="R25" s="63">
        <f t="shared" si="9"/>
        <v>3003</v>
      </c>
    </row>
    <row r="26" spans="4:45" x14ac:dyDescent="0.2">
      <c r="D26" s="65" t="s">
        <v>407</v>
      </c>
      <c r="E26" s="63">
        <f>ODIN_MAC!K10*0.000000001</f>
        <v>2.9799999999999999E-7</v>
      </c>
      <c r="F26" s="63"/>
      <c r="G26" s="72">
        <f>298/32</f>
        <v>9.3125</v>
      </c>
      <c r="H26" s="63"/>
      <c r="I26" s="63"/>
      <c r="J26" s="63">
        <f>ODIN_MAC!K7/32</f>
        <v>8.9268750000000008</v>
      </c>
      <c r="K26" s="69">
        <f>2*G26</f>
        <v>18.625</v>
      </c>
      <c r="L26" s="73">
        <f>2*J26</f>
        <v>17.853750000000002</v>
      </c>
      <c r="M26" s="71">
        <f t="shared" si="10"/>
        <v>4098</v>
      </c>
      <c r="N26" s="63">
        <f t="shared" si="9"/>
        <v>3.1755625E-3</v>
      </c>
      <c r="O26" s="63">
        <f t="shared" si="9"/>
        <v>6.7422500000000003</v>
      </c>
      <c r="P26" s="63">
        <f t="shared" si="9"/>
        <v>144.34375</v>
      </c>
      <c r="Q26" s="63">
        <f t="shared" si="9"/>
        <v>13.316875000000001</v>
      </c>
      <c r="R26" s="63">
        <f t="shared" si="9"/>
        <v>36.318750000000001</v>
      </c>
    </row>
    <row r="27" spans="4:45" x14ac:dyDescent="0.2">
      <c r="D27" s="65" t="s">
        <v>408</v>
      </c>
      <c r="E27" s="63"/>
      <c r="F27" s="63"/>
      <c r="G27" s="63"/>
      <c r="H27" s="84">
        <v>3E-11</v>
      </c>
      <c r="I27" s="63"/>
      <c r="J27" s="63"/>
      <c r="K27" s="63"/>
      <c r="L27" s="63"/>
      <c r="M27" s="64"/>
      <c r="N27" s="63"/>
      <c r="O27" s="63"/>
      <c r="P27" s="63"/>
      <c r="Q27" s="63"/>
      <c r="R27" s="63"/>
    </row>
    <row r="28" spans="4:45" ht="96" x14ac:dyDescent="0.2">
      <c r="D28" s="63"/>
      <c r="E28" s="63"/>
      <c r="F28" s="63"/>
      <c r="G28" s="63"/>
      <c r="H28" s="74" t="s">
        <v>455</v>
      </c>
      <c r="I28" s="75" t="s">
        <v>456</v>
      </c>
      <c r="J28" s="63"/>
      <c r="K28" s="63"/>
      <c r="L28" s="63"/>
      <c r="M28" s="64"/>
      <c r="N28" s="63"/>
      <c r="O28" s="63"/>
      <c r="P28" s="63"/>
      <c r="Q28" s="63"/>
      <c r="R28" s="63"/>
    </row>
    <row r="29" spans="4:45" x14ac:dyDescent="0.2">
      <c r="AR29" t="s">
        <v>464</v>
      </c>
      <c r="AS29">
        <v>64</v>
      </c>
    </row>
    <row r="33" spans="4:72" x14ac:dyDescent="0.2">
      <c r="H33" s="2" t="s">
        <v>471</v>
      </c>
      <c r="I33">
        <v>0.3</v>
      </c>
    </row>
    <row r="34" spans="4:72" x14ac:dyDescent="0.2">
      <c r="H34" s="2" t="s">
        <v>433</v>
      </c>
      <c r="I34">
        <v>21</v>
      </c>
      <c r="N34" s="130" t="s">
        <v>459</v>
      </c>
      <c r="O34" s="130"/>
      <c r="P34" s="130"/>
      <c r="Q34" s="130"/>
      <c r="R34" s="130"/>
      <c r="S34" s="53"/>
      <c r="T34" s="130" t="s">
        <v>460</v>
      </c>
      <c r="U34" s="130"/>
      <c r="V34" s="130"/>
      <c r="W34" s="130"/>
      <c r="X34" s="130"/>
      <c r="Y34" s="53"/>
      <c r="Z34" s="130" t="s">
        <v>461</v>
      </c>
      <c r="AA34" s="130"/>
      <c r="AB34" s="130"/>
      <c r="AC34" s="130"/>
      <c r="AD34" s="130"/>
      <c r="AF34" s="130" t="s">
        <v>462</v>
      </c>
      <c r="AG34" s="130"/>
      <c r="AH34" s="130"/>
      <c r="AI34" s="130"/>
      <c r="AJ34" s="130"/>
      <c r="AL34" s="130" t="s">
        <v>463</v>
      </c>
      <c r="AM34" s="130"/>
      <c r="AN34" s="130"/>
      <c r="AO34" s="130"/>
      <c r="AP34" s="130"/>
      <c r="AR34" s="130" t="s">
        <v>465</v>
      </c>
      <c r="AS34" s="130"/>
      <c r="AT34" s="130"/>
      <c r="AU34" s="130"/>
      <c r="AV34" s="130"/>
      <c r="AX34" s="130" t="s">
        <v>467</v>
      </c>
      <c r="AY34" s="130"/>
      <c r="AZ34" s="130"/>
      <c r="BA34" s="130"/>
      <c r="BB34" s="130"/>
      <c r="BD34" s="130" t="s">
        <v>468</v>
      </c>
      <c r="BE34" s="130"/>
      <c r="BF34" s="130"/>
      <c r="BG34" s="130"/>
      <c r="BH34" s="130"/>
      <c r="BJ34" s="130" t="s">
        <v>469</v>
      </c>
      <c r="BK34" s="130"/>
      <c r="BL34" s="130"/>
      <c r="BM34" s="130"/>
      <c r="BN34" s="130"/>
      <c r="BP34" s="130" t="s">
        <v>470</v>
      </c>
      <c r="BQ34" s="130"/>
      <c r="BR34" s="130"/>
      <c r="BS34" s="130"/>
      <c r="BT34" s="130"/>
    </row>
    <row r="35" spans="4:72" ht="64" x14ac:dyDescent="0.2">
      <c r="I35" s="14" t="s">
        <v>458</v>
      </c>
      <c r="K35" t="s">
        <v>466</v>
      </c>
      <c r="N35" s="130"/>
      <c r="O35" s="130"/>
      <c r="P35" s="130"/>
      <c r="Q35" s="130"/>
      <c r="R35" s="130"/>
      <c r="S35" s="53"/>
      <c r="T35" s="130"/>
      <c r="U35" s="130"/>
      <c r="V35" s="130"/>
      <c r="W35" s="130"/>
      <c r="X35" s="130"/>
      <c r="Y35" s="53"/>
      <c r="Z35" s="130"/>
      <c r="AA35" s="130"/>
      <c r="AB35" s="130"/>
      <c r="AC35" s="130"/>
      <c r="AD35" s="130"/>
      <c r="AF35" s="130"/>
      <c r="AG35" s="130"/>
      <c r="AH35" s="130"/>
      <c r="AI35" s="130"/>
      <c r="AJ35" s="130"/>
      <c r="AL35" s="130"/>
      <c r="AM35" s="130"/>
      <c r="AN35" s="130"/>
      <c r="AO35" s="130"/>
      <c r="AP35" s="130"/>
    </row>
    <row r="36" spans="4:72" ht="16" x14ac:dyDescent="0.2">
      <c r="E36" s="2" t="s">
        <v>437</v>
      </c>
      <c r="F36" s="2" t="s">
        <v>438</v>
      </c>
      <c r="G36" s="2" t="s">
        <v>436</v>
      </c>
      <c r="H36" s="2" t="s">
        <v>434</v>
      </c>
      <c r="I36" s="2" t="s">
        <v>442</v>
      </c>
      <c r="J36" s="2" t="s">
        <v>445</v>
      </c>
      <c r="K36" s="2" t="s">
        <v>444</v>
      </c>
      <c r="L36" s="2"/>
      <c r="M36" s="13" t="s">
        <v>433</v>
      </c>
      <c r="N36" s="2" t="s">
        <v>417</v>
      </c>
      <c r="O36" s="2" t="s">
        <v>418</v>
      </c>
      <c r="P36" s="2" t="s">
        <v>419</v>
      </c>
      <c r="Q36" s="2" t="s">
        <v>420</v>
      </c>
      <c r="R36" s="2" t="s">
        <v>421</v>
      </c>
      <c r="S36" s="2"/>
      <c r="T36" s="2" t="s">
        <v>417</v>
      </c>
      <c r="U36" s="2" t="s">
        <v>418</v>
      </c>
      <c r="V36" s="2" t="s">
        <v>419</v>
      </c>
      <c r="W36" s="2" t="s">
        <v>420</v>
      </c>
      <c r="X36" s="2" t="s">
        <v>421</v>
      </c>
      <c r="Y36" s="2"/>
      <c r="Z36" s="2" t="s">
        <v>417</v>
      </c>
      <c r="AA36" s="2" t="s">
        <v>418</v>
      </c>
      <c r="AB36" s="2" t="s">
        <v>419</v>
      </c>
      <c r="AC36" s="2" t="s">
        <v>420</v>
      </c>
      <c r="AD36" s="2" t="s">
        <v>421</v>
      </c>
      <c r="AF36" s="2" t="s">
        <v>417</v>
      </c>
      <c r="AG36" s="2" t="s">
        <v>418</v>
      </c>
      <c r="AH36" s="2" t="s">
        <v>419</v>
      </c>
      <c r="AI36" s="2" t="s">
        <v>420</v>
      </c>
      <c r="AJ36" s="2" t="s">
        <v>421</v>
      </c>
      <c r="AL36" s="2" t="s">
        <v>417</v>
      </c>
      <c r="AM36" s="2" t="s">
        <v>418</v>
      </c>
      <c r="AN36" s="2" t="s">
        <v>419</v>
      </c>
      <c r="AO36" s="2" t="s">
        <v>420</v>
      </c>
      <c r="AP36" s="2" t="s">
        <v>421</v>
      </c>
      <c r="AR36" s="2" t="s">
        <v>417</v>
      </c>
      <c r="AS36" s="2" t="s">
        <v>418</v>
      </c>
      <c r="AT36" s="2" t="s">
        <v>419</v>
      </c>
      <c r="AU36" s="2" t="s">
        <v>420</v>
      </c>
      <c r="AV36" s="2" t="s">
        <v>421</v>
      </c>
      <c r="AX36" s="2" t="s">
        <v>417</v>
      </c>
      <c r="AY36" s="2" t="s">
        <v>418</v>
      </c>
      <c r="AZ36" s="2" t="s">
        <v>419</v>
      </c>
      <c r="BA36" s="2" t="s">
        <v>420</v>
      </c>
      <c r="BB36" s="2" t="s">
        <v>421</v>
      </c>
      <c r="BD36" s="2" t="s">
        <v>417</v>
      </c>
      <c r="BE36" s="2" t="s">
        <v>418</v>
      </c>
      <c r="BF36" s="2" t="s">
        <v>419</v>
      </c>
      <c r="BG36" s="2" t="s">
        <v>420</v>
      </c>
      <c r="BH36" s="2" t="s">
        <v>421</v>
      </c>
      <c r="BJ36" s="2" t="s">
        <v>417</v>
      </c>
      <c r="BK36" s="2" t="s">
        <v>418</v>
      </c>
      <c r="BL36" s="2" t="s">
        <v>419</v>
      </c>
      <c r="BM36" s="2" t="s">
        <v>420</v>
      </c>
      <c r="BN36" s="2" t="s">
        <v>421</v>
      </c>
      <c r="BP36" s="2" t="s">
        <v>417</v>
      </c>
      <c r="BQ36" s="2" t="s">
        <v>418</v>
      </c>
      <c r="BR36" s="2" t="s">
        <v>419</v>
      </c>
      <c r="BS36" s="2" t="s">
        <v>420</v>
      </c>
      <c r="BT36" s="2" t="s">
        <v>421</v>
      </c>
    </row>
    <row r="37" spans="4:72" x14ac:dyDescent="0.2">
      <c r="D37" s="2" t="s">
        <v>429</v>
      </c>
      <c r="E37">
        <v>200</v>
      </c>
      <c r="F37">
        <v>21</v>
      </c>
      <c r="G37">
        <v>0</v>
      </c>
      <c r="H37">
        <f>(E37+F37)*M37</f>
        <v>1768</v>
      </c>
      <c r="I37">
        <f>512*16*4</f>
        <v>32768</v>
      </c>
      <c r="J37">
        <v>55</v>
      </c>
      <c r="K37">
        <v>8</v>
      </c>
      <c r="L37">
        <f>I37/4</f>
        <v>8192</v>
      </c>
      <c r="M37" s="14">
        <v>8</v>
      </c>
      <c r="N37">
        <f>(($H37*N$4)*0.000000001)/$I37</f>
        <v>1.8398681640625003E-5</v>
      </c>
      <c r="O37">
        <f t="shared" ref="O37:R42" si="11">(($H37*O$4)*0.000000001)/$I37</f>
        <v>3.9063476562500005E-2</v>
      </c>
      <c r="P37">
        <f t="shared" si="11"/>
        <v>0.8363037109375</v>
      </c>
      <c r="Q37">
        <f t="shared" si="11"/>
        <v>7.7155761718750007E-2</v>
      </c>
      <c r="R37">
        <f>(($H37*R$4)*0.000000001)/$I37</f>
        <v>0.21042480468750002</v>
      </c>
      <c r="T37">
        <f>(($K37*(T$5))*0.000000001)</f>
        <v>4.6512000000000005E-5</v>
      </c>
      <c r="U37">
        <f t="shared" ref="U37:X42" si="12">(($K37*(U$5))*0.000000001)</f>
        <v>6.1136000000000003E-3</v>
      </c>
      <c r="V37">
        <f t="shared" si="12"/>
        <v>0.120897344</v>
      </c>
      <c r="W37">
        <f t="shared" si="12"/>
        <v>2.4988928000000001E-2</v>
      </c>
      <c r="X37">
        <f t="shared" si="12"/>
        <v>7.7894720000000001E-2</v>
      </c>
      <c r="Z37">
        <f>N37+T37</f>
        <v>6.4910681640625007E-5</v>
      </c>
      <c r="AA37">
        <f t="shared" ref="AA37:AD42" si="13">O37+U37</f>
        <v>4.5177076562500001E-2</v>
      </c>
      <c r="AB37">
        <f t="shared" si="13"/>
        <v>0.95720105493749996</v>
      </c>
      <c r="AC37">
        <f t="shared" si="13"/>
        <v>0.10214468971875001</v>
      </c>
      <c r="AD37">
        <f t="shared" si="13"/>
        <v>0.2883195246875</v>
      </c>
      <c r="AF37">
        <f>1/Z37</f>
        <v>15405.784914360534</v>
      </c>
      <c r="AG37">
        <f t="shared" ref="AG37:AJ42" si="14">1/AA37</f>
        <v>22.135119757396321</v>
      </c>
      <c r="AH37">
        <f t="shared" si="14"/>
        <v>1.0447125970471214</v>
      </c>
      <c r="AI37">
        <f t="shared" si="14"/>
        <v>9.7900341442462349</v>
      </c>
      <c r="AJ37">
        <f t="shared" si="14"/>
        <v>3.4683741972863853</v>
      </c>
      <c r="AL37" s="56">
        <f>(T37/Z37)</f>
        <v>0.71655386793673725</v>
      </c>
      <c r="AM37" s="56">
        <f t="shared" ref="AM37:AP42" si="15">(U37/AA37)</f>
        <v>0.13532526814881815</v>
      </c>
      <c r="AN37" s="56">
        <f t="shared" si="15"/>
        <v>0.12630297822633924</v>
      </c>
      <c r="AO37" s="56">
        <f t="shared" si="15"/>
        <v>0.2446424583481108</v>
      </c>
      <c r="AP37" s="56">
        <f t="shared" si="15"/>
        <v>0.27016803695284775</v>
      </c>
      <c r="AR37">
        <f>((($H37*N$4)*0.000000001)/$I37)*$AS$29</f>
        <v>1.1775156250000002E-3</v>
      </c>
      <c r="AS37">
        <f t="shared" ref="AS37:AV42" si="16">((($H37*O$4)*0.000000001)/$I37)*$AS$29</f>
        <v>2.5000625000000003</v>
      </c>
      <c r="AT37">
        <f t="shared" si="16"/>
        <v>53.5234375</v>
      </c>
      <c r="AU37">
        <f t="shared" si="16"/>
        <v>4.9379687500000005</v>
      </c>
      <c r="AV37">
        <f t="shared" si="16"/>
        <v>13.467187500000001</v>
      </c>
      <c r="AX37">
        <f>(($K37*(T$5))*0.000000001)</f>
        <v>4.6512000000000005E-5</v>
      </c>
      <c r="AY37">
        <f t="shared" ref="AY37:BB42" si="17">(($K37*(U$5))*0.000000001)</f>
        <v>6.1136000000000003E-3</v>
      </c>
      <c r="AZ37">
        <f t="shared" si="17"/>
        <v>0.120897344</v>
      </c>
      <c r="BA37">
        <f t="shared" si="17"/>
        <v>2.4988928000000001E-2</v>
      </c>
      <c r="BB37">
        <f t="shared" si="17"/>
        <v>7.7894720000000001E-2</v>
      </c>
      <c r="BD37">
        <f>AR37+AX37</f>
        <v>1.2240276250000002E-3</v>
      </c>
      <c r="BE37">
        <f t="shared" ref="BE37:BH42" si="18">AS37+AY37</f>
        <v>2.5061761000000002</v>
      </c>
      <c r="BF37">
        <f t="shared" si="18"/>
        <v>53.644334843999999</v>
      </c>
      <c r="BG37">
        <f t="shared" si="18"/>
        <v>4.9629576780000004</v>
      </c>
      <c r="BH37">
        <f t="shared" si="18"/>
        <v>13.545082220000001</v>
      </c>
      <c r="BJ37">
        <f>(1/BD37)*$AS$29</f>
        <v>52286.401624309736</v>
      </c>
      <c r="BK37">
        <f t="shared" ref="BK37:BN42" si="19">(1/BE37)*$AS$29</f>
        <v>25.536912589661991</v>
      </c>
      <c r="BL37">
        <f t="shared" si="19"/>
        <v>1.1930430340149563</v>
      </c>
      <c r="BM37">
        <f t="shared" si="19"/>
        <v>12.895536120265904</v>
      </c>
      <c r="BN37">
        <f t="shared" si="19"/>
        <v>4.7249620903371667</v>
      </c>
      <c r="BP37" s="56">
        <f>AX37/BD37</f>
        <v>3.7999142380467102E-2</v>
      </c>
      <c r="BQ37" s="56">
        <f t="shared" ref="BQ37:BT42" si="20">AY37/BE37</f>
        <v>2.4394135751274618E-3</v>
      </c>
      <c r="BR37" s="56">
        <f t="shared" si="20"/>
        <v>2.2536833451579671E-3</v>
      </c>
      <c r="BS37" s="56">
        <f t="shared" si="20"/>
        <v>5.0350878692300627E-3</v>
      </c>
      <c r="BT37" s="56">
        <f t="shared" si="20"/>
        <v>5.7507749849598179E-3</v>
      </c>
    </row>
    <row r="38" spans="4:72" x14ac:dyDescent="0.2">
      <c r="D38" s="2" t="s">
        <v>430</v>
      </c>
      <c r="E38">
        <v>200</v>
      </c>
      <c r="F38">
        <v>11</v>
      </c>
      <c r="G38">
        <v>0</v>
      </c>
      <c r="H38">
        <f>(E38+F38)*M38</f>
        <v>2110</v>
      </c>
      <c r="I38">
        <f>256*16*4</f>
        <v>16384</v>
      </c>
      <c r="J38">
        <v>64.599999999999994</v>
      </c>
      <c r="K38">
        <v>21</v>
      </c>
      <c r="L38">
        <f t="shared" ref="L38:L40" si="21">I38/4</f>
        <v>4096</v>
      </c>
      <c r="M38" s="14">
        <v>10</v>
      </c>
      <c r="N38">
        <f t="shared" ref="N38:R42" si="22">(($H38*N$4)*0.000000001)/$I38</f>
        <v>4.3915405273437506E-5</v>
      </c>
      <c r="O38">
        <f t="shared" si="11"/>
        <v>9.3239746093750006E-2</v>
      </c>
      <c r="P38">
        <f>(($H38*P$4)*0.000000001)/$I38</f>
        <v>1.9961547851562502</v>
      </c>
      <c r="Q38">
        <f t="shared" si="11"/>
        <v>0.18416137695312501</v>
      </c>
      <c r="R38">
        <f t="shared" si="11"/>
        <v>0.50225830078125</v>
      </c>
      <c r="T38">
        <f t="shared" ref="T38:T40" si="23">(($K38*(T$5))*0.000000001)</f>
        <v>1.22094E-4</v>
      </c>
      <c r="U38">
        <f t="shared" si="12"/>
        <v>1.6048200000000002E-2</v>
      </c>
      <c r="V38">
        <f t="shared" si="12"/>
        <v>0.317355528</v>
      </c>
      <c r="W38">
        <f t="shared" si="12"/>
        <v>6.5595936000000007E-2</v>
      </c>
      <c r="X38">
        <f t="shared" si="12"/>
        <v>0.20447364000000001</v>
      </c>
      <c r="Z38">
        <f>N38+T38</f>
        <v>1.6600940527343751E-4</v>
      </c>
      <c r="AA38">
        <f t="shared" si="13"/>
        <v>0.10928794609375</v>
      </c>
      <c r="AB38">
        <f t="shared" si="13"/>
        <v>2.3135103131562502</v>
      </c>
      <c r="AC38">
        <f t="shared" si="13"/>
        <v>0.24975731295312503</v>
      </c>
      <c r="AD38">
        <f t="shared" si="13"/>
        <v>0.70673194078125001</v>
      </c>
      <c r="AF38">
        <f t="shared" ref="AF38:AF42" si="24">1/Z38</f>
        <v>6023.7550899774587</v>
      </c>
      <c r="AG38">
        <f t="shared" si="14"/>
        <v>9.1501399353060791</v>
      </c>
      <c r="AH38">
        <f t="shared" si="14"/>
        <v>0.4322435885905912</v>
      </c>
      <c r="AI38">
        <f t="shared" si="14"/>
        <v>4.0038867658208757</v>
      </c>
      <c r="AJ38">
        <f t="shared" si="14"/>
        <v>1.4149636408035551</v>
      </c>
      <c r="AL38" s="56">
        <f>(T38/Z38)</f>
        <v>0.73546435395570786</v>
      </c>
      <c r="AM38" s="56">
        <f t="shared" si="15"/>
        <v>0.14684327570977904</v>
      </c>
      <c r="AN38" s="56">
        <f t="shared" si="15"/>
        <v>0.13717489228178184</v>
      </c>
      <c r="AO38" s="56">
        <f t="shared" si="15"/>
        <v>0.26263870004203316</v>
      </c>
      <c r="AP38" s="56">
        <f t="shared" si="15"/>
        <v>0.28932276610275542</v>
      </c>
      <c r="AR38">
        <f t="shared" ref="AR38:AR42" si="25">((($H38*N$4)*0.000000001)/$I38)*$AS$29</f>
        <v>2.8105859375000004E-3</v>
      </c>
      <c r="AS38">
        <f>((($H38*O$4)*0.000000001)/$I38)*$AS$29</f>
        <v>5.9673437500000004</v>
      </c>
      <c r="AT38">
        <f>((($H38*P$4)*0.000000001)/$I38)*$AS$29</f>
        <v>127.75390625000001</v>
      </c>
      <c r="AU38">
        <f>((($H38*Q$4)*0.000000001)/$I38)*$AS$29</f>
        <v>11.786328125000001</v>
      </c>
      <c r="AV38">
        <f t="shared" si="16"/>
        <v>32.14453125</v>
      </c>
      <c r="AX38">
        <f t="shared" ref="AX38:AX42" si="26">(($K38*(T$5))*0.000000001)</f>
        <v>1.22094E-4</v>
      </c>
      <c r="AY38">
        <f t="shared" si="17"/>
        <v>1.6048200000000002E-2</v>
      </c>
      <c r="AZ38">
        <f t="shared" si="17"/>
        <v>0.317355528</v>
      </c>
      <c r="BA38">
        <f t="shared" si="17"/>
        <v>6.5595936000000007E-2</v>
      </c>
      <c r="BB38">
        <f t="shared" si="17"/>
        <v>0.20447364000000001</v>
      </c>
      <c r="BD38">
        <f t="shared" ref="BD38:BD42" si="27">AR38+AX38</f>
        <v>2.9326799375000005E-3</v>
      </c>
      <c r="BE38">
        <f t="shared" si="18"/>
        <v>5.9833919500000006</v>
      </c>
      <c r="BF38">
        <f t="shared" si="18"/>
        <v>128.07126177800001</v>
      </c>
      <c r="BG38">
        <f t="shared" si="18"/>
        <v>11.851924061</v>
      </c>
      <c r="BH38">
        <f t="shared" si="18"/>
        <v>32.349004890000003</v>
      </c>
      <c r="BJ38">
        <f t="shared" ref="BJ38:BJ41" si="28">(1/BD38)*$AS$29</f>
        <v>21823.042869982462</v>
      </c>
      <c r="BK38">
        <f t="shared" si="19"/>
        <v>10.696274042351511</v>
      </c>
      <c r="BL38">
        <f t="shared" si="19"/>
        <v>0.49972178856907207</v>
      </c>
      <c r="BM38">
        <f t="shared" si="19"/>
        <v>5.3999670999073235</v>
      </c>
      <c r="BN38">
        <f t="shared" si="19"/>
        <v>1.9784225269873517</v>
      </c>
      <c r="BP38" s="56">
        <f t="shared" ref="BP38:BP42" si="29">AX38/BD38</f>
        <v>4.1632228065119355E-2</v>
      </c>
      <c r="BQ38" s="56">
        <f t="shared" si="20"/>
        <v>2.6821241419760244E-3</v>
      </c>
      <c r="BR38" s="56">
        <f t="shared" si="20"/>
        <v>2.47796050100691E-3</v>
      </c>
      <c r="BS38" s="56">
        <f t="shared" si="20"/>
        <v>5.5346233794941633E-3</v>
      </c>
      <c r="BT38" s="56">
        <f t="shared" si="20"/>
        <v>6.3208633679859693E-3</v>
      </c>
    </row>
    <row r="39" spans="4:72" x14ac:dyDescent="0.2">
      <c r="D39" s="2" t="s">
        <v>428</v>
      </c>
      <c r="E39">
        <v>1</v>
      </c>
      <c r="F39">
        <v>10</v>
      </c>
      <c r="G39">
        <v>0</v>
      </c>
      <c r="H39">
        <f t="shared" ref="H39:H41" si="30">(E39+F39)*M39</f>
        <v>231</v>
      </c>
      <c r="I39">
        <f>32*512</f>
        <v>16384</v>
      </c>
      <c r="J39">
        <v>61</v>
      </c>
      <c r="K39">
        <v>10</v>
      </c>
      <c r="L39">
        <f t="shared" si="21"/>
        <v>4096</v>
      </c>
      <c r="M39" s="14">
        <v>21</v>
      </c>
      <c r="N39">
        <f t="shared" si="22"/>
        <v>4.8078002929687505E-6</v>
      </c>
      <c r="O39">
        <f>(($H39*O$4)*0.000000001)/$I39</f>
        <v>1.0207763671875E-2</v>
      </c>
      <c r="P39">
        <f t="shared" si="11"/>
        <v>0.218536376953125</v>
      </c>
      <c r="Q39">
        <f t="shared" si="11"/>
        <v>2.0161743164062502E-2</v>
      </c>
      <c r="R39">
        <f t="shared" si="11"/>
        <v>5.4986572265625006E-2</v>
      </c>
      <c r="T39">
        <f t="shared" si="23"/>
        <v>5.8140000000000002E-5</v>
      </c>
      <c r="U39">
        <f t="shared" si="12"/>
        <v>7.6420000000000004E-3</v>
      </c>
      <c r="V39">
        <f t="shared" si="12"/>
        <v>0.15112168000000001</v>
      </c>
      <c r="W39">
        <f t="shared" si="12"/>
        <v>3.1236160000000002E-2</v>
      </c>
      <c r="X39">
        <f t="shared" si="12"/>
        <v>9.7368400000000008E-2</v>
      </c>
      <c r="Z39">
        <f t="shared" ref="Z39:Z42" si="31">N39+T39</f>
        <v>6.2947800292968755E-5</v>
      </c>
      <c r="AA39">
        <f t="shared" si="13"/>
        <v>1.7849763671875001E-2</v>
      </c>
      <c r="AB39">
        <f t="shared" si="13"/>
        <v>0.36965805695312504</v>
      </c>
      <c r="AC39">
        <f t="shared" si="13"/>
        <v>5.1397903164062508E-2</v>
      </c>
      <c r="AD39">
        <f t="shared" si="13"/>
        <v>0.152354972265625</v>
      </c>
      <c r="AF39">
        <f t="shared" si="24"/>
        <v>15886.178632864787</v>
      </c>
      <c r="AG39">
        <f t="shared" si="14"/>
        <v>56.023150691661598</v>
      </c>
      <c r="AH39">
        <f t="shared" si="14"/>
        <v>2.7052027710214532</v>
      </c>
      <c r="AI39">
        <f t="shared" si="14"/>
        <v>19.456046617465933</v>
      </c>
      <c r="AJ39">
        <f t="shared" si="14"/>
        <v>6.5636190609948635</v>
      </c>
      <c r="AL39" s="56">
        <f t="shared" ref="AL39:AL42" si="32">(T39/Z39)</f>
        <v>0.92362242571475872</v>
      </c>
      <c r="AM39" s="56">
        <f t="shared" si="15"/>
        <v>0.42812891758567795</v>
      </c>
      <c r="AN39" s="56">
        <f t="shared" si="15"/>
        <v>0.40881478749741734</v>
      </c>
      <c r="AO39" s="56">
        <f t="shared" si="15"/>
        <v>0.60773218511062477</v>
      </c>
      <c r="AP39" s="56">
        <f t="shared" si="15"/>
        <v>0.6390890861785723</v>
      </c>
      <c r="AR39">
        <f t="shared" si="25"/>
        <v>3.0769921875000003E-4</v>
      </c>
      <c r="AS39">
        <f t="shared" si="16"/>
        <v>0.653296875</v>
      </c>
      <c r="AT39">
        <f t="shared" si="16"/>
        <v>13.986328125</v>
      </c>
      <c r="AU39">
        <f t="shared" si="16"/>
        <v>1.2903515625000002</v>
      </c>
      <c r="AV39">
        <f t="shared" si="16"/>
        <v>3.5191406250000004</v>
      </c>
      <c r="AX39">
        <f t="shared" si="26"/>
        <v>5.8140000000000002E-5</v>
      </c>
      <c r="AY39">
        <f t="shared" si="17"/>
        <v>7.6420000000000004E-3</v>
      </c>
      <c r="AZ39">
        <f t="shared" si="17"/>
        <v>0.15112168000000001</v>
      </c>
      <c r="BA39">
        <f t="shared" si="17"/>
        <v>3.1236160000000002E-2</v>
      </c>
      <c r="BB39">
        <f t="shared" si="17"/>
        <v>9.7368400000000008E-2</v>
      </c>
      <c r="BD39">
        <f t="shared" si="27"/>
        <v>3.6583921875000001E-4</v>
      </c>
      <c r="BE39">
        <f t="shared" si="18"/>
        <v>0.66093887500000004</v>
      </c>
      <c r="BF39">
        <f t="shared" si="18"/>
        <v>14.137449804999999</v>
      </c>
      <c r="BG39">
        <f t="shared" si="18"/>
        <v>1.3215877225000001</v>
      </c>
      <c r="BH39">
        <f t="shared" si="18"/>
        <v>3.6165090250000005</v>
      </c>
      <c r="BJ39">
        <f t="shared" si="28"/>
        <v>174940.23800585212</v>
      </c>
      <c r="BK39">
        <f t="shared" si="19"/>
        <v>96.831949853153958</v>
      </c>
      <c r="BL39">
        <f t="shared" si="19"/>
        <v>4.5269833585803489</v>
      </c>
      <c r="BM39">
        <f t="shared" si="19"/>
        <v>48.426599998169998</v>
      </c>
      <c r="BN39">
        <f t="shared" si="19"/>
        <v>17.696623887175281</v>
      </c>
      <c r="BP39" s="56">
        <f t="shared" si="29"/>
        <v>0.15892227246344129</v>
      </c>
      <c r="BQ39" s="56">
        <f t="shared" si="20"/>
        <v>1.1562340012153166E-2</v>
      </c>
      <c r="BR39" s="56">
        <f t="shared" si="20"/>
        <v>1.0689458288761012E-2</v>
      </c>
      <c r="BS39" s="56">
        <f t="shared" si="20"/>
        <v>2.3635328528106844E-2</v>
      </c>
      <c r="BT39" s="56">
        <f t="shared" si="20"/>
        <v>2.6923311770250591E-2</v>
      </c>
    </row>
    <row r="40" spans="4:72" x14ac:dyDescent="0.2">
      <c r="D40" s="2" t="s">
        <v>446</v>
      </c>
      <c r="E40">
        <v>3</v>
      </c>
      <c r="F40">
        <v>4</v>
      </c>
      <c r="G40">
        <v>22</v>
      </c>
      <c r="H40">
        <f>(E40+F40)*M40</f>
        <v>56</v>
      </c>
      <c r="I40">
        <f>1024*16*4</f>
        <v>65536</v>
      </c>
      <c r="J40">
        <v>259.42</v>
      </c>
      <c r="K40">
        <v>38</v>
      </c>
      <c r="L40">
        <f t="shared" si="21"/>
        <v>16384</v>
      </c>
      <c r="M40" s="14">
        <v>8</v>
      </c>
      <c r="N40">
        <f t="shared" si="22"/>
        <v>2.9138183593750003E-7</v>
      </c>
      <c r="O40">
        <f t="shared" si="22"/>
        <v>6.1865234375000006E-4</v>
      </c>
      <c r="P40">
        <f t="shared" si="22"/>
        <v>1.324462890625E-2</v>
      </c>
      <c r="Q40">
        <f t="shared" si="22"/>
        <v>1.221923828125E-3</v>
      </c>
      <c r="R40">
        <f t="shared" si="22"/>
        <v>3.3325195312500001E-3</v>
      </c>
      <c r="T40">
        <f t="shared" si="23"/>
        <v>2.2093200000000002E-4</v>
      </c>
      <c r="U40">
        <f t="shared" si="12"/>
        <v>2.9039600000000002E-2</v>
      </c>
      <c r="V40">
        <f t="shared" si="12"/>
        <v>0.57426238400000007</v>
      </c>
      <c r="W40">
        <f t="shared" si="12"/>
        <v>0.118697408</v>
      </c>
      <c r="X40">
        <f t="shared" si="12"/>
        <v>0.36999992000000004</v>
      </c>
      <c r="Z40">
        <f t="shared" si="31"/>
        <v>2.2122338183593751E-4</v>
      </c>
      <c r="AA40">
        <f t="shared" si="13"/>
        <v>2.9658252343750004E-2</v>
      </c>
      <c r="AB40">
        <f t="shared" si="13"/>
        <v>0.58750701290625007</v>
      </c>
      <c r="AC40">
        <f t="shared" si="13"/>
        <v>0.119919331828125</v>
      </c>
      <c r="AD40">
        <f t="shared" si="13"/>
        <v>0.37333243953125006</v>
      </c>
      <c r="AF40">
        <f t="shared" si="24"/>
        <v>4520.317842087843</v>
      </c>
      <c r="AG40">
        <f t="shared" si="14"/>
        <v>33.71742840439935</v>
      </c>
      <c r="AH40">
        <f t="shared" si="14"/>
        <v>1.7021073417545272</v>
      </c>
      <c r="AI40">
        <f t="shared" si="14"/>
        <v>8.3389390580766012</v>
      </c>
      <c r="AJ40">
        <f t="shared" si="14"/>
        <v>2.6785778413887185</v>
      </c>
      <c r="AL40" s="56">
        <f t="shared" si="32"/>
        <v>0.99868286148815144</v>
      </c>
      <c r="AM40" s="56">
        <f t="shared" si="15"/>
        <v>0.97914063389239547</v>
      </c>
      <c r="AN40" s="56">
        <f t="shared" si="15"/>
        <v>0.97745621989985765</v>
      </c>
      <c r="AO40" s="56">
        <f t="shared" si="15"/>
        <v>0.989810451663654</v>
      </c>
      <c r="AP40" s="56">
        <f t="shared" si="15"/>
        <v>0.99107358702759862</v>
      </c>
      <c r="AR40">
        <f t="shared" si="25"/>
        <v>1.8648437500000002E-5</v>
      </c>
      <c r="AS40">
        <f>((($H40*O$4)*0.000000001)/$I40)*$AS$29</f>
        <v>3.9593750000000004E-2</v>
      </c>
      <c r="AT40">
        <f t="shared" si="16"/>
        <v>0.84765625</v>
      </c>
      <c r="AU40">
        <f t="shared" si="16"/>
        <v>7.8203124999999998E-2</v>
      </c>
      <c r="AV40">
        <f t="shared" si="16"/>
        <v>0.21328125000000001</v>
      </c>
      <c r="AX40">
        <f t="shared" si="26"/>
        <v>2.2093200000000002E-4</v>
      </c>
      <c r="AY40">
        <f t="shared" si="17"/>
        <v>2.9039600000000002E-2</v>
      </c>
      <c r="AZ40">
        <f t="shared" si="17"/>
        <v>0.57426238400000007</v>
      </c>
      <c r="BA40">
        <f t="shared" si="17"/>
        <v>0.118697408</v>
      </c>
      <c r="BB40">
        <f t="shared" si="17"/>
        <v>0.36999992000000004</v>
      </c>
      <c r="BD40">
        <f t="shared" si="27"/>
        <v>2.3958043750000002E-4</v>
      </c>
      <c r="BE40">
        <f t="shared" si="18"/>
        <v>6.863335000000001E-2</v>
      </c>
      <c r="BF40">
        <f t="shared" si="18"/>
        <v>1.4219186340000001</v>
      </c>
      <c r="BG40">
        <f t="shared" si="18"/>
        <v>0.19690053299999999</v>
      </c>
      <c r="BH40">
        <f t="shared" si="18"/>
        <v>0.58328117000000002</v>
      </c>
      <c r="BJ40">
        <f t="shared" si="28"/>
        <v>267133.66361558629</v>
      </c>
      <c r="BK40">
        <f t="shared" si="19"/>
        <v>932.49127428575162</v>
      </c>
      <c r="BL40">
        <f t="shared" si="19"/>
        <v>45.009607771973258</v>
      </c>
      <c r="BM40">
        <f t="shared" si="19"/>
        <v>325.03721053919139</v>
      </c>
      <c r="BN40">
        <f t="shared" si="19"/>
        <v>109.72409755658664</v>
      </c>
      <c r="BP40" s="56">
        <f t="shared" si="29"/>
        <v>0.92216210265497989</v>
      </c>
      <c r="BQ40" s="56">
        <f t="shared" si="20"/>
        <v>0.42311208763669556</v>
      </c>
      <c r="BR40" s="56">
        <f t="shared" si="20"/>
        <v>0.40386444784434833</v>
      </c>
      <c r="BS40" s="56">
        <f t="shared" si="20"/>
        <v>0.60282928741487973</v>
      </c>
      <c r="BT40" s="56">
        <f t="shared" si="20"/>
        <v>0.63434230184389462</v>
      </c>
    </row>
    <row r="41" spans="4:72" x14ac:dyDescent="0.2">
      <c r="D41" s="2" t="s">
        <v>443</v>
      </c>
      <c r="E41">
        <v>21</v>
      </c>
      <c r="F41">
        <v>4</v>
      </c>
      <c r="G41">
        <v>22</v>
      </c>
      <c r="H41">
        <f t="shared" si="30"/>
        <v>200</v>
      </c>
      <c r="I41">
        <f>1024*16*4</f>
        <v>65536</v>
      </c>
      <c r="J41">
        <v>273.38</v>
      </c>
      <c r="K41">
        <v>24</v>
      </c>
      <c r="L41">
        <f>I41/4</f>
        <v>16384</v>
      </c>
      <c r="M41" s="14">
        <v>8</v>
      </c>
      <c r="N41">
        <f t="shared" si="22"/>
        <v>1.0406494140625002E-6</v>
      </c>
      <c r="O41">
        <f t="shared" si="11"/>
        <v>2.2094726562500002E-3</v>
      </c>
      <c r="P41">
        <f t="shared" si="11"/>
        <v>4.730224609375E-2</v>
      </c>
      <c r="Q41">
        <f t="shared" si="11"/>
        <v>4.364013671875E-3</v>
      </c>
      <c r="R41">
        <f t="shared" si="11"/>
        <v>1.190185546875E-2</v>
      </c>
      <c r="T41">
        <f>(($K41*(T$5))*0.000000001)</f>
        <v>1.39536E-4</v>
      </c>
      <c r="U41">
        <f t="shared" si="12"/>
        <v>1.8340800000000001E-2</v>
      </c>
      <c r="V41">
        <f t="shared" si="12"/>
        <v>0.362692032</v>
      </c>
      <c r="W41">
        <f t="shared" si="12"/>
        <v>7.4966784000000009E-2</v>
      </c>
      <c r="X41">
        <f t="shared" si="12"/>
        <v>0.23368416</v>
      </c>
      <c r="Z41">
        <f t="shared" si="31"/>
        <v>1.4057664941406249E-4</v>
      </c>
      <c r="AA41">
        <f t="shared" si="13"/>
        <v>2.055027265625E-2</v>
      </c>
      <c r="AB41">
        <f t="shared" si="13"/>
        <v>0.40999427809375</v>
      </c>
      <c r="AC41">
        <f t="shared" si="13"/>
        <v>7.9330797671875009E-2</v>
      </c>
      <c r="AD41">
        <f t="shared" si="13"/>
        <v>0.24558601546875</v>
      </c>
      <c r="AF41">
        <f t="shared" si="24"/>
        <v>7113.5569397058462</v>
      </c>
      <c r="AG41">
        <f t="shared" si="14"/>
        <v>48.661154853138541</v>
      </c>
      <c r="AH41">
        <f t="shared" si="14"/>
        <v>2.4390584294235889</v>
      </c>
      <c r="AI41">
        <f t="shared" si="14"/>
        <v>12.605444913539904</v>
      </c>
      <c r="AJ41">
        <f t="shared" si="14"/>
        <v>4.0718930924926653</v>
      </c>
      <c r="AL41" s="56">
        <f t="shared" si="32"/>
        <v>0.99259728113879497</v>
      </c>
      <c r="AM41" s="56">
        <f t="shared" si="15"/>
        <v>0.8924845089304434</v>
      </c>
      <c r="AN41" s="56">
        <f t="shared" si="15"/>
        <v>0.88462705793437002</v>
      </c>
      <c r="AO41" s="56">
        <f t="shared" si="15"/>
        <v>0.94498966605724466</v>
      </c>
      <c r="AP41" s="56">
        <f t="shared" si="15"/>
        <v>0.95153691692895082</v>
      </c>
      <c r="AR41">
        <f t="shared" si="25"/>
        <v>6.660156250000001E-5</v>
      </c>
      <c r="AS41">
        <f t="shared" si="16"/>
        <v>0.14140625000000001</v>
      </c>
      <c r="AT41">
        <f t="shared" si="16"/>
        <v>3.02734375</v>
      </c>
      <c r="AU41">
        <f t="shared" si="16"/>
        <v>0.279296875</v>
      </c>
      <c r="AV41">
        <f t="shared" si="16"/>
        <v>0.76171875</v>
      </c>
      <c r="AX41">
        <f t="shared" si="26"/>
        <v>1.39536E-4</v>
      </c>
      <c r="AY41">
        <f t="shared" si="17"/>
        <v>1.8340800000000001E-2</v>
      </c>
      <c r="AZ41">
        <f t="shared" si="17"/>
        <v>0.362692032</v>
      </c>
      <c r="BA41">
        <f t="shared" si="17"/>
        <v>7.4966784000000009E-2</v>
      </c>
      <c r="BB41">
        <f t="shared" si="17"/>
        <v>0.23368416</v>
      </c>
      <c r="BD41">
        <f t="shared" si="27"/>
        <v>2.0613756250000001E-4</v>
      </c>
      <c r="BE41">
        <f t="shared" si="18"/>
        <v>0.15974705</v>
      </c>
      <c r="BF41">
        <f t="shared" si="18"/>
        <v>3.390035782</v>
      </c>
      <c r="BG41">
        <f t="shared" si="18"/>
        <v>0.35426365900000001</v>
      </c>
      <c r="BH41">
        <f t="shared" si="18"/>
        <v>0.99540291000000003</v>
      </c>
      <c r="BJ41">
        <f t="shared" si="28"/>
        <v>310472.28473946854</v>
      </c>
      <c r="BK41">
        <f t="shared" si="19"/>
        <v>400.63337632838915</v>
      </c>
      <c r="BL41">
        <f t="shared" si="19"/>
        <v>18.87885677780141</v>
      </c>
      <c r="BM41">
        <f t="shared" si="19"/>
        <v>180.65640766161678</v>
      </c>
      <c r="BN41">
        <f t="shared" si="19"/>
        <v>64.295572533538206</v>
      </c>
      <c r="BP41" s="56">
        <f t="shared" si="29"/>
        <v>0.67690719880322636</v>
      </c>
      <c r="BQ41" s="56">
        <f t="shared" si="20"/>
        <v>0.11481150982130812</v>
      </c>
      <c r="BR41" s="56">
        <f t="shared" si="20"/>
        <v>0.10698767072777758</v>
      </c>
      <c r="BS41" s="56">
        <f t="shared" si="20"/>
        <v>0.21161296705288082</v>
      </c>
      <c r="BT41" s="56">
        <f t="shared" si="20"/>
        <v>0.23476338842529604</v>
      </c>
    </row>
    <row r="42" spans="4:72" x14ac:dyDescent="0.2">
      <c r="D42" s="2" t="s">
        <v>547</v>
      </c>
      <c r="H42" s="55">
        <v>5.25</v>
      </c>
      <c r="I42">
        <v>4098</v>
      </c>
      <c r="J42" s="55">
        <v>77</v>
      </c>
      <c r="K42">
        <v>5</v>
      </c>
      <c r="L42">
        <f>I42/4</f>
        <v>1024.5</v>
      </c>
      <c r="M42" s="14">
        <v>21</v>
      </c>
      <c r="N42">
        <f t="shared" si="22"/>
        <v>4.368594436310396E-7</v>
      </c>
      <c r="O42">
        <f t="shared" si="11"/>
        <v>9.2752562225475847E-4</v>
      </c>
      <c r="P42">
        <f t="shared" si="11"/>
        <v>1.9857247437774523E-2</v>
      </c>
      <c r="Q42">
        <f t="shared" si="11"/>
        <v>1.83199121522694E-3</v>
      </c>
      <c r="R42">
        <f t="shared" si="11"/>
        <v>4.996339677891655E-3</v>
      </c>
      <c r="T42">
        <f>(($K42*(T$5))*0.000000001)</f>
        <v>2.9070000000000001E-5</v>
      </c>
      <c r="U42">
        <f t="shared" si="12"/>
        <v>3.8210000000000002E-3</v>
      </c>
      <c r="V42">
        <f t="shared" si="12"/>
        <v>7.5560840000000004E-2</v>
      </c>
      <c r="W42">
        <f t="shared" si="12"/>
        <v>1.5618080000000001E-2</v>
      </c>
      <c r="X42">
        <f t="shared" si="12"/>
        <v>4.8684200000000004E-2</v>
      </c>
      <c r="Z42">
        <f t="shared" si="31"/>
        <v>2.9506859443631041E-5</v>
      </c>
      <c r="AA42">
        <f t="shared" si="13"/>
        <v>4.748525622254759E-3</v>
      </c>
      <c r="AB42">
        <f>P42+V42</f>
        <v>9.5418087437774524E-2</v>
      </c>
      <c r="AC42">
        <f t="shared" si="13"/>
        <v>1.7450071215226941E-2</v>
      </c>
      <c r="AD42">
        <f t="shared" si="13"/>
        <v>5.3680539677891659E-2</v>
      </c>
      <c r="AF42">
        <f t="shared" si="24"/>
        <v>33890.424764125368</v>
      </c>
      <c r="AG42">
        <f t="shared" si="14"/>
        <v>210.59168246104284</v>
      </c>
      <c r="AH42">
        <f>1/AB42</f>
        <v>10.480193293039278</v>
      </c>
      <c r="AI42">
        <f t="shared" si="14"/>
        <v>57.306356384803721</v>
      </c>
      <c r="AJ42">
        <f t="shared" si="14"/>
        <v>18.628724785564149</v>
      </c>
      <c r="AL42" s="56">
        <f t="shared" si="32"/>
        <v>0.98519464789312461</v>
      </c>
      <c r="AM42" s="56">
        <f t="shared" si="15"/>
        <v>0.80467081868364465</v>
      </c>
      <c r="AN42" s="56">
        <f t="shared" si="15"/>
        <v>0.79189220858441411</v>
      </c>
      <c r="AO42" s="56">
        <f t="shared" si="15"/>
        <v>0.89501525852637531</v>
      </c>
      <c r="AP42" s="56">
        <f t="shared" si="15"/>
        <v>0.90692456320536219</v>
      </c>
      <c r="AR42">
        <f t="shared" si="25"/>
        <v>2.7959004392386534E-5</v>
      </c>
      <c r="AS42">
        <f>((($H42*O$4)*0.000000001)/$I42)*$AS$29</f>
        <v>5.9361639824304542E-2</v>
      </c>
      <c r="AT42">
        <f t="shared" si="16"/>
        <v>1.2708638360175695</v>
      </c>
      <c r="AU42">
        <f t="shared" si="16"/>
        <v>0.11724743777452416</v>
      </c>
      <c r="AV42">
        <f t="shared" si="16"/>
        <v>0.31976573938506592</v>
      </c>
      <c r="AX42">
        <f t="shared" si="26"/>
        <v>2.9070000000000001E-5</v>
      </c>
      <c r="AY42">
        <f>(($K42*(U$5))*0.000000001)</f>
        <v>3.8210000000000002E-3</v>
      </c>
      <c r="AZ42">
        <f t="shared" si="17"/>
        <v>7.5560840000000004E-2</v>
      </c>
      <c r="BA42">
        <f t="shared" si="17"/>
        <v>1.5618080000000001E-2</v>
      </c>
      <c r="BB42">
        <f t="shared" si="17"/>
        <v>4.8684200000000004E-2</v>
      </c>
      <c r="BD42">
        <f t="shared" si="27"/>
        <v>5.7029004392386532E-5</v>
      </c>
      <c r="BE42">
        <f t="shared" si="18"/>
        <v>6.318263982430454E-2</v>
      </c>
      <c r="BF42">
        <f t="shared" si="18"/>
        <v>1.3464246760175695</v>
      </c>
      <c r="BG42">
        <f t="shared" si="18"/>
        <v>0.13286551777452416</v>
      </c>
      <c r="BH42">
        <f t="shared" si="18"/>
        <v>0.36844993938506593</v>
      </c>
      <c r="BJ42">
        <f>(1/BD42)*$AS$29</f>
        <v>1122235.9689053963</v>
      </c>
      <c r="BK42">
        <f t="shared" si="19"/>
        <v>1012.9364676431428</v>
      </c>
      <c r="BL42">
        <f t="shared" si="19"/>
        <v>47.533294019311974</v>
      </c>
      <c r="BM42">
        <f t="shared" si="19"/>
        <v>481.69006580480476</v>
      </c>
      <c r="BN42">
        <f t="shared" si="19"/>
        <v>173.7006663831034</v>
      </c>
      <c r="BP42" s="56">
        <f t="shared" si="29"/>
        <v>0.50974061900124801</v>
      </c>
      <c r="BQ42" s="56">
        <f t="shared" si="20"/>
        <v>6.0475472544757013E-2</v>
      </c>
      <c r="BR42" s="56">
        <f t="shared" si="20"/>
        <v>5.6119619126034206E-2</v>
      </c>
      <c r="BS42" s="56">
        <f t="shared" si="20"/>
        <v>0.11754803098351103</v>
      </c>
      <c r="BT42" s="56">
        <f t="shared" si="20"/>
        <v>0.13213246847387941</v>
      </c>
    </row>
    <row r="43" spans="4:72" x14ac:dyDescent="0.2">
      <c r="D43" s="2" t="s">
        <v>548</v>
      </c>
      <c r="AL43" s="56"/>
      <c r="AM43" s="56"/>
      <c r="AN43" s="56"/>
      <c r="AO43" s="56"/>
      <c r="AP43" s="56"/>
      <c r="BP43" s="56"/>
      <c r="BQ43" s="56"/>
      <c r="BR43" s="56"/>
      <c r="BS43" s="56"/>
      <c r="BT43" s="56"/>
    </row>
    <row r="44" spans="4:72" x14ac:dyDescent="0.2">
      <c r="D44" s="2"/>
      <c r="AL44" s="56"/>
      <c r="AM44" s="56"/>
      <c r="AN44" s="56"/>
      <c r="AO44" s="56"/>
      <c r="AP44" s="56"/>
      <c r="BP44" s="56"/>
      <c r="BQ44" s="56"/>
      <c r="BR44" s="56"/>
      <c r="BS44" s="56"/>
      <c r="BT44" s="56"/>
    </row>
    <row r="45" spans="4:72" ht="32" x14ac:dyDescent="0.2">
      <c r="D45" s="2"/>
      <c r="K45" s="77" t="s">
        <v>549</v>
      </c>
      <c r="L45">
        <v>2.1000000000000001E-2</v>
      </c>
      <c r="AL45" s="2" t="s">
        <v>417</v>
      </c>
      <c r="AM45" s="2" t="s">
        <v>418</v>
      </c>
      <c r="AN45" s="2" t="s">
        <v>419</v>
      </c>
      <c r="AO45" s="2" t="s">
        <v>420</v>
      </c>
      <c r="AP45" s="2" t="s">
        <v>421</v>
      </c>
      <c r="BJ45" s="2" t="s">
        <v>417</v>
      </c>
      <c r="BK45" s="2" t="s">
        <v>418</v>
      </c>
      <c r="BL45" s="2" t="s">
        <v>419</v>
      </c>
      <c r="BM45" s="2" t="s">
        <v>420</v>
      </c>
      <c r="BN45" s="2" t="s">
        <v>421</v>
      </c>
      <c r="BP45" s="56"/>
      <c r="BQ45" s="56"/>
      <c r="BR45" s="56"/>
      <c r="BS45" s="56"/>
      <c r="BT45" s="56"/>
    </row>
    <row r="46" spans="4:72" ht="19" x14ac:dyDescent="0.25">
      <c r="D46" s="2"/>
      <c r="N46" s="136" t="s">
        <v>466</v>
      </c>
      <c r="O46" s="136"/>
      <c r="P46" s="136"/>
      <c r="Q46" s="136"/>
      <c r="R46" s="136"/>
      <c r="S46" s="136"/>
      <c r="T46" s="136"/>
      <c r="U46" s="136"/>
      <c r="V46" s="136"/>
      <c r="W46" s="136"/>
      <c r="X46" s="136"/>
      <c r="Y46" s="136"/>
      <c r="Z46" s="136"/>
      <c r="AA46" s="136"/>
      <c r="AB46" s="136"/>
      <c r="AC46" s="136"/>
      <c r="AD46" s="136"/>
      <c r="AE46" s="136"/>
      <c r="AF46" s="136"/>
      <c r="AG46" s="136"/>
      <c r="AH46" s="136"/>
      <c r="AI46" s="136"/>
      <c r="AJ46" s="136"/>
      <c r="AL46" s="135" t="s">
        <v>466</v>
      </c>
      <c r="AM46" s="135"/>
      <c r="AN46" s="135"/>
      <c r="AO46" s="135"/>
      <c r="AP46" s="135"/>
      <c r="AR46" s="130" t="s">
        <v>480</v>
      </c>
      <c r="AS46" s="130"/>
      <c r="AT46" s="130"/>
      <c r="AU46" s="130"/>
      <c r="AV46" s="130"/>
      <c r="AW46" s="130"/>
      <c r="AX46" s="130"/>
      <c r="AY46" s="130"/>
      <c r="AZ46" s="130"/>
      <c r="BA46" s="130"/>
      <c r="BB46" s="130"/>
      <c r="BC46" s="130"/>
      <c r="BD46" s="130"/>
      <c r="BE46" s="130"/>
      <c r="BF46" s="130"/>
      <c r="BG46" s="130"/>
      <c r="BH46" s="130"/>
      <c r="BJ46" s="130" t="s">
        <v>552</v>
      </c>
      <c r="BK46" s="130"/>
      <c r="BL46" s="130"/>
      <c r="BM46" s="130"/>
      <c r="BN46" s="130"/>
      <c r="BP46" s="56"/>
      <c r="BQ46" s="56"/>
      <c r="BR46" s="56"/>
      <c r="BS46" s="56"/>
      <c r="BT46" s="56"/>
    </row>
    <row r="47" spans="4:72" x14ac:dyDescent="0.2">
      <c r="D47" s="2"/>
      <c r="G47" s="2" t="s">
        <v>473</v>
      </c>
      <c r="H47" s="2" t="s">
        <v>412</v>
      </c>
      <c r="I47" s="2" t="s">
        <v>472</v>
      </c>
      <c r="J47" s="2" t="s">
        <v>445</v>
      </c>
      <c r="K47" s="2" t="s">
        <v>474</v>
      </c>
      <c r="L47" s="2" t="s">
        <v>40</v>
      </c>
      <c r="N47" s="119" t="s">
        <v>476</v>
      </c>
      <c r="O47" s="119"/>
      <c r="P47" s="119"/>
      <c r="Q47" s="119"/>
      <c r="R47" s="119"/>
      <c r="T47" s="119" t="s">
        <v>477</v>
      </c>
      <c r="U47" s="119"/>
      <c r="V47" s="119"/>
      <c r="W47" s="119"/>
      <c r="X47" s="119"/>
      <c r="Z47" s="119" t="s">
        <v>475</v>
      </c>
      <c r="AA47" s="119"/>
      <c r="AB47" s="119"/>
      <c r="AC47" s="119"/>
      <c r="AD47" s="119"/>
      <c r="AF47" s="119" t="s">
        <v>478</v>
      </c>
      <c r="AG47" s="119"/>
      <c r="AH47" s="119"/>
      <c r="AI47" s="119"/>
      <c r="AJ47" s="119"/>
      <c r="AL47" s="134" t="s">
        <v>551</v>
      </c>
      <c r="AM47" s="134"/>
      <c r="AN47" s="134"/>
      <c r="AO47" s="134"/>
      <c r="AP47" s="134"/>
      <c r="AR47" s="119" t="s">
        <v>479</v>
      </c>
      <c r="AS47" s="119"/>
      <c r="AT47" s="119"/>
      <c r="AU47" s="119"/>
      <c r="AV47" s="119"/>
      <c r="AW47" t="s">
        <v>582</v>
      </c>
      <c r="AX47" s="119" t="s">
        <v>481</v>
      </c>
      <c r="AY47" s="119"/>
      <c r="AZ47" s="119"/>
      <c r="BA47" s="119"/>
      <c r="BB47" s="119"/>
      <c r="BD47" s="119" t="s">
        <v>478</v>
      </c>
      <c r="BE47" s="119"/>
      <c r="BF47" s="119"/>
      <c r="BG47" s="119"/>
      <c r="BH47" s="119"/>
      <c r="BJ47" s="119" t="s">
        <v>551</v>
      </c>
      <c r="BK47" s="119"/>
      <c r="BL47" s="119"/>
      <c r="BM47" s="119"/>
      <c r="BN47" s="119"/>
      <c r="BP47" s="56"/>
      <c r="BQ47" s="56"/>
      <c r="BR47" s="56"/>
      <c r="BS47" s="56"/>
      <c r="BT47" s="56"/>
    </row>
    <row r="48" spans="4:72" x14ac:dyDescent="0.2">
      <c r="D48" s="2" t="s">
        <v>429</v>
      </c>
      <c r="G48">
        <v>30</v>
      </c>
      <c r="H48">
        <f>(E37+F37)*$G48</f>
        <v>6630</v>
      </c>
      <c r="I48">
        <f>(H48/H37)*I37*0.001</f>
        <v>122.88</v>
      </c>
      <c r="J48">
        <v>55</v>
      </c>
      <c r="K48">
        <f>G48</f>
        <v>30</v>
      </c>
      <c r="L48">
        <f>$L$45*I37</f>
        <v>688.12800000000004</v>
      </c>
      <c r="N48">
        <f>(($H48*N$4)*0.000000000001)</f>
        <v>2.2608300000000001E-3</v>
      </c>
      <c r="O48">
        <f>(($H48*O$4)*0.000000000001)</f>
        <v>4.8001199999999997</v>
      </c>
      <c r="P48">
        <f t="shared" ref="O48:R53" si="33">(($H48*P$4)*0.000000000001)</f>
        <v>102.765</v>
      </c>
      <c r="Q48">
        <f t="shared" si="33"/>
        <v>9.4809000000000001</v>
      </c>
      <c r="R48">
        <f t="shared" si="33"/>
        <v>25.856999999999999</v>
      </c>
      <c r="T48">
        <f>($K48*T$5*$I37)*0.000000000001</f>
        <v>5.7153945599999999E-3</v>
      </c>
      <c r="U48">
        <f t="shared" ref="U48:X48" si="34">($K48*U$5*$I37)*0.000000000001</f>
        <v>0.75123916800000001</v>
      </c>
      <c r="V48">
        <f t="shared" si="34"/>
        <v>14.85586563072</v>
      </c>
      <c r="W48">
        <f t="shared" si="34"/>
        <v>3.0706394726399999</v>
      </c>
      <c r="X48">
        <f t="shared" si="34"/>
        <v>9.5717031935999994</v>
      </c>
      <c r="Z48">
        <f>(N48+T48)/Z37</f>
        <v>122.87999999999998</v>
      </c>
      <c r="AA48">
        <f t="shared" ref="AA48:AD53" si="35">(O48+U48)/AA37</f>
        <v>122.87999999999998</v>
      </c>
      <c r="AB48">
        <f t="shared" si="35"/>
        <v>122.88000000000001</v>
      </c>
      <c r="AC48">
        <f t="shared" si="35"/>
        <v>122.87999999999998</v>
      </c>
      <c r="AD48">
        <f t="shared" si="35"/>
        <v>122.88000000000001</v>
      </c>
      <c r="AF48">
        <f>AF37/Z48</f>
        <v>125.37259858691843</v>
      </c>
      <c r="AG48">
        <f t="shared" ref="AG48:AJ53" si="36">AG37/AA48</f>
        <v>0.18013606573401958</v>
      </c>
      <c r="AH48">
        <f>AH37/AB48</f>
        <v>8.5018928796152457E-3</v>
      </c>
      <c r="AI48">
        <f t="shared" si="36"/>
        <v>7.967150182492054E-2</v>
      </c>
      <c r="AJ48">
        <f t="shared" si="36"/>
        <v>2.8225701475312379E-2</v>
      </c>
      <c r="AL48">
        <f>AF48/J48</f>
        <v>2.2795017924894259</v>
      </c>
      <c r="AM48">
        <f>AG48/J48</f>
        <v>3.2752011951639923E-3</v>
      </c>
      <c r="AN48">
        <f>AH48/J48</f>
        <v>1.5457987053845901E-4</v>
      </c>
      <c r="AO48">
        <f>AI48/J48</f>
        <v>1.4485727604531006E-3</v>
      </c>
      <c r="AP48">
        <f>AJ48/J48</f>
        <v>5.1319457227840687E-4</v>
      </c>
      <c r="AR48">
        <f>N48*$AS$29</f>
        <v>0.14469312000000001</v>
      </c>
      <c r="AS48">
        <f t="shared" ref="AS48:AV52" si="37">O48*$AS$29</f>
        <v>307.20767999999998</v>
      </c>
      <c r="AT48">
        <f t="shared" si="37"/>
        <v>6576.96</v>
      </c>
      <c r="AU48">
        <f>Q48*$AS$29</f>
        <v>606.77760000000001</v>
      </c>
      <c r="AV48">
        <f t="shared" si="37"/>
        <v>1654.848</v>
      </c>
      <c r="AW48">
        <f>GEOMEAN(AR48:AV48)</f>
        <v>196.57965111603235</v>
      </c>
      <c r="AX48">
        <f>(AR48+T48)/BD37</f>
        <v>122.87999999999998</v>
      </c>
      <c r="AY48">
        <f t="shared" ref="AY48:BB52" si="38">(AS48+U48)/BE37</f>
        <v>122.87999999999998</v>
      </c>
      <c r="AZ48">
        <f t="shared" si="38"/>
        <v>122.88</v>
      </c>
      <c r="BA48">
        <f t="shared" si="38"/>
        <v>122.87999999999998</v>
      </c>
      <c r="BB48">
        <f t="shared" si="38"/>
        <v>122.87999999999998</v>
      </c>
      <c r="BD48">
        <f>BJ37/AX48</f>
        <v>425.50782571866654</v>
      </c>
      <c r="BE48">
        <f t="shared" ref="BE48:BH52" si="39">BK37/AY48</f>
        <v>0.2078199266736816</v>
      </c>
      <c r="BF48">
        <f t="shared" si="39"/>
        <v>9.7090090658769231E-3</v>
      </c>
      <c r="BG48">
        <f>BM37/BA48</f>
        <v>0.10494414160372645</v>
      </c>
      <c r="BH48">
        <f t="shared" si="39"/>
        <v>3.8451839927874085E-2</v>
      </c>
      <c r="BJ48">
        <f>BD48/J48</f>
        <v>7.7365059221575736</v>
      </c>
      <c r="BK48">
        <f>BE48/J48</f>
        <v>3.7785441213396653E-3</v>
      </c>
      <c r="BL48">
        <f>BF48/J48</f>
        <v>1.765274375613986E-4</v>
      </c>
      <c r="BM48">
        <f>BG48/J48</f>
        <v>1.9080753018859355E-3</v>
      </c>
      <c r="BN48">
        <f>BH48/J48</f>
        <v>6.9912436232498335E-4</v>
      </c>
      <c r="BP48" s="56"/>
      <c r="BQ48" s="56"/>
      <c r="BR48" s="56"/>
      <c r="BS48" s="56"/>
      <c r="BT48" s="56"/>
    </row>
    <row r="49" spans="4:72" x14ac:dyDescent="0.2">
      <c r="D49" s="2" t="s">
        <v>430</v>
      </c>
      <c r="G49">
        <v>102.4</v>
      </c>
      <c r="H49">
        <f t="shared" ref="H49:H52" si="40">(E38+F38)*$G49</f>
        <v>21606.400000000001</v>
      </c>
      <c r="I49">
        <f t="shared" ref="I49:I52" si="41">(H49/H38)*I38*0.001</f>
        <v>167.77216000000001</v>
      </c>
      <c r="J49">
        <v>64.599999999999994</v>
      </c>
      <c r="K49">
        <f t="shared" ref="K49:K52" si="42">G49</f>
        <v>102.4</v>
      </c>
      <c r="L49">
        <f t="shared" ref="L49:L52" si="43">$L$45*I38</f>
        <v>344.06400000000002</v>
      </c>
      <c r="N49">
        <f t="shared" ref="N49:N53" si="44">(($H49*N$4)*0.000000000001)</f>
        <v>7.3677824000000008E-3</v>
      </c>
      <c r="O49">
        <f t="shared" si="33"/>
        <v>15.643033600000001</v>
      </c>
      <c r="P49">
        <f t="shared" si="33"/>
        <v>334.89920000000001</v>
      </c>
      <c r="Q49">
        <f t="shared" si="33"/>
        <v>30.897152000000002</v>
      </c>
      <c r="R49">
        <f t="shared" si="33"/>
        <v>84.264960000000002</v>
      </c>
      <c r="T49">
        <f t="shared" ref="T49:X53" si="45">($K49*T$5*$I38)*0.000000000001</f>
        <v>9.7542733823999996E-3</v>
      </c>
      <c r="U49">
        <f t="shared" si="45"/>
        <v>1.2821148467199999</v>
      </c>
      <c r="V49">
        <f t="shared" si="45"/>
        <v>25.3540106764288</v>
      </c>
      <c r="W49">
        <f t="shared" si="45"/>
        <v>5.2405580333056001</v>
      </c>
      <c r="X49">
        <f t="shared" si="45"/>
        <v>16.335706783744001</v>
      </c>
      <c r="Z49">
        <f t="shared" ref="Z49:Z53" si="46">(N49+T49)/Z38</f>
        <v>103.13907067010999</v>
      </c>
      <c r="AA49">
        <f t="shared" si="35"/>
        <v>154.86747671331636</v>
      </c>
      <c r="AB49">
        <f t="shared" si="35"/>
        <v>155.71714058406187</v>
      </c>
      <c r="AC49">
        <f t="shared" si="35"/>
        <v>144.69129894942458</v>
      </c>
      <c r="AD49">
        <f t="shared" si="35"/>
        <v>142.34628573959168</v>
      </c>
      <c r="AF49">
        <f t="shared" ref="AF49:AF53" si="47">AF38/Z49</f>
        <v>58.404201733060226</v>
      </c>
      <c r="AG49">
        <f t="shared" si="36"/>
        <v>5.9083676763484708E-2</v>
      </c>
      <c r="AH49">
        <f t="shared" si="36"/>
        <v>2.7758253649491473E-3</v>
      </c>
      <c r="AI49">
        <f t="shared" si="36"/>
        <v>2.7671924952587475E-2</v>
      </c>
      <c r="AJ49">
        <f t="shared" si="36"/>
        <v>9.9402919679414028E-3</v>
      </c>
      <c r="AL49">
        <f t="shared" ref="AL49:AL53" si="48">AF49/J49</f>
        <v>0.90408981010929146</v>
      </c>
      <c r="AM49">
        <f t="shared" ref="AM49:AM53" si="49">AG49/J49</f>
        <v>9.1460799943474786E-4</v>
      </c>
      <c r="AN49">
        <f t="shared" ref="AN49:AN53" si="50">AH49/J49</f>
        <v>4.2969432893949651E-5</v>
      </c>
      <c r="AO49">
        <f t="shared" ref="AO49:AO53" si="51">AI49/J49</f>
        <v>4.2835797140228292E-4</v>
      </c>
      <c r="AP49">
        <f t="shared" ref="AP49:AP53" si="52">AJ49/J49</f>
        <v>1.538744886678236E-4</v>
      </c>
      <c r="AR49">
        <f t="shared" ref="AR49:AR51" si="53">N49*$AS$29</f>
        <v>0.47153807360000005</v>
      </c>
      <c r="AS49">
        <f t="shared" si="37"/>
        <v>1001.1541504</v>
      </c>
      <c r="AT49">
        <f t="shared" si="37"/>
        <v>21433.5488</v>
      </c>
      <c r="AU49">
        <f t="shared" si="37"/>
        <v>1977.4177280000001</v>
      </c>
      <c r="AV49">
        <f t="shared" si="37"/>
        <v>5392.9574400000001</v>
      </c>
      <c r="AW49">
        <f t="shared" ref="AW49:AW53" si="54">GEOMEAN(AR49:AV49)</f>
        <v>640.6302524695991</v>
      </c>
      <c r="AX49">
        <f t="shared" ref="AX49:AX51" si="55">(AR49+T49)/BD38</f>
        <v>164.11349251861549</v>
      </c>
      <c r="AY49">
        <f t="shared" si="38"/>
        <v>167.53645317297321</v>
      </c>
      <c r="AZ49">
        <f t="shared" si="38"/>
        <v>167.55439520751739</v>
      </c>
      <c r="BA49">
        <f t="shared" si="38"/>
        <v>167.28577367091398</v>
      </c>
      <c r="BB49">
        <f t="shared" si="38"/>
        <v>167.21667838555092</v>
      </c>
      <c r="BD49">
        <f t="shared" ref="BD49:BD53" si="56">BJ38/AX49</f>
        <v>132.97531199335765</v>
      </c>
      <c r="BE49">
        <f t="shared" si="39"/>
        <v>6.3844457965862092E-2</v>
      </c>
      <c r="BF49">
        <f t="shared" si="39"/>
        <v>2.9824451214792835E-3</v>
      </c>
      <c r="BG49">
        <f t="shared" si="39"/>
        <v>3.2279894347323194E-2</v>
      </c>
      <c r="BH49">
        <f t="shared" si="39"/>
        <v>1.183149041165445E-2</v>
      </c>
      <c r="BJ49">
        <f t="shared" ref="BJ49:BJ53" si="57">BD49/J49</f>
        <v>2.0584413621262794</v>
      </c>
      <c r="BK49">
        <f t="shared" ref="BK49:BK52" si="58">BE49/J49</f>
        <v>9.8830430287712222E-4</v>
      </c>
      <c r="BL49">
        <f t="shared" ref="BL49:BL52" si="59">BF49/J49</f>
        <v>4.6167881137450215E-5</v>
      </c>
      <c r="BM49">
        <f t="shared" ref="BM49:BM52" si="60">BG49/J49</f>
        <v>4.9968876698642725E-4</v>
      </c>
      <c r="BN49">
        <f t="shared" ref="BN49:BN52" si="61">BH49/J49</f>
        <v>1.8315000637235992E-4</v>
      </c>
      <c r="BP49" s="56"/>
      <c r="BQ49" s="56"/>
      <c r="BR49" s="56"/>
      <c r="BS49" s="56"/>
      <c r="BT49" s="56"/>
    </row>
    <row r="50" spans="4:72" x14ac:dyDescent="0.2">
      <c r="D50" s="2" t="s">
        <v>428</v>
      </c>
      <c r="G50">
        <v>7</v>
      </c>
      <c r="H50">
        <v>150</v>
      </c>
      <c r="I50">
        <f>(H50/H39)*I39*0.001</f>
        <v>10.638961038961039</v>
      </c>
      <c r="J50">
        <v>61</v>
      </c>
      <c r="K50">
        <f t="shared" si="42"/>
        <v>7</v>
      </c>
      <c r="L50">
        <f t="shared" si="43"/>
        <v>344.06400000000002</v>
      </c>
      <c r="N50">
        <f t="shared" si="44"/>
        <v>5.1149999999999996E-5</v>
      </c>
      <c r="O50">
        <f t="shared" si="33"/>
        <v>0.1086</v>
      </c>
      <c r="P50">
        <f t="shared" si="33"/>
        <v>2.3249999999999997</v>
      </c>
      <c r="Q50">
        <f t="shared" si="33"/>
        <v>0.2145</v>
      </c>
      <c r="R50">
        <f t="shared" si="33"/>
        <v>0.58499999999999996</v>
      </c>
      <c r="T50">
        <f t="shared" si="45"/>
        <v>6.6679603199999997E-4</v>
      </c>
      <c r="U50">
        <f t="shared" si="45"/>
        <v>8.76445696E-2</v>
      </c>
      <c r="V50">
        <f t="shared" si="45"/>
        <v>1.7331843235839999</v>
      </c>
      <c r="W50">
        <f t="shared" si="45"/>
        <v>0.35824127180799997</v>
      </c>
      <c r="X50">
        <f t="shared" si="45"/>
        <v>1.11669870592</v>
      </c>
      <c r="Z50">
        <f t="shared" si="46"/>
        <v>11.405418913108459</v>
      </c>
      <c r="AA50">
        <f t="shared" si="35"/>
        <v>10.994239095121072</v>
      </c>
      <c r="AB50">
        <f t="shared" si="35"/>
        <v>10.978211477475257</v>
      </c>
      <c r="AC50">
        <f t="shared" si="35"/>
        <v>11.143280884043174</v>
      </c>
      <c r="AD50">
        <f t="shared" si="35"/>
        <v>11.169302062246803</v>
      </c>
      <c r="AF50">
        <f t="shared" si="47"/>
        <v>1392.8623537541885</v>
      </c>
      <c r="AG50">
        <f t="shared" si="36"/>
        <v>5.0956824030253323</v>
      </c>
      <c r="AH50">
        <f t="shared" si="36"/>
        <v>0.24641561847955851</v>
      </c>
      <c r="AI50">
        <f t="shared" si="36"/>
        <v>1.7459890691013971</v>
      </c>
      <c r="AJ50">
        <f t="shared" si="36"/>
        <v>0.587648093355847</v>
      </c>
      <c r="AL50">
        <f t="shared" si="48"/>
        <v>22.833809077937516</v>
      </c>
      <c r="AM50">
        <f t="shared" si="49"/>
        <v>8.3535777098775937E-2</v>
      </c>
      <c r="AN50">
        <f t="shared" si="50"/>
        <v>4.0396003029435825E-3</v>
      </c>
      <c r="AO50">
        <f t="shared" si="51"/>
        <v>2.8622771624613068E-2</v>
      </c>
      <c r="AP50">
        <f t="shared" si="52"/>
        <v>9.6335753009155253E-3</v>
      </c>
      <c r="AR50">
        <f t="shared" si="53"/>
        <v>3.2735999999999998E-3</v>
      </c>
      <c r="AS50">
        <f t="shared" si="37"/>
        <v>6.9504000000000001</v>
      </c>
      <c r="AT50">
        <f t="shared" si="37"/>
        <v>148.79999999999998</v>
      </c>
      <c r="AU50">
        <f t="shared" si="37"/>
        <v>13.728</v>
      </c>
      <c r="AV50">
        <f t="shared" si="37"/>
        <v>37.44</v>
      </c>
      <c r="AW50">
        <f t="shared" si="54"/>
        <v>4.4475034189147591</v>
      </c>
      <c r="AX50">
        <f t="shared" si="55"/>
        <v>10.770840932428051</v>
      </c>
      <c r="AY50">
        <f t="shared" si="38"/>
        <v>10.648555919183902</v>
      </c>
      <c r="AZ50">
        <f t="shared" si="38"/>
        <v>10.647831567921452</v>
      </c>
      <c r="BA50">
        <f t="shared" si="38"/>
        <v>10.658574555430617</v>
      </c>
      <c r="BB50">
        <f t="shared" si="38"/>
        <v>10.66130305202819</v>
      </c>
      <c r="BD50">
        <f t="shared" si="56"/>
        <v>16242.022243514431</v>
      </c>
      <c r="BE50">
        <f t="shared" si="39"/>
        <v>9.0934348833822991</v>
      </c>
      <c r="BF50">
        <f t="shared" si="39"/>
        <v>0.42515542528102318</v>
      </c>
      <c r="BG50">
        <f t="shared" si="39"/>
        <v>4.5434405648076375</v>
      </c>
      <c r="BH50">
        <f t="shared" si="39"/>
        <v>1.6598931482215677</v>
      </c>
      <c r="BJ50">
        <f t="shared" si="57"/>
        <v>266.26265972974477</v>
      </c>
      <c r="BK50">
        <f t="shared" si="58"/>
        <v>0.14907270300626721</v>
      </c>
      <c r="BL50">
        <f t="shared" si="59"/>
        <v>6.9697610701807081E-3</v>
      </c>
      <c r="BM50">
        <f t="shared" si="60"/>
        <v>7.4482632209961264E-2</v>
      </c>
      <c r="BN50">
        <f t="shared" si="61"/>
        <v>2.7211363085599471E-2</v>
      </c>
    </row>
    <row r="51" spans="4:72" x14ac:dyDescent="0.2">
      <c r="D51" s="2" t="s">
        <v>446</v>
      </c>
      <c r="G51">
        <v>85</v>
      </c>
      <c r="H51">
        <f t="shared" si="40"/>
        <v>595</v>
      </c>
      <c r="I51">
        <f t="shared" si="41"/>
        <v>696.32</v>
      </c>
      <c r="J51">
        <v>259.42</v>
      </c>
      <c r="K51">
        <f t="shared" si="42"/>
        <v>85</v>
      </c>
      <c r="L51">
        <f t="shared" si="43"/>
        <v>1376.2560000000001</v>
      </c>
      <c r="N51">
        <f t="shared" si="44"/>
        <v>2.02895E-4</v>
      </c>
      <c r="O51">
        <f t="shared" si="33"/>
        <v>0.43078</v>
      </c>
      <c r="P51">
        <f t="shared" si="33"/>
        <v>9.2225000000000001</v>
      </c>
      <c r="Q51">
        <f t="shared" si="33"/>
        <v>0.85085</v>
      </c>
      <c r="R51">
        <f t="shared" si="33"/>
        <v>2.3205</v>
      </c>
      <c r="T51">
        <f t="shared" si="45"/>
        <v>3.238723584E-2</v>
      </c>
      <c r="U51">
        <f t="shared" si="45"/>
        <v>4.2570219519999997</v>
      </c>
      <c r="V51">
        <f t="shared" si="45"/>
        <v>84.183238574079994</v>
      </c>
      <c r="W51">
        <f t="shared" si="45"/>
        <v>17.400290344959998</v>
      </c>
      <c r="X51">
        <f t="shared" si="45"/>
        <v>54.239651430400002</v>
      </c>
      <c r="Z51">
        <f t="shared" si="46"/>
        <v>147.31774991202929</v>
      </c>
      <c r="AA51">
        <f t="shared" si="35"/>
        <v>158.06062669056354</v>
      </c>
      <c r="AB51">
        <f t="shared" si="35"/>
        <v>158.98659338894558</v>
      </c>
      <c r="AC51">
        <f t="shared" si="35"/>
        <v>152.19514707702459</v>
      </c>
      <c r="AD51">
        <f t="shared" si="35"/>
        <v>151.50076832705989</v>
      </c>
      <c r="AF51">
        <f t="shared" si="47"/>
        <v>30.684135786673014</v>
      </c>
      <c r="AG51">
        <f t="shared" si="36"/>
        <v>0.21331959204747561</v>
      </c>
      <c r="AH51">
        <f t="shared" si="36"/>
        <v>1.0705980331250217E-2</v>
      </c>
      <c r="AI51">
        <f t="shared" si="36"/>
        <v>5.4791096945136758E-2</v>
      </c>
      <c r="AJ51">
        <f t="shared" si="36"/>
        <v>1.7680292126348852E-2</v>
      </c>
      <c r="AL51">
        <f t="shared" si="48"/>
        <v>0.1182797617248979</v>
      </c>
      <c r="AM51">
        <f t="shared" si="49"/>
        <v>8.2229431827721686E-4</v>
      </c>
      <c r="AN51">
        <f>AH51/J51</f>
        <v>4.1268908839912947E-5</v>
      </c>
      <c r="AO51">
        <f t="shared" si="51"/>
        <v>2.1120614040990191E-4</v>
      </c>
      <c r="AP51">
        <f t="shared" si="52"/>
        <v>6.8153157529677165E-5</v>
      </c>
      <c r="AR51">
        <f t="shared" si="53"/>
        <v>1.298528E-2</v>
      </c>
      <c r="AS51">
        <f t="shared" si="37"/>
        <v>27.56992</v>
      </c>
      <c r="AT51">
        <f t="shared" si="37"/>
        <v>590.24</v>
      </c>
      <c r="AU51">
        <f t="shared" si="37"/>
        <v>54.4544</v>
      </c>
      <c r="AV51">
        <f t="shared" si="37"/>
        <v>148.512</v>
      </c>
      <c r="AW51">
        <f t="shared" si="54"/>
        <v>17.64176356169521</v>
      </c>
      <c r="AX51">
        <f t="shared" si="55"/>
        <v>189.38322474680345</v>
      </c>
      <c r="AY51">
        <f t="shared" si="38"/>
        <v>463.72415089748637</v>
      </c>
      <c r="AZ51">
        <f t="shared" si="38"/>
        <v>474.30508500817632</v>
      </c>
      <c r="BA51">
        <f t="shared" si="38"/>
        <v>364.92887677942451</v>
      </c>
      <c r="BB51">
        <f t="shared" si="38"/>
        <v>347.60534345794156</v>
      </c>
      <c r="BD51">
        <f t="shared" si="56"/>
        <v>1410.5455431584901</v>
      </c>
      <c r="BE51">
        <f t="shared" si="39"/>
        <v>2.0108749403735362</v>
      </c>
      <c r="BF51">
        <f t="shared" si="39"/>
        <v>9.4895899695440447E-2</v>
      </c>
      <c r="BG51">
        <f t="shared" si="39"/>
        <v>0.89068646309306732</v>
      </c>
      <c r="BH51">
        <f t="shared" si="39"/>
        <v>0.31565710833171551</v>
      </c>
      <c r="BJ51">
        <f t="shared" si="57"/>
        <v>5.4373045376551152</v>
      </c>
      <c r="BK51">
        <f t="shared" si="58"/>
        <v>7.7514260287315402E-3</v>
      </c>
      <c r="BL51">
        <f t="shared" si="59"/>
        <v>3.658002455301844E-4</v>
      </c>
      <c r="BM51">
        <f t="shared" si="60"/>
        <v>3.4333762358070589E-3</v>
      </c>
      <c r="BN51">
        <f t="shared" si="61"/>
        <v>1.2167801570106989E-3</v>
      </c>
    </row>
    <row r="52" spans="4:72" x14ac:dyDescent="0.2">
      <c r="D52" s="2" t="s">
        <v>443</v>
      </c>
      <c r="G52">
        <v>35</v>
      </c>
      <c r="H52">
        <f t="shared" si="40"/>
        <v>875</v>
      </c>
      <c r="I52">
        <f t="shared" si="41"/>
        <v>286.72000000000003</v>
      </c>
      <c r="J52">
        <v>273.38</v>
      </c>
      <c r="K52">
        <f t="shared" si="42"/>
        <v>35</v>
      </c>
      <c r="L52">
        <f t="shared" si="43"/>
        <v>1376.2560000000001</v>
      </c>
      <c r="N52">
        <f t="shared" si="44"/>
        <v>2.9837499999999997E-4</v>
      </c>
      <c r="O52">
        <f t="shared" si="33"/>
        <v>0.63349999999999995</v>
      </c>
      <c r="P52">
        <f t="shared" si="33"/>
        <v>13.5625</v>
      </c>
      <c r="Q52">
        <f t="shared" si="33"/>
        <v>1.25125</v>
      </c>
      <c r="R52">
        <f t="shared" si="33"/>
        <v>3.4125000000000001</v>
      </c>
      <c r="T52">
        <f t="shared" si="45"/>
        <v>1.333592064E-2</v>
      </c>
      <c r="U52">
        <f t="shared" si="45"/>
        <v>1.752891392</v>
      </c>
      <c r="V52">
        <f t="shared" si="45"/>
        <v>34.663686471680002</v>
      </c>
      <c r="W52">
        <f t="shared" si="45"/>
        <v>7.1648254361600001</v>
      </c>
      <c r="X52">
        <f t="shared" si="45"/>
        <v>22.3339741184</v>
      </c>
      <c r="Z52">
        <f t="shared" si="46"/>
        <v>96.988338367923163</v>
      </c>
      <c r="AA52">
        <f t="shared" si="35"/>
        <v>116.12456106630886</v>
      </c>
      <c r="AB52">
        <f t="shared" si="35"/>
        <v>117.62648663270495</v>
      </c>
      <c r="AC52">
        <f t="shared" si="35"/>
        <v>106.08837529871118</v>
      </c>
      <c r="AD52">
        <f t="shared" si="35"/>
        <v>104.83689011875416</v>
      </c>
      <c r="AF52">
        <f t="shared" si="47"/>
        <v>73.34445624504589</v>
      </c>
      <c r="AG52">
        <f t="shared" si="36"/>
        <v>0.41904274518938589</v>
      </c>
      <c r="AH52">
        <f>AH41/AB52</f>
        <v>2.0735622556165265E-2</v>
      </c>
      <c r="AI52">
        <f t="shared" si="36"/>
        <v>0.11882022773981572</v>
      </c>
      <c r="AJ52">
        <f t="shared" si="36"/>
        <v>3.8840269755047313E-2</v>
      </c>
      <c r="AL52">
        <f t="shared" si="48"/>
        <v>0.26828757131116354</v>
      </c>
      <c r="AM52">
        <f t="shared" si="49"/>
        <v>1.5328215128736042E-3</v>
      </c>
      <c r="AN52">
        <f t="shared" si="50"/>
        <v>7.5849083898475622E-5</v>
      </c>
      <c r="AO52">
        <f t="shared" si="51"/>
        <v>4.3463394447222083E-4</v>
      </c>
      <c r="AP52">
        <f t="shared" si="52"/>
        <v>1.4207429129800027E-4</v>
      </c>
      <c r="AR52">
        <f>N52*$AS$29</f>
        <v>1.9095999999999998E-2</v>
      </c>
      <c r="AS52">
        <f>O52*$AS$29</f>
        <v>40.543999999999997</v>
      </c>
      <c r="AT52">
        <f t="shared" si="37"/>
        <v>868</v>
      </c>
      <c r="AU52">
        <f t="shared" si="37"/>
        <v>80.08</v>
      </c>
      <c r="AV52">
        <f t="shared" si="37"/>
        <v>218.4</v>
      </c>
      <c r="AW52">
        <f t="shared" si="54"/>
        <v>25.94376994366943</v>
      </c>
      <c r="AX52">
        <f>(AR52+T52)/BD41</f>
        <v>157.3314453060926</v>
      </c>
      <c r="AY52">
        <f t="shared" si="38"/>
        <v>264.77416260268967</v>
      </c>
      <c r="AZ52">
        <f t="shared" si="38"/>
        <v>266.26966336595439</v>
      </c>
      <c r="BA52">
        <f t="shared" si="38"/>
        <v>246.27088672439868</v>
      </c>
      <c r="BB52">
        <f t="shared" si="38"/>
        <v>241.84576084713274</v>
      </c>
      <c r="BD52">
        <f t="shared" si="56"/>
        <v>1973.3644735509565</v>
      </c>
      <c r="BE52">
        <f t="shared" si="39"/>
        <v>1.5131135621022236</v>
      </c>
      <c r="BF52">
        <f t="shared" si="39"/>
        <v>7.0901268057167968E-2</v>
      </c>
      <c r="BG52">
        <f t="shared" si="39"/>
        <v>0.73356786124617746</v>
      </c>
      <c r="BH52">
        <f t="shared" si="39"/>
        <v>0.26585362632913184</v>
      </c>
      <c r="BJ52">
        <f t="shared" si="57"/>
        <v>7.2183937140645131</v>
      </c>
      <c r="BK52">
        <f t="shared" si="58"/>
        <v>5.5348363527040149E-3</v>
      </c>
      <c r="BL52">
        <f t="shared" si="59"/>
        <v>2.5935060376460595E-4</v>
      </c>
      <c r="BM52">
        <f t="shared" si="60"/>
        <v>2.6833267292639459E-3</v>
      </c>
      <c r="BN52">
        <f t="shared" si="61"/>
        <v>9.7246918695270993E-4</v>
      </c>
    </row>
    <row r="53" spans="4:72" x14ac:dyDescent="0.2">
      <c r="D53" s="2" t="s">
        <v>547</v>
      </c>
      <c r="G53">
        <v>0</v>
      </c>
      <c r="H53" s="85">
        <v>30</v>
      </c>
      <c r="I53">
        <f>(H53/H42)*I42*0.001</f>
        <v>23.41714285714286</v>
      </c>
      <c r="J53" s="55">
        <v>77</v>
      </c>
      <c r="K53" s="55">
        <v>45</v>
      </c>
      <c r="L53">
        <v>11</v>
      </c>
      <c r="N53">
        <f t="shared" si="44"/>
        <v>1.023E-5</v>
      </c>
      <c r="O53">
        <f t="shared" si="33"/>
        <v>2.172E-2</v>
      </c>
      <c r="P53">
        <f t="shared" si="33"/>
        <v>0.46499999999999997</v>
      </c>
      <c r="Q53">
        <f t="shared" si="33"/>
        <v>4.2900000000000001E-2</v>
      </c>
      <c r="R53">
        <f t="shared" si="33"/>
        <v>0.11699999999999999</v>
      </c>
      <c r="T53">
        <f t="shared" si="45"/>
        <v>1.0721597399999999E-3</v>
      </c>
      <c r="U53">
        <f t="shared" si="45"/>
        <v>0.14092612199999999</v>
      </c>
      <c r="V53">
        <f t="shared" si="45"/>
        <v>2.7868349008799997</v>
      </c>
      <c r="W53">
        <f t="shared" si="45"/>
        <v>0.57602602656000002</v>
      </c>
      <c r="X53">
        <f t="shared" si="45"/>
        <v>1.7955706644</v>
      </c>
      <c r="Z53">
        <f t="shared" si="46"/>
        <v>36.68264804893122</v>
      </c>
      <c r="AA53">
        <f t="shared" si="35"/>
        <v>34.251920477744029</v>
      </c>
      <c r="AB53">
        <f t="shared" si="35"/>
        <v>34.079858318273622</v>
      </c>
      <c r="AC53">
        <f t="shared" si="35"/>
        <v>35.468395453877854</v>
      </c>
      <c r="AD53">
        <f t="shared" si="35"/>
        <v>35.628752540051167</v>
      </c>
      <c r="AF53">
        <f t="shared" si="47"/>
        <v>923.88163250697471</v>
      </c>
      <c r="AG53">
        <f t="shared" si="36"/>
        <v>6.1483175110686012</v>
      </c>
      <c r="AH53">
        <f>AH42/AB53</f>
        <v>0.3075186872892543</v>
      </c>
      <c r="AI53">
        <f t="shared" si="36"/>
        <v>1.6157019693581391</v>
      </c>
      <c r="AJ53">
        <f t="shared" si="36"/>
        <v>0.52285649812249635</v>
      </c>
      <c r="AL53">
        <f t="shared" si="48"/>
        <v>11.99846275983084</v>
      </c>
      <c r="AM53">
        <f t="shared" si="49"/>
        <v>7.9848279364527291E-2</v>
      </c>
      <c r="AN53">
        <f t="shared" si="50"/>
        <v>3.9937491855747314E-3</v>
      </c>
      <c r="AO53">
        <f t="shared" si="51"/>
        <v>2.0983142459196611E-2</v>
      </c>
      <c r="AP53">
        <f t="shared" si="52"/>
        <v>6.7903441314609916E-3</v>
      </c>
      <c r="AR53">
        <f>N53*$AS$29</f>
        <v>6.5472000000000002E-4</v>
      </c>
      <c r="AS53">
        <f>O53*$AS$29</f>
        <v>1.39008</v>
      </c>
      <c r="AT53">
        <f t="shared" ref="AT53" si="62">P53*$AS$29</f>
        <v>29.759999999999998</v>
      </c>
      <c r="AU53">
        <f t="shared" ref="AU53" si="63">Q53*$AS$29</f>
        <v>2.7456</v>
      </c>
      <c r="AV53">
        <f t="shared" ref="AV53" si="64">R53*$AS$29</f>
        <v>7.4879999999999995</v>
      </c>
      <c r="AW53">
        <f t="shared" si="54"/>
        <v>0.88950068378295177</v>
      </c>
      <c r="AX53">
        <f>(AR53+T53)/BD42</f>
        <v>30.280727471906228</v>
      </c>
      <c r="AY53">
        <f t="shared" ref="AY53" si="65">(AS53+U53)/BE42</f>
        <v>24.23143645560479</v>
      </c>
      <c r="AZ53">
        <f t="shared" ref="AZ53" si="66">(AT53+V53)/BF42</f>
        <v>24.172785511586461</v>
      </c>
      <c r="BA53">
        <f t="shared" ref="BA53" si="67">(AU53+W53)/BG42</f>
        <v>24.999910301759979</v>
      </c>
      <c r="BB53">
        <f t="shared" ref="BB53" si="68">(AV53+X53)/BH42</f>
        <v>25.196287669076714</v>
      </c>
      <c r="BD53">
        <f t="shared" si="56"/>
        <v>37061.063673142642</v>
      </c>
      <c r="BE53">
        <f t="shared" ref="BE53" si="69">BK42/AY53</f>
        <v>41.802576149332992</v>
      </c>
      <c r="BF53">
        <f t="shared" ref="BF53" si="70">BL42/AZ53</f>
        <v>1.9663970458236346</v>
      </c>
      <c r="BG53">
        <f t="shared" ref="BG53" si="71">BM42/BA53</f>
        <v>19.267671763242049</v>
      </c>
      <c r="BH53">
        <f t="shared" ref="BH53" si="72">BN42/BB53</f>
        <v>6.8938991594498029</v>
      </c>
      <c r="BJ53">
        <f t="shared" si="57"/>
        <v>481.31251523561872</v>
      </c>
      <c r="BK53">
        <f t="shared" ref="BK53" si="73">BE53/J53</f>
        <v>0.54289059934198691</v>
      </c>
      <c r="BL53">
        <f t="shared" ref="BL53" si="74">BF53/J53</f>
        <v>2.5537623971735514E-2</v>
      </c>
      <c r="BM53">
        <f t="shared" ref="BM53" si="75">BG53/J53</f>
        <v>0.25022950341872791</v>
      </c>
      <c r="BN53">
        <f t="shared" ref="BN53" si="76">BH53/J53</f>
        <v>8.9531157914932505E-2</v>
      </c>
    </row>
    <row r="54" spans="4:72" x14ac:dyDescent="0.2">
      <c r="D54" s="2" t="s">
        <v>548</v>
      </c>
      <c r="AL54" s="56"/>
      <c r="AM54" s="56"/>
      <c r="AN54" s="56"/>
      <c r="AO54" s="56"/>
      <c r="AP54" s="56"/>
    </row>
    <row r="55" spans="4:72" x14ac:dyDescent="0.2">
      <c r="D55" s="2"/>
      <c r="AL55" s="56"/>
      <c r="AM55" s="56"/>
      <c r="AN55" s="56"/>
      <c r="AO55" s="56"/>
      <c r="AP55" s="56"/>
      <c r="BJ55" s="130" t="s">
        <v>552</v>
      </c>
      <c r="BK55" s="130"/>
      <c r="BL55" s="130"/>
      <c r="BM55" s="130"/>
      <c r="BN55" s="130"/>
    </row>
    <row r="56" spans="4:72" x14ac:dyDescent="0.2">
      <c r="D56" s="2"/>
      <c r="AL56" s="135" t="s">
        <v>466</v>
      </c>
      <c r="AM56" s="135"/>
      <c r="AN56" s="135"/>
      <c r="AO56" s="135"/>
      <c r="AP56" s="135"/>
      <c r="BJ56" s="119" t="s">
        <v>550</v>
      </c>
      <c r="BK56" s="119"/>
      <c r="BL56" s="119"/>
      <c r="BM56" s="119"/>
      <c r="BN56" s="119"/>
    </row>
    <row r="57" spans="4:72" x14ac:dyDescent="0.2">
      <c r="AL57" s="134" t="s">
        <v>550</v>
      </c>
      <c r="AM57" s="134"/>
      <c r="AN57" s="134"/>
      <c r="AO57" s="134"/>
      <c r="AP57" s="134"/>
      <c r="BJ57">
        <f>BJ37/J48</f>
        <v>950.66184771472251</v>
      </c>
      <c r="BK57">
        <f>BK37/J48</f>
        <v>0.464307501630218</v>
      </c>
      <c r="BL57">
        <f>BL37/J48</f>
        <v>2.169169152754466E-2</v>
      </c>
      <c r="BM57">
        <f>BM37/J48</f>
        <v>0.23446429309574371</v>
      </c>
      <c r="BN57">
        <f>BN37/J48</f>
        <v>8.5908401642493942E-2</v>
      </c>
    </row>
    <row r="58" spans="4:72" x14ac:dyDescent="0.2">
      <c r="AL58">
        <f>AF37/J48</f>
        <v>280.1051802611006</v>
      </c>
      <c r="AM58">
        <f>AG37/J48</f>
        <v>0.40245672286175127</v>
      </c>
      <c r="AN58">
        <f>AH37/J48</f>
        <v>1.8994774491765842E-2</v>
      </c>
      <c r="AO58">
        <f>AI37/J48</f>
        <v>0.17800062080447701</v>
      </c>
      <c r="AP58">
        <f>AJ37/J48</f>
        <v>6.3061349041570638E-2</v>
      </c>
      <c r="BJ58">
        <f t="shared" ref="BJ58:BJ62" si="77">BJ38/J49</f>
        <v>337.81800108331987</v>
      </c>
      <c r="BK58">
        <f t="shared" ref="BK58:BK62" si="78">BK38/J49</f>
        <v>0.16557699755962094</v>
      </c>
      <c r="BL58">
        <f t="shared" ref="BL58:BL62" si="79">BL38/J49</f>
        <v>7.7356314019980206E-3</v>
      </c>
      <c r="BM58">
        <f t="shared" ref="BM58:BM62" si="80">BM38/J49</f>
        <v>8.359082197998953E-2</v>
      </c>
      <c r="BN58">
        <f t="shared" ref="BN58:BN62" si="81">BN38/J49</f>
        <v>3.0625735711878512E-2</v>
      </c>
    </row>
    <row r="59" spans="4:72" x14ac:dyDescent="0.2">
      <c r="AL59">
        <f t="shared" ref="AL59:AL63" si="82">AF38/J49</f>
        <v>93.246982816988535</v>
      </c>
      <c r="AM59">
        <f t="shared" ref="AM59:AM63" si="83">AG38/J49</f>
        <v>0.14164303305427367</v>
      </c>
      <c r="AN59">
        <f t="shared" ref="AN59:AN62" si="84">AH38/J49</f>
        <v>6.6910772227645699E-3</v>
      </c>
      <c r="AO59">
        <f t="shared" ref="AO59:AO63" si="85">AI38/J49</f>
        <v>6.197967129753678E-2</v>
      </c>
      <c r="AP59">
        <f t="shared" ref="AP59:AP63" si="86">AJ38/J49</f>
        <v>2.190346193194358E-2</v>
      </c>
      <c r="BJ59">
        <f t="shared" si="77"/>
        <v>2867.8727541942972</v>
      </c>
      <c r="BK59">
        <f t="shared" si="78"/>
        <v>1.5874090139861305</v>
      </c>
      <c r="BL59">
        <f t="shared" si="79"/>
        <v>7.421284194394015E-2</v>
      </c>
      <c r="BM59">
        <f t="shared" si="80"/>
        <v>0.79387868849459009</v>
      </c>
      <c r="BN59">
        <f t="shared" si="81"/>
        <v>0.29010858831434888</v>
      </c>
    </row>
    <row r="60" spans="4:72" x14ac:dyDescent="0.2">
      <c r="AL60">
        <f t="shared" si="82"/>
        <v>260.42915791581618</v>
      </c>
      <c r="AM60">
        <f t="shared" si="83"/>
        <v>0.91841230642068195</v>
      </c>
      <c r="AN60">
        <f t="shared" si="84"/>
        <v>4.434758641018776E-2</v>
      </c>
      <c r="AO60">
        <f t="shared" si="85"/>
        <v>0.31895158389288414</v>
      </c>
      <c r="AP60">
        <f t="shared" si="86"/>
        <v>0.10760031247532563</v>
      </c>
      <c r="BJ60">
        <f t="shared" si="77"/>
        <v>1029.7342672715531</v>
      </c>
      <c r="BK60">
        <f t="shared" si="78"/>
        <v>3.594523453418208</v>
      </c>
      <c r="BL60">
        <f t="shared" si="79"/>
        <v>0.1735009165522059</v>
      </c>
      <c r="BM60">
        <f t="shared" si="80"/>
        <v>1.2529381332942386</v>
      </c>
      <c r="BN60">
        <f t="shared" si="81"/>
        <v>0.42295928439051206</v>
      </c>
    </row>
    <row r="61" spans="4:72" x14ac:dyDescent="0.2">
      <c r="D61" t="s">
        <v>431</v>
      </c>
      <c r="AL61">
        <f t="shared" si="82"/>
        <v>17.42470835744292</v>
      </c>
      <c r="AM61">
        <f t="shared" si="83"/>
        <v>0.12997235527098661</v>
      </c>
      <c r="AN61">
        <f t="shared" si="84"/>
        <v>6.5612032293367014E-3</v>
      </c>
      <c r="AO61">
        <f t="shared" si="85"/>
        <v>3.2144549603255725E-2</v>
      </c>
      <c r="AP61">
        <f t="shared" si="86"/>
        <v>1.0325255729661238E-2</v>
      </c>
      <c r="BJ61">
        <f t="shared" si="77"/>
        <v>1135.6803158221835</v>
      </c>
      <c r="BK61">
        <f t="shared" si="78"/>
        <v>1.4654816604301308</v>
      </c>
      <c r="BL61">
        <f t="shared" si="79"/>
        <v>6.905719795815865E-2</v>
      </c>
      <c r="BM61">
        <f t="shared" si="80"/>
        <v>0.66082525298711237</v>
      </c>
      <c r="BN61">
        <f t="shared" si="81"/>
        <v>0.23518755041897069</v>
      </c>
    </row>
    <row r="62" spans="4:72" x14ac:dyDescent="0.2">
      <c r="D62" t="s">
        <v>432</v>
      </c>
      <c r="AL62">
        <f t="shared" si="82"/>
        <v>26.020765746235448</v>
      </c>
      <c r="AM62">
        <f t="shared" si="83"/>
        <v>0.17799822537544277</v>
      </c>
      <c r="AN62">
        <f t="shared" si="84"/>
        <v>8.9218612532869588E-3</v>
      </c>
      <c r="AO62">
        <f t="shared" si="85"/>
        <v>4.6109609018728161E-2</v>
      </c>
      <c r="AP62">
        <f t="shared" si="86"/>
        <v>1.4894626865508322E-2</v>
      </c>
      <c r="BJ62">
        <f t="shared" si="77"/>
        <v>14574.493102667484</v>
      </c>
      <c r="BK62">
        <f t="shared" si="78"/>
        <v>13.155019060300557</v>
      </c>
      <c r="BL62">
        <f t="shared" si="79"/>
        <v>0.61731550674431135</v>
      </c>
      <c r="BM62">
        <f t="shared" si="80"/>
        <v>6.25571514032214</v>
      </c>
      <c r="BN62">
        <f t="shared" si="81"/>
        <v>2.255852810170174</v>
      </c>
    </row>
    <row r="63" spans="4:72" x14ac:dyDescent="0.2">
      <c r="D63" s="54" t="s">
        <v>439</v>
      </c>
      <c r="AL63">
        <f t="shared" si="82"/>
        <v>440.1353865470827</v>
      </c>
      <c r="AM63">
        <f t="shared" si="83"/>
        <v>2.7349569150784783</v>
      </c>
      <c r="AN63">
        <f>AH42/J53</f>
        <v>0.1361064064031075</v>
      </c>
      <c r="AO63">
        <f t="shared" si="85"/>
        <v>0.74423839460784058</v>
      </c>
      <c r="AP63">
        <f t="shared" si="86"/>
        <v>0.24193149072161232</v>
      </c>
    </row>
    <row r="64" spans="4:72" x14ac:dyDescent="0.2">
      <c r="D64" s="54"/>
    </row>
    <row r="66" spans="7:23" x14ac:dyDescent="0.2">
      <c r="G66" s="131" t="s">
        <v>457</v>
      </c>
      <c r="H66" s="130"/>
      <c r="I66" s="130"/>
      <c r="J66" s="130"/>
      <c r="K66" s="130"/>
      <c r="L66" s="130"/>
    </row>
    <row r="67" spans="7:23" x14ac:dyDescent="0.2">
      <c r="G67" s="130"/>
      <c r="H67" s="130"/>
      <c r="I67" s="130"/>
      <c r="J67" s="130"/>
      <c r="K67" s="130"/>
      <c r="L67" s="130"/>
    </row>
    <row r="68" spans="7:23" x14ac:dyDescent="0.2">
      <c r="G68" s="130"/>
      <c r="H68" s="130"/>
      <c r="I68" s="130"/>
      <c r="J68" s="130"/>
      <c r="K68" s="130"/>
      <c r="L68" s="130"/>
      <c r="S68" s="130" t="s">
        <v>449</v>
      </c>
      <c r="T68" s="130"/>
      <c r="U68" s="130"/>
      <c r="V68" s="130"/>
      <c r="W68" s="130"/>
    </row>
    <row r="69" spans="7:23" x14ac:dyDescent="0.2">
      <c r="G69" s="130"/>
      <c r="H69" s="130"/>
      <c r="I69" s="130"/>
      <c r="J69" s="130"/>
      <c r="K69" s="130"/>
      <c r="L69" s="130"/>
    </row>
  </sheetData>
  <mergeCells count="37">
    <mergeCell ref="AL57:AP57"/>
    <mergeCell ref="G66:L69"/>
    <mergeCell ref="S68:W68"/>
    <mergeCell ref="AX47:BB47"/>
    <mergeCell ref="BD47:BH47"/>
    <mergeCell ref="BJ47:BN47"/>
    <mergeCell ref="BJ55:BN55"/>
    <mergeCell ref="AL56:AP56"/>
    <mergeCell ref="BJ56:BN56"/>
    <mergeCell ref="N46:AJ46"/>
    <mergeCell ref="AL46:AP46"/>
    <mergeCell ref="AR46:BH46"/>
    <mergeCell ref="BJ46:BN46"/>
    <mergeCell ref="N47:R47"/>
    <mergeCell ref="T47:X47"/>
    <mergeCell ref="Z47:AD47"/>
    <mergeCell ref="AF47:AJ47"/>
    <mergeCell ref="AL47:AP47"/>
    <mergeCell ref="AR47:AV47"/>
    <mergeCell ref="BP34:BT34"/>
    <mergeCell ref="N35:R35"/>
    <mergeCell ref="T35:X35"/>
    <mergeCell ref="Z35:AD35"/>
    <mergeCell ref="AF35:AJ35"/>
    <mergeCell ref="AL35:AP35"/>
    <mergeCell ref="AF34:AJ34"/>
    <mergeCell ref="AL34:AP34"/>
    <mergeCell ref="AR34:AV34"/>
    <mergeCell ref="AX34:BB34"/>
    <mergeCell ref="BD34:BH34"/>
    <mergeCell ref="BJ34:BN34"/>
    <mergeCell ref="Z34:AD34"/>
    <mergeCell ref="N16:R16"/>
    <mergeCell ref="K17:L17"/>
    <mergeCell ref="N17:R17"/>
    <mergeCell ref="N34:R34"/>
    <mergeCell ref="T34:X3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35C2F-DFC7-4AAA-AEA9-ED0D3A1B30AC}">
  <dimension ref="B4:BA139"/>
  <sheetViews>
    <sheetView topLeftCell="B1" zoomScale="70" zoomScaleNormal="70" workbookViewId="0">
      <selection activeCell="Y41" sqref="Y41"/>
    </sheetView>
  </sheetViews>
  <sheetFormatPr baseColWidth="10" defaultColWidth="8.83203125" defaultRowHeight="15" x14ac:dyDescent="0.2"/>
  <cols>
    <col min="2" max="2" width="32.6640625" bestFit="1" customWidth="1"/>
    <col min="3" max="3" width="18.6640625" bestFit="1" customWidth="1"/>
    <col min="4" max="4" width="14.83203125" bestFit="1" customWidth="1"/>
    <col min="5" max="7" width="12" bestFit="1" customWidth="1"/>
    <col min="9" max="9" width="12" bestFit="1" customWidth="1"/>
    <col min="10" max="10" width="12.33203125" bestFit="1" customWidth="1"/>
    <col min="12" max="12" width="12" bestFit="1" customWidth="1"/>
    <col min="13" max="13" width="18" bestFit="1" customWidth="1"/>
    <col min="14" max="14" width="13.6640625" bestFit="1" customWidth="1"/>
    <col min="15" max="15" width="12.33203125" bestFit="1" customWidth="1"/>
    <col min="16" max="16" width="14.33203125" bestFit="1" customWidth="1"/>
    <col min="17" max="17" width="12.83203125" bestFit="1" customWidth="1"/>
    <col min="18" max="18" width="11.33203125" bestFit="1" customWidth="1"/>
    <col min="19" max="19" width="12.33203125" bestFit="1" customWidth="1"/>
    <col min="24" max="24" width="11.33203125" customWidth="1"/>
  </cols>
  <sheetData>
    <row r="4" spans="3:25" x14ac:dyDescent="0.2">
      <c r="C4" s="109" t="s">
        <v>551</v>
      </c>
      <c r="D4" s="109" t="s">
        <v>554</v>
      </c>
      <c r="E4" s="109"/>
      <c r="F4" s="109"/>
      <c r="G4" s="109"/>
      <c r="H4" s="109" t="s">
        <v>553</v>
      </c>
      <c r="I4" s="109"/>
      <c r="J4" s="109"/>
      <c r="K4" s="109"/>
      <c r="L4" s="2"/>
      <c r="M4" s="143" t="s">
        <v>568</v>
      </c>
      <c r="N4" s="109" t="s">
        <v>554</v>
      </c>
      <c r="O4" s="109"/>
      <c r="P4" s="109"/>
      <c r="Q4" s="109"/>
      <c r="R4" s="109"/>
      <c r="S4" s="109" t="s">
        <v>553</v>
      </c>
      <c r="T4" s="109"/>
      <c r="U4" s="109"/>
      <c r="V4" s="109"/>
      <c r="W4" s="109"/>
    </row>
    <row r="5" spans="3:25" x14ac:dyDescent="0.2">
      <c r="C5" s="109"/>
      <c r="D5" s="90" t="s">
        <v>418</v>
      </c>
      <c r="E5" s="90" t="s">
        <v>419</v>
      </c>
      <c r="F5" s="90" t="s">
        <v>420</v>
      </c>
      <c r="G5" s="90" t="s">
        <v>421</v>
      </c>
      <c r="H5" s="90" t="s">
        <v>418</v>
      </c>
      <c r="I5" s="90" t="s">
        <v>419</v>
      </c>
      <c r="J5" s="90" t="s">
        <v>420</v>
      </c>
      <c r="K5" s="90" t="s">
        <v>421</v>
      </c>
      <c r="M5" s="143"/>
      <c r="N5" s="90" t="s">
        <v>418</v>
      </c>
      <c r="O5" s="90" t="s">
        <v>419</v>
      </c>
      <c r="P5" s="90" t="s">
        <v>420</v>
      </c>
      <c r="Q5" s="90" t="s">
        <v>421</v>
      </c>
      <c r="R5" s="90" t="s">
        <v>571</v>
      </c>
      <c r="S5" s="90" t="s">
        <v>418</v>
      </c>
      <c r="T5" s="90" t="s">
        <v>419</v>
      </c>
      <c r="U5" s="90" t="s">
        <v>420</v>
      </c>
      <c r="V5" s="90" t="s">
        <v>421</v>
      </c>
      <c r="W5" s="90" t="s">
        <v>571</v>
      </c>
    </row>
    <row r="6" spans="3:25" x14ac:dyDescent="0.2">
      <c r="C6" s="91" t="s">
        <v>559</v>
      </c>
      <c r="D6" s="97">
        <v>3.2752011951639923E-3</v>
      </c>
      <c r="E6" s="97">
        <v>1.5457987053845901E-4</v>
      </c>
      <c r="F6" s="97">
        <v>1.4485727604531006E-3</v>
      </c>
      <c r="G6" s="97">
        <v>5.1319457227840687E-4</v>
      </c>
      <c r="H6" s="98">
        <v>3.7785441213396657E-3</v>
      </c>
      <c r="I6" s="98">
        <v>1.765274375613986E-4</v>
      </c>
      <c r="J6" s="98">
        <v>1.9080753018859353E-3</v>
      </c>
      <c r="K6" s="98">
        <v>6.9912436232498335E-4</v>
      </c>
      <c r="M6" s="91" t="s">
        <v>559</v>
      </c>
      <c r="N6" s="97">
        <f>D6/D$11</f>
        <v>4.1017805533565509E-2</v>
      </c>
      <c r="O6" s="97">
        <f t="shared" ref="O6:Q6" si="0">E6/E$11</f>
        <v>3.870545278526643E-2</v>
      </c>
      <c r="P6" s="97">
        <f t="shared" si="0"/>
        <v>6.9035072476392206E-2</v>
      </c>
      <c r="Q6" s="97">
        <f t="shared" si="0"/>
        <v>7.5577108073311944E-2</v>
      </c>
      <c r="R6" s="3">
        <f>GEOMEAN(N6:Q6)</f>
        <v>5.364770614499477E-2</v>
      </c>
      <c r="S6" s="97">
        <f t="shared" ref="S6:V11" si="1">H6/H$11</f>
        <v>6.9600470627405736E-3</v>
      </c>
      <c r="T6" s="97">
        <f t="shared" si="1"/>
        <v>6.912445643211574E-3</v>
      </c>
      <c r="U6" s="97">
        <f t="shared" si="1"/>
        <v>7.6253010768798472E-3</v>
      </c>
      <c r="V6" s="97">
        <f t="shared" si="1"/>
        <v>7.8087269125822339E-3</v>
      </c>
      <c r="W6" s="3">
        <f>GEOMEAN(S6:V6)</f>
        <v>7.3159425107022355E-3</v>
      </c>
      <c r="X6" s="107">
        <f>1/R6</f>
        <v>18.640125959855194</v>
      </c>
      <c r="Y6">
        <f>1/W6</f>
        <v>136.68778814720525</v>
      </c>
    </row>
    <row r="7" spans="3:25" x14ac:dyDescent="0.2">
      <c r="C7" s="91" t="s">
        <v>560</v>
      </c>
      <c r="D7" s="97">
        <v>9.1460799943474786E-4</v>
      </c>
      <c r="E7" s="97">
        <v>4.2969432893949651E-5</v>
      </c>
      <c r="F7" s="97">
        <v>4.2835797140228292E-4</v>
      </c>
      <c r="G7" s="97">
        <v>1.538744886678236E-4</v>
      </c>
      <c r="H7" s="98">
        <v>9.8830430287712222E-4</v>
      </c>
      <c r="I7" s="98">
        <v>4.6167881137450215E-5</v>
      </c>
      <c r="J7" s="98">
        <v>4.9968876698642725E-4</v>
      </c>
      <c r="K7" s="98">
        <v>1.8315000637235992E-4</v>
      </c>
      <c r="M7" s="91" t="s">
        <v>560</v>
      </c>
      <c r="N7" s="97">
        <f t="shared" ref="N7:N11" si="2">D7/D$11</f>
        <v>1.1454323207884474E-2</v>
      </c>
      <c r="O7" s="97">
        <f t="shared" ref="O7:O11" si="3">E7/E$11</f>
        <v>1.0759171619778626E-2</v>
      </c>
      <c r="P7" s="97">
        <f t="shared" ref="P7:P11" si="4">F7/F$11</f>
        <v>2.0414386083269419E-2</v>
      </c>
      <c r="Q7" s="97">
        <f t="shared" ref="Q7:Q11" si="5">G7/G$11</f>
        <v>2.2660779142973479E-2</v>
      </c>
      <c r="R7" s="3">
        <f t="shared" ref="R7:R11" si="6">GEOMEAN(N7:Q7)</f>
        <v>1.5452183526707705E-2</v>
      </c>
      <c r="S7" s="97">
        <f t="shared" si="1"/>
        <v>1.8204483630311541E-3</v>
      </c>
      <c r="T7" s="97">
        <f t="shared" si="1"/>
        <v>1.8078377686408032E-3</v>
      </c>
      <c r="U7" s="97">
        <f t="shared" si="1"/>
        <v>1.9969218663646563E-3</v>
      </c>
      <c r="V7" s="97">
        <f t="shared" si="1"/>
        <v>2.0456566254440584E-3</v>
      </c>
      <c r="W7" s="3">
        <f t="shared" ref="W7:W11" si="7">GEOMEAN(S7:V7)</f>
        <v>1.9148418352389189E-3</v>
      </c>
      <c r="X7" s="107">
        <f t="shared" ref="X7:X11" si="8">1/R7</f>
        <v>64.715772904948366</v>
      </c>
      <c r="Y7">
        <f t="shared" ref="Y7:Y11" si="9">1/W7</f>
        <v>522.2363443272211</v>
      </c>
    </row>
    <row r="8" spans="3:25" x14ac:dyDescent="0.2">
      <c r="C8" s="92" t="s">
        <v>428</v>
      </c>
      <c r="D8" s="97">
        <v>8.3535777098775937E-2</v>
      </c>
      <c r="E8" s="97">
        <v>4.0396003029435825E-3</v>
      </c>
      <c r="F8" s="97">
        <v>2.8622771624613068E-2</v>
      </c>
      <c r="G8" s="97">
        <v>9.6335753009155253E-3</v>
      </c>
      <c r="H8" s="98">
        <v>0.14907270300626721</v>
      </c>
      <c r="I8" s="98">
        <v>6.9697610701807081E-3</v>
      </c>
      <c r="J8" s="98">
        <v>7.4482632209961264E-2</v>
      </c>
      <c r="K8" s="98">
        <v>2.7211363085599471E-2</v>
      </c>
      <c r="M8" s="92" t="s">
        <v>428</v>
      </c>
      <c r="N8" s="97">
        <f t="shared" si="2"/>
        <v>1.0461813048896682</v>
      </c>
      <c r="O8" s="97">
        <f t="shared" si="3"/>
        <v>1.0114807203052369</v>
      </c>
      <c r="P8" s="97">
        <f t="shared" si="4"/>
        <v>1.3640841299282185</v>
      </c>
      <c r="Q8" s="97">
        <f t="shared" si="5"/>
        <v>1.4187168005640962</v>
      </c>
      <c r="R8" s="3">
        <f t="shared" si="6"/>
        <v>1.1962593851876111</v>
      </c>
      <c r="S8" s="97">
        <f t="shared" si="1"/>
        <v>0.27459068767621225</v>
      </c>
      <c r="T8" s="97">
        <f t="shared" si="1"/>
        <v>0.27292128186610815</v>
      </c>
      <c r="U8" s="97">
        <f t="shared" si="1"/>
        <v>0.29765727539059955</v>
      </c>
      <c r="V8" s="97">
        <f t="shared" si="1"/>
        <v>0.30393176765851931</v>
      </c>
      <c r="W8" s="3">
        <f t="shared" si="7"/>
        <v>0.28694849500892922</v>
      </c>
      <c r="X8" s="107">
        <f t="shared" si="8"/>
        <v>0.83593910516586545</v>
      </c>
      <c r="Y8">
        <f t="shared" si="9"/>
        <v>3.4849459655429875</v>
      </c>
    </row>
    <row r="9" spans="3:25" x14ac:dyDescent="0.2">
      <c r="C9" s="92" t="s">
        <v>446</v>
      </c>
      <c r="D9" s="97">
        <v>8.2229431827721686E-4</v>
      </c>
      <c r="E9" s="97">
        <v>4.1268908839912947E-5</v>
      </c>
      <c r="F9" s="97">
        <v>2.1120614040990191E-4</v>
      </c>
      <c r="G9" s="97">
        <v>6.8153157529677165E-5</v>
      </c>
      <c r="H9" s="98">
        <v>7.7514260287315402E-3</v>
      </c>
      <c r="I9" s="98">
        <v>3.658002455301844E-4</v>
      </c>
      <c r="J9" s="98">
        <v>3.4333762358070589E-3</v>
      </c>
      <c r="K9" s="98">
        <v>1.2167801570106989E-3</v>
      </c>
      <c r="M9" s="92" t="s">
        <v>446</v>
      </c>
      <c r="N9" s="97">
        <f t="shared" si="2"/>
        <v>1.0298209614802573E-2</v>
      </c>
      <c r="O9" s="97">
        <f t="shared" si="3"/>
        <v>1.0333375212688534E-2</v>
      </c>
      <c r="P9" s="97">
        <f t="shared" si="4"/>
        <v>1.0065515249711002E-2</v>
      </c>
      <c r="Q9" s="97">
        <f t="shared" si="5"/>
        <v>1.0036775192866922E-2</v>
      </c>
      <c r="R9" s="3">
        <f t="shared" si="6"/>
        <v>1.0182596478502856E-2</v>
      </c>
      <c r="S9" s="97">
        <f t="shared" si="1"/>
        <v>1.4278062722262445E-2</v>
      </c>
      <c r="T9" s="97">
        <f t="shared" si="1"/>
        <v>1.4323973363185399E-2</v>
      </c>
      <c r="U9" s="97">
        <f t="shared" si="1"/>
        <v>1.3720908961169665E-2</v>
      </c>
      <c r="V9" s="97">
        <f t="shared" si="1"/>
        <v>1.3590577686561536E-2</v>
      </c>
      <c r="W9" s="3">
        <f t="shared" si="7"/>
        <v>1.3974568202801711E-2</v>
      </c>
      <c r="X9" s="107">
        <f t="shared" si="8"/>
        <v>98.206778802554467</v>
      </c>
      <c r="Y9">
        <f t="shared" si="9"/>
        <v>71.558561630513466</v>
      </c>
    </row>
    <row r="10" spans="3:25" x14ac:dyDescent="0.2">
      <c r="C10" s="92" t="s">
        <v>443</v>
      </c>
      <c r="D10" s="97">
        <v>1.5328215128736042E-3</v>
      </c>
      <c r="E10" s="97">
        <v>7.5849083898475622E-5</v>
      </c>
      <c r="F10" s="97">
        <v>4.3463394447222083E-4</v>
      </c>
      <c r="G10" s="97">
        <v>1.4207429129800027E-4</v>
      </c>
      <c r="H10" s="98">
        <v>5.5348363527040149E-3</v>
      </c>
      <c r="I10" s="98">
        <v>2.5935060376460595E-4</v>
      </c>
      <c r="J10" s="98">
        <v>2.6833267292639459E-3</v>
      </c>
      <c r="K10" s="98">
        <v>9.7246918695270993E-4</v>
      </c>
      <c r="M10" s="92" t="s">
        <v>443</v>
      </c>
      <c r="N10" s="97">
        <f t="shared" si="2"/>
        <v>1.9196675558603989E-2</v>
      </c>
      <c r="O10" s="97">
        <f t="shared" si="3"/>
        <v>1.8991949763004546E-2</v>
      </c>
      <c r="P10" s="97">
        <f t="shared" si="4"/>
        <v>2.0713482040042433E-2</v>
      </c>
      <c r="Q10" s="97">
        <f t="shared" si="5"/>
        <v>2.0922988371052109E-2</v>
      </c>
      <c r="R10" s="3">
        <f t="shared" si="6"/>
        <v>1.9937380662832089E-2</v>
      </c>
      <c r="S10" s="97">
        <f t="shared" si="1"/>
        <v>1.0195122846872904E-2</v>
      </c>
      <c r="T10" s="97">
        <f t="shared" si="1"/>
        <v>1.0155627792610995E-2</v>
      </c>
      <c r="U10" s="97">
        <f t="shared" si="1"/>
        <v>1.0723462631717463E-2</v>
      </c>
      <c r="V10" s="97">
        <f t="shared" si="1"/>
        <v>1.0861796156782601E-2</v>
      </c>
      <c r="W10" s="3">
        <f t="shared" si="7"/>
        <v>1.0479341235415668E-2</v>
      </c>
      <c r="X10" s="107">
        <f t="shared" si="8"/>
        <v>50.157040030049302</v>
      </c>
      <c r="Y10">
        <f t="shared" si="9"/>
        <v>95.425845722098444</v>
      </c>
    </row>
    <row r="11" spans="3:25" ht="16" thickBot="1" x14ac:dyDescent="0.25">
      <c r="C11" s="93" t="s">
        <v>547</v>
      </c>
      <c r="D11" s="99">
        <v>7.9848279364527291E-2</v>
      </c>
      <c r="E11" s="99">
        <v>3.9937491855747314E-3</v>
      </c>
      <c r="F11" s="99">
        <v>2.0983142459196611E-2</v>
      </c>
      <c r="G11" s="99">
        <v>6.7903441314609916E-3</v>
      </c>
      <c r="H11" s="100">
        <v>0.54289059934198691</v>
      </c>
      <c r="I11" s="100">
        <v>2.5537623971735514E-2</v>
      </c>
      <c r="J11" s="100">
        <v>0.25022950341872791</v>
      </c>
      <c r="K11" s="100">
        <v>8.9531157914932505E-2</v>
      </c>
      <c r="M11" s="92" t="s">
        <v>583</v>
      </c>
      <c r="N11" s="97">
        <f t="shared" si="2"/>
        <v>1</v>
      </c>
      <c r="O11" s="97">
        <f t="shared" si="3"/>
        <v>1</v>
      </c>
      <c r="P11" s="97">
        <f t="shared" si="4"/>
        <v>1</v>
      </c>
      <c r="Q11" s="97">
        <f t="shared" si="5"/>
        <v>1</v>
      </c>
      <c r="R11" s="3">
        <f t="shared" si="6"/>
        <v>1</v>
      </c>
      <c r="S11" s="97">
        <f t="shared" si="1"/>
        <v>1</v>
      </c>
      <c r="T11" s="97">
        <f t="shared" si="1"/>
        <v>1</v>
      </c>
      <c r="U11" s="97">
        <f t="shared" si="1"/>
        <v>1</v>
      </c>
      <c r="V11" s="97">
        <f t="shared" si="1"/>
        <v>1</v>
      </c>
      <c r="W11" s="3">
        <f t="shared" si="7"/>
        <v>1</v>
      </c>
      <c r="X11" s="107">
        <f t="shared" si="8"/>
        <v>1</v>
      </c>
      <c r="Y11">
        <f t="shared" si="9"/>
        <v>1</v>
      </c>
    </row>
    <row r="12" spans="3:25" ht="16" thickTop="1" x14ac:dyDescent="0.2"/>
    <row r="13" spans="3:25" x14ac:dyDescent="0.2">
      <c r="D13">
        <f>-LOG(D6)</f>
        <v>2.4847620162017723</v>
      </c>
      <c r="E13">
        <f t="shared" ref="E13:K13" si="10">-LOG(E6)</f>
        <v>3.8108470607621134</v>
      </c>
      <c r="F13">
        <f t="shared" si="10"/>
        <v>2.8390596857072588</v>
      </c>
      <c r="G13">
        <f t="shared" si="10"/>
        <v>3.2897179455200294</v>
      </c>
      <c r="H13">
        <f t="shared" si="10"/>
        <v>2.4226755022426918</v>
      </c>
      <c r="I13">
        <f t="shared" si="10"/>
        <v>3.7531877828800275</v>
      </c>
      <c r="J13">
        <f t="shared" si="10"/>
        <v>2.7194044899316006</v>
      </c>
      <c r="K13">
        <f t="shared" si="10"/>
        <v>3.1554455637858014</v>
      </c>
    </row>
    <row r="14" spans="3:25" x14ac:dyDescent="0.2">
      <c r="D14">
        <f t="shared" ref="D14:K18" si="11">-LOG(D7)</f>
        <v>3.0387650044694672</v>
      </c>
      <c r="E14">
        <f t="shared" si="11"/>
        <v>4.3668403780511111</v>
      </c>
      <c r="F14">
        <f t="shared" si="11"/>
        <v>3.3681931468118975</v>
      </c>
      <c r="G14">
        <f t="shared" si="11"/>
        <v>3.8128333772392566</v>
      </c>
      <c r="H14">
        <f t="shared" si="11"/>
        <v>3.0051093138006033</v>
      </c>
      <c r="I14">
        <f t="shared" si="11"/>
        <v>4.3356600568205153</v>
      </c>
      <c r="J14">
        <f t="shared" si="11"/>
        <v>3.3013004133964028</v>
      </c>
      <c r="K14">
        <f t="shared" si="11"/>
        <v>3.7371930618889766</v>
      </c>
      <c r="X14">
        <f>X11/X8</f>
        <v>1.1962593851876111</v>
      </c>
    </row>
    <row r="15" spans="3:25" x14ac:dyDescent="0.2">
      <c r="D15">
        <f t="shared" si="11"/>
        <v>1.0781274829738687</v>
      </c>
      <c r="E15">
        <f t="shared" si="11"/>
        <v>2.3936616039026304</v>
      </c>
      <c r="F15">
        <f t="shared" si="11"/>
        <v>1.5432883145666489</v>
      </c>
      <c r="G15">
        <f t="shared" si="11"/>
        <v>2.0162125036033207</v>
      </c>
      <c r="H15">
        <f t="shared" si="11"/>
        <v>0.82660187377755201</v>
      </c>
      <c r="I15">
        <f t="shared" si="11"/>
        <v>2.1567821096610515</v>
      </c>
      <c r="J15">
        <f t="shared" si="11"/>
        <v>1.1279449838250266</v>
      </c>
      <c r="K15">
        <f t="shared" si="11"/>
        <v>1.5652497027727206</v>
      </c>
      <c r="L15" s="87"/>
      <c r="M15" s="89"/>
      <c r="N15" s="89"/>
      <c r="O15" s="88"/>
      <c r="P15" s="88"/>
      <c r="Q15" s="88"/>
      <c r="R15" s="88"/>
    </row>
    <row r="16" spans="3:25" x14ac:dyDescent="0.2">
      <c r="D16">
        <f t="shared" si="11"/>
        <v>3.0849727105305478</v>
      </c>
      <c r="E16">
        <f t="shared" si="11"/>
        <v>4.3843770138235643</v>
      </c>
      <c r="F16">
        <f t="shared" si="11"/>
        <v>3.6752934596828681</v>
      </c>
      <c r="G16">
        <f t="shared" si="11"/>
        <v>4.1665140185387912</v>
      </c>
      <c r="H16">
        <f t="shared" si="11"/>
        <v>2.110618393050093</v>
      </c>
      <c r="I16">
        <f t="shared" si="11"/>
        <v>3.4367560073550409</v>
      </c>
      <c r="J16">
        <f t="shared" si="11"/>
        <v>2.4642786031626884</v>
      </c>
      <c r="K16">
        <f t="shared" si="11"/>
        <v>2.9147878812783858</v>
      </c>
      <c r="Q16" s="86"/>
      <c r="R16" s="86"/>
    </row>
    <row r="17" spans="4:53" x14ac:dyDescent="0.2">
      <c r="D17">
        <f t="shared" si="11"/>
        <v>2.8145084129779963</v>
      </c>
      <c r="E17">
        <f t="shared" si="11"/>
        <v>4.1200496602330787</v>
      </c>
      <c r="F17">
        <f t="shared" si="11"/>
        <v>3.361876358730409</v>
      </c>
      <c r="G17">
        <f t="shared" si="11"/>
        <v>3.8474845016470218</v>
      </c>
      <c r="H17">
        <f t="shared" si="11"/>
        <v>2.2568952152854003</v>
      </c>
      <c r="I17">
        <f t="shared" si="11"/>
        <v>3.586112736637693</v>
      </c>
      <c r="J17">
        <f t="shared" si="11"/>
        <v>2.5713264432143115</v>
      </c>
      <c r="K17">
        <f t="shared" si="11"/>
        <v>3.0121241505661747</v>
      </c>
      <c r="Q17" s="86"/>
      <c r="R17" s="86"/>
    </row>
    <row r="18" spans="4:53" x14ac:dyDescent="0.2">
      <c r="D18">
        <f t="shared" si="11"/>
        <v>1.0977344379543326</v>
      </c>
      <c r="E18">
        <f t="shared" si="11"/>
        <v>2.3986192130610142</v>
      </c>
      <c r="F18">
        <f t="shared" si="11"/>
        <v>1.6781294708378787</v>
      </c>
      <c r="G18">
        <f t="shared" si="11"/>
        <v>2.1681082153207716</v>
      </c>
      <c r="H18">
        <f t="shared" si="11"/>
        <v>0.26528767849397689</v>
      </c>
      <c r="I18">
        <f t="shared" si="11"/>
        <v>1.5928195120830413</v>
      </c>
      <c r="J18">
        <f t="shared" si="11"/>
        <v>0.601661485943359</v>
      </c>
      <c r="K18">
        <f t="shared" si="11"/>
        <v>1.048025798699161</v>
      </c>
      <c r="Q18" s="86"/>
      <c r="R18" s="86"/>
    </row>
    <row r="19" spans="4:53" x14ac:dyDescent="0.2">
      <c r="Q19" s="86"/>
      <c r="R19" s="86"/>
    </row>
    <row r="20" spans="4:53" x14ac:dyDescent="0.2">
      <c r="Q20" s="86"/>
      <c r="R20" s="86"/>
    </row>
    <row r="25" spans="4:53" x14ac:dyDescent="0.2">
      <c r="AH25" s="105"/>
      <c r="AI25" s="105"/>
      <c r="AJ25" s="105"/>
      <c r="AK25" s="105"/>
      <c r="AL25" s="105"/>
      <c r="AM25" s="105"/>
      <c r="AN25" s="105"/>
      <c r="AO25" s="105"/>
      <c r="AP25" s="105"/>
      <c r="AQ25" s="105"/>
      <c r="AR25" s="105"/>
      <c r="AS25" s="105"/>
      <c r="AT25" s="105"/>
      <c r="AU25" s="105"/>
      <c r="AV25" s="105"/>
      <c r="AW25" s="105"/>
      <c r="AX25" s="105"/>
      <c r="AY25" s="105"/>
      <c r="AZ25" s="105"/>
      <c r="BA25" s="105"/>
    </row>
    <row r="26" spans="4:53" x14ac:dyDescent="0.2">
      <c r="AH26" s="105"/>
      <c r="AI26" s="105"/>
      <c r="AJ26" s="105"/>
      <c r="AK26" s="105"/>
      <c r="AL26" s="105"/>
      <c r="AM26" s="105"/>
      <c r="AN26" s="105"/>
      <c r="AO26" s="105"/>
      <c r="AP26" s="105"/>
      <c r="AQ26" s="105"/>
      <c r="AR26" s="105"/>
      <c r="AS26" s="105"/>
      <c r="AT26" s="105"/>
      <c r="AU26" s="105"/>
      <c r="AV26" s="105"/>
      <c r="AW26" s="105"/>
      <c r="AX26" s="105"/>
      <c r="AY26" s="105"/>
      <c r="AZ26" s="105"/>
      <c r="BA26" s="105"/>
    </row>
    <row r="27" spans="4:53" x14ac:dyDescent="0.2">
      <c r="AH27" s="105"/>
      <c r="AI27" s="105"/>
      <c r="AJ27" s="105"/>
      <c r="AK27" s="105"/>
      <c r="AL27" s="105"/>
      <c r="AM27" s="105"/>
      <c r="AN27" s="105"/>
      <c r="AO27" s="105"/>
      <c r="AP27" s="105"/>
      <c r="AQ27" s="105"/>
      <c r="AR27" s="105"/>
      <c r="AS27" s="105"/>
      <c r="AT27" s="105"/>
      <c r="AU27" s="105"/>
      <c r="AV27" s="105"/>
      <c r="AW27" s="105"/>
      <c r="AX27" s="105"/>
      <c r="AY27" s="105"/>
      <c r="AZ27" s="105"/>
      <c r="BA27" s="105"/>
    </row>
    <row r="28" spans="4:53" x14ac:dyDescent="0.2">
      <c r="AH28" s="105"/>
      <c r="AI28" s="105"/>
      <c r="AJ28" s="105"/>
      <c r="AK28" s="105"/>
      <c r="AL28" s="105"/>
      <c r="AM28" s="105"/>
      <c r="AN28" s="105"/>
      <c r="AO28" s="105"/>
      <c r="AP28" s="105"/>
      <c r="AQ28" s="105"/>
      <c r="AR28" s="105"/>
      <c r="AS28" s="105"/>
      <c r="AT28" s="105"/>
      <c r="AU28" s="105"/>
      <c r="AV28" s="105"/>
      <c r="AW28" s="105"/>
      <c r="AX28" s="105"/>
      <c r="AY28" s="105"/>
      <c r="AZ28" s="105"/>
      <c r="BA28" s="105"/>
    </row>
    <row r="29" spans="4:53" x14ac:dyDescent="0.2">
      <c r="AH29" s="105"/>
      <c r="AI29" s="105"/>
      <c r="AJ29" s="105"/>
      <c r="AK29" s="105"/>
      <c r="AL29" s="105"/>
      <c r="AM29" s="105"/>
      <c r="AN29" s="105"/>
      <c r="AO29" s="105"/>
      <c r="AP29" s="105"/>
      <c r="AQ29" s="105"/>
      <c r="AR29" s="105"/>
      <c r="AS29" s="105"/>
      <c r="AT29" s="105"/>
      <c r="AU29" s="105"/>
      <c r="AV29" s="105"/>
      <c r="AW29" s="105"/>
      <c r="AX29" s="105"/>
      <c r="AY29" s="105"/>
      <c r="AZ29" s="105"/>
      <c r="BA29" s="105"/>
    </row>
    <row r="30" spans="4:53" x14ac:dyDescent="0.2">
      <c r="AH30" s="105"/>
      <c r="AI30" s="105"/>
      <c r="AJ30" s="105"/>
      <c r="AK30" s="105"/>
      <c r="AL30" s="105"/>
      <c r="AM30" s="105"/>
      <c r="AN30" s="105"/>
      <c r="AO30" s="105"/>
      <c r="AP30" s="105"/>
      <c r="AQ30" s="105"/>
      <c r="AR30" s="105"/>
      <c r="AS30" s="105"/>
      <c r="AT30" s="105"/>
      <c r="AU30" s="105"/>
      <c r="AV30" s="105"/>
      <c r="AW30" s="105"/>
      <c r="AX30" s="105"/>
      <c r="AY30" s="105"/>
      <c r="AZ30" s="105"/>
      <c r="BA30" s="105"/>
    </row>
    <row r="31" spans="4:53" x14ac:dyDescent="0.2">
      <c r="AH31" s="105"/>
      <c r="AI31" s="105"/>
      <c r="AJ31" s="105"/>
      <c r="AK31" s="105"/>
      <c r="AL31" s="105"/>
      <c r="AM31" s="105"/>
      <c r="AN31" s="105"/>
      <c r="AO31" s="105"/>
      <c r="AP31" s="105"/>
      <c r="AQ31" s="105"/>
      <c r="AR31" s="105"/>
      <c r="AS31" s="105"/>
      <c r="AT31" s="105"/>
      <c r="AU31" s="105"/>
      <c r="AV31" s="105"/>
      <c r="AW31" s="105"/>
      <c r="AX31" s="105"/>
      <c r="AY31" s="105"/>
      <c r="AZ31" s="105"/>
      <c r="BA31" s="105"/>
    </row>
    <row r="32" spans="4:53" x14ac:dyDescent="0.2">
      <c r="AH32" s="105"/>
      <c r="AI32" s="105"/>
      <c r="AJ32" s="105"/>
      <c r="AK32" s="105"/>
      <c r="AL32" s="105"/>
      <c r="AM32" s="105"/>
      <c r="AN32" s="105"/>
      <c r="AO32" s="105"/>
      <c r="AP32" s="105"/>
      <c r="AQ32" s="105"/>
      <c r="AR32" s="105"/>
      <c r="AS32" s="105"/>
      <c r="AT32" s="105"/>
      <c r="AU32" s="105"/>
      <c r="AV32" s="105"/>
      <c r="AW32" s="105"/>
      <c r="AX32" s="105"/>
      <c r="AY32" s="105"/>
      <c r="AZ32" s="105"/>
      <c r="BA32" s="105"/>
    </row>
    <row r="33" spans="2:53" x14ac:dyDescent="0.2">
      <c r="AH33" s="105"/>
      <c r="AI33" s="105"/>
      <c r="AJ33" s="105"/>
      <c r="AK33" s="105"/>
      <c r="AL33" s="105"/>
      <c r="AM33" s="105"/>
      <c r="AN33" s="105"/>
      <c r="AO33" s="105"/>
      <c r="AP33" s="105"/>
      <c r="AQ33" s="105"/>
      <c r="AR33" s="105"/>
      <c r="AS33" s="105"/>
      <c r="AT33" s="105"/>
      <c r="AU33" s="105"/>
      <c r="AV33" s="105"/>
      <c r="AW33" s="105"/>
      <c r="AX33" s="105"/>
      <c r="AY33" s="105"/>
      <c r="AZ33" s="105"/>
      <c r="BA33" s="105"/>
    </row>
    <row r="34" spans="2:53" x14ac:dyDescent="0.2">
      <c r="B34" s="137" t="s">
        <v>555</v>
      </c>
      <c r="C34" s="111" t="s">
        <v>466</v>
      </c>
      <c r="D34" s="112"/>
      <c r="E34" s="112"/>
      <c r="F34" s="113"/>
      <c r="G34" s="111" t="s">
        <v>552</v>
      </c>
      <c r="H34" s="112"/>
      <c r="I34" s="112"/>
      <c r="J34" s="113"/>
      <c r="K34" s="8"/>
      <c r="L34" s="8"/>
      <c r="M34" s="143" t="s">
        <v>567</v>
      </c>
      <c r="N34" s="109" t="s">
        <v>466</v>
      </c>
      <c r="O34" s="109"/>
      <c r="P34" s="109"/>
      <c r="Q34" s="109"/>
      <c r="R34" s="109"/>
      <c r="S34" s="109" t="s">
        <v>552</v>
      </c>
      <c r="T34" s="109"/>
      <c r="U34" s="109"/>
      <c r="V34" s="109"/>
      <c r="W34" s="109"/>
      <c r="AH34" s="105"/>
      <c r="AI34" s="105"/>
      <c r="AJ34" s="105"/>
      <c r="AK34" s="105"/>
      <c r="AL34" s="105"/>
      <c r="AM34" s="105"/>
      <c r="AN34" s="105"/>
      <c r="AO34" s="105"/>
      <c r="AP34" s="105"/>
      <c r="AQ34" s="105"/>
      <c r="AR34" s="105"/>
      <c r="AS34" s="105"/>
      <c r="AT34" s="105"/>
      <c r="AU34" s="105"/>
      <c r="AV34" s="105"/>
      <c r="AW34" s="105"/>
      <c r="AX34" s="105"/>
      <c r="AY34" s="105"/>
      <c r="AZ34" s="105"/>
      <c r="BA34" s="105"/>
    </row>
    <row r="35" spans="2:53" x14ac:dyDescent="0.2">
      <c r="B35" s="138"/>
      <c r="C35" s="27" t="s">
        <v>418</v>
      </c>
      <c r="D35" s="27" t="s">
        <v>419</v>
      </c>
      <c r="E35" s="27" t="s">
        <v>420</v>
      </c>
      <c r="F35" s="27" t="s">
        <v>421</v>
      </c>
      <c r="G35" s="27" t="s">
        <v>418</v>
      </c>
      <c r="H35" s="27" t="s">
        <v>419</v>
      </c>
      <c r="I35" s="27" t="s">
        <v>420</v>
      </c>
      <c r="J35" s="27" t="s">
        <v>421</v>
      </c>
      <c r="M35" s="143"/>
      <c r="N35" s="27" t="s">
        <v>418</v>
      </c>
      <c r="O35" s="27" t="s">
        <v>419</v>
      </c>
      <c r="P35" s="27" t="s">
        <v>420</v>
      </c>
      <c r="Q35" s="27" t="s">
        <v>421</v>
      </c>
      <c r="R35" s="27" t="s">
        <v>571</v>
      </c>
      <c r="S35" s="27" t="s">
        <v>418</v>
      </c>
      <c r="T35" s="27" t="s">
        <v>419</v>
      </c>
      <c r="U35" s="27" t="s">
        <v>420</v>
      </c>
      <c r="V35" s="27" t="s">
        <v>421</v>
      </c>
      <c r="W35" s="27" t="s">
        <v>571</v>
      </c>
      <c r="AH35" s="105"/>
      <c r="AI35" s="105"/>
      <c r="AJ35" s="105"/>
      <c r="AK35" s="105"/>
      <c r="AL35" s="105"/>
      <c r="AM35" s="105"/>
      <c r="AN35" s="105"/>
      <c r="AO35" s="105"/>
      <c r="AP35" s="105"/>
      <c r="AQ35" s="105"/>
      <c r="AR35" s="105"/>
      <c r="AS35" s="105"/>
      <c r="AT35" s="105"/>
      <c r="AU35" s="105"/>
      <c r="AV35" s="105"/>
      <c r="AW35" s="105"/>
      <c r="AX35" s="105"/>
      <c r="AY35" s="105"/>
      <c r="AZ35" s="105"/>
      <c r="BA35" s="105"/>
    </row>
    <row r="36" spans="2:53" x14ac:dyDescent="0.2">
      <c r="B36" s="91" t="s">
        <v>559</v>
      </c>
      <c r="C36" s="12">
        <v>4.5177076562500001E-2</v>
      </c>
      <c r="D36" s="12">
        <v>0.95720105493749996</v>
      </c>
      <c r="E36" s="12">
        <v>0.10214468971875001</v>
      </c>
      <c r="F36" s="12">
        <v>0.2883195246875</v>
      </c>
      <c r="G36" s="3">
        <v>2.7609094333333335</v>
      </c>
      <c r="H36" s="3">
        <v>58.681724177333336</v>
      </c>
      <c r="I36" s="3">
        <v>6.0041630113333335</v>
      </c>
      <c r="J36" s="3">
        <v>16.790695553333336</v>
      </c>
      <c r="M36" s="91" t="s">
        <v>559</v>
      </c>
      <c r="N36" s="12">
        <f>C36/C$41</f>
        <v>9.5139165619682213</v>
      </c>
      <c r="O36" s="12">
        <f t="shared" ref="O36:Q36" si="12">D36/D$41</f>
        <v>10.031652076046109</v>
      </c>
      <c r="P36" s="12">
        <f t="shared" si="12"/>
        <v>5.8535399918378843</v>
      </c>
      <c r="Q36" s="12">
        <f t="shared" si="12"/>
        <v>5.3710250757081051</v>
      </c>
      <c r="R36" s="3">
        <f>GEOMEAN(N36:Q36)</f>
        <v>7.401195776859578</v>
      </c>
      <c r="S36" s="12">
        <f t="shared" ref="S36:V41" si="13">G36/G$41</f>
        <v>43.697278888801527</v>
      </c>
      <c r="T36" s="12">
        <f t="shared" si="13"/>
        <v>43.583369513771146</v>
      </c>
      <c r="U36" s="12">
        <f t="shared" si="13"/>
        <v>45.189776187998881</v>
      </c>
      <c r="V36" s="12">
        <f t="shared" si="13"/>
        <v>45.571171978903301</v>
      </c>
      <c r="W36" s="3">
        <f>GEOMEAN(S36:V36)</f>
        <v>44.501678947503699</v>
      </c>
      <c r="AH36" s="105"/>
      <c r="AI36" s="105"/>
      <c r="AJ36" s="105"/>
      <c r="AK36" s="105"/>
      <c r="AL36" s="105"/>
      <c r="AM36" s="105"/>
      <c r="AN36" s="105"/>
      <c r="AO36" s="105"/>
      <c r="AP36" s="105"/>
      <c r="AQ36" s="105"/>
      <c r="AR36" s="105"/>
      <c r="AS36" s="105"/>
      <c r="AT36" s="105"/>
      <c r="AU36" s="105"/>
      <c r="AV36" s="105"/>
      <c r="AW36" s="105"/>
      <c r="AX36" s="105"/>
      <c r="AY36" s="105"/>
      <c r="AZ36" s="105"/>
      <c r="BA36" s="105"/>
    </row>
    <row r="37" spans="2:53" x14ac:dyDescent="0.2">
      <c r="B37" s="91" t="s">
        <v>560</v>
      </c>
      <c r="C37" s="12">
        <v>0.10928794609375</v>
      </c>
      <c r="D37" s="12">
        <v>2.3135103131562502</v>
      </c>
      <c r="E37" s="12">
        <v>0.24975731295312503</v>
      </c>
      <c r="F37" s="12">
        <v>0.70673194078125001</v>
      </c>
      <c r="G37" s="3">
        <v>6.65206695</v>
      </c>
      <c r="H37" s="3">
        <v>141.29440877800002</v>
      </c>
      <c r="I37" s="3">
        <v>14.585088061</v>
      </c>
      <c r="J37" s="3">
        <v>40.868739890000001</v>
      </c>
      <c r="M37" s="91" t="s">
        <v>560</v>
      </c>
      <c r="N37" s="12">
        <f t="shared" ref="N37:N41" si="14">C37/C$41</f>
        <v>23.015132440594567</v>
      </c>
      <c r="O37" s="12">
        <f t="shared" ref="O37:O41" si="15">D37/D$41</f>
        <v>24.246035267317335</v>
      </c>
      <c r="P37" s="12">
        <f t="shared" ref="P37:P41" si="16">E37/E$41</f>
        <v>14.312681585802737</v>
      </c>
      <c r="Q37" s="12">
        <f t="shared" ref="Q37:Q41" si="17">F37/F$41</f>
        <v>13.165514821981525</v>
      </c>
      <c r="R37" s="3">
        <f t="shared" ref="R37:R41" si="18">GEOMEAN(N37:Q37)</f>
        <v>18.007493501704566</v>
      </c>
      <c r="S37" s="12">
        <f t="shared" si="13"/>
        <v>105.2831437321671</v>
      </c>
      <c r="T37" s="12">
        <f t="shared" si="13"/>
        <v>104.9404480582739</v>
      </c>
      <c r="U37" s="12">
        <f t="shared" si="13"/>
        <v>109.77331293549942</v>
      </c>
      <c r="V37" s="12">
        <f t="shared" si="13"/>
        <v>110.92073989266748</v>
      </c>
      <c r="W37" s="3">
        <f t="shared" ref="W37:W41" si="19">GEOMEAN(S37:V37)</f>
        <v>107.69680561818927</v>
      </c>
      <c r="AH37" s="105"/>
      <c r="AI37" s="105"/>
      <c r="AJ37" s="105"/>
      <c r="AK37" s="105"/>
      <c r="AL37" s="105"/>
      <c r="AM37" s="105"/>
      <c r="AN37" s="105"/>
      <c r="AO37" s="105"/>
      <c r="AP37" s="105"/>
      <c r="AQ37" s="105"/>
      <c r="AR37" s="105"/>
      <c r="AS37" s="105"/>
      <c r="AT37" s="105"/>
      <c r="AU37" s="105"/>
      <c r="AV37" s="105"/>
      <c r="AW37" s="105"/>
      <c r="AX37" s="105"/>
      <c r="AY37" s="105"/>
      <c r="AZ37" s="105"/>
      <c r="BA37" s="105"/>
    </row>
    <row r="38" spans="2:53" x14ac:dyDescent="0.2">
      <c r="B38" s="92" t="s">
        <v>428</v>
      </c>
      <c r="C38" s="12">
        <v>1.7849763671875001E-2</v>
      </c>
      <c r="D38" s="12">
        <v>0.36965805695312504</v>
      </c>
      <c r="E38" s="12">
        <v>5.1397903164062508E-2</v>
      </c>
      <c r="F38" s="12">
        <v>0.152354972265625</v>
      </c>
      <c r="G38" s="3">
        <v>0.66093887500000004</v>
      </c>
      <c r="H38" s="3">
        <v>14.137449804999999</v>
      </c>
      <c r="I38" s="3">
        <v>1.3215877225000001</v>
      </c>
      <c r="J38" s="3">
        <v>3.6165090250000005</v>
      </c>
      <c r="M38" s="92" t="s">
        <v>428</v>
      </c>
      <c r="N38" s="12">
        <f t="shared" si="14"/>
        <v>3.759011763192158</v>
      </c>
      <c r="O38" s="12">
        <f t="shared" si="15"/>
        <v>3.8740878891980728</v>
      </c>
      <c r="P38" s="12">
        <f t="shared" si="16"/>
        <v>2.9454265561513968</v>
      </c>
      <c r="Q38" s="12">
        <f t="shared" si="17"/>
        <v>2.8381788480485866</v>
      </c>
      <c r="R38" s="3">
        <f t="shared" si="18"/>
        <v>3.3216798942400758</v>
      </c>
      <c r="S38" s="12">
        <f t="shared" si="13"/>
        <v>10.460767021414574</v>
      </c>
      <c r="T38" s="12">
        <f t="shared" si="13"/>
        <v>10.499993097880152</v>
      </c>
      <c r="U38" s="12">
        <f t="shared" si="13"/>
        <v>9.9468074534038617</v>
      </c>
      <c r="V38" s="12">
        <f t="shared" si="13"/>
        <v>9.8154691816094939</v>
      </c>
      <c r="W38" s="3">
        <f t="shared" si="19"/>
        <v>10.176228016710745</v>
      </c>
      <c r="AH38" s="105"/>
      <c r="AI38" s="105"/>
      <c r="AJ38" s="105"/>
      <c r="AK38" s="105"/>
      <c r="AL38" s="105"/>
      <c r="AM38" s="105"/>
      <c r="AN38" s="105"/>
      <c r="AO38" s="105"/>
      <c r="AP38" s="105"/>
      <c r="AQ38" s="105"/>
      <c r="AR38" s="105"/>
      <c r="AS38" s="105"/>
      <c r="AT38" s="105"/>
      <c r="AU38" s="105"/>
      <c r="AV38" s="105"/>
      <c r="AW38" s="105"/>
      <c r="AX38" s="105"/>
      <c r="AY38" s="105"/>
      <c r="AZ38" s="105"/>
      <c r="BA38" s="105"/>
    </row>
    <row r="39" spans="2:53" x14ac:dyDescent="0.2">
      <c r="B39" s="92" t="s">
        <v>446</v>
      </c>
      <c r="C39" s="12">
        <v>2.9658252343750004E-2</v>
      </c>
      <c r="D39" s="12">
        <v>0.58750701290625007</v>
      </c>
      <c r="E39" s="12">
        <v>0.119919331828125</v>
      </c>
      <c r="F39" s="12">
        <v>0.37333243953125006</v>
      </c>
      <c r="G39" s="3">
        <v>6.863335000000001E-2</v>
      </c>
      <c r="H39" s="3">
        <v>1.4219186340000001</v>
      </c>
      <c r="I39" s="3">
        <v>0.19690053299999999</v>
      </c>
      <c r="J39" s="3">
        <v>0.58328117000000002</v>
      </c>
      <c r="M39" s="92" t="s">
        <v>446</v>
      </c>
      <c r="N39" s="12">
        <f t="shared" si="14"/>
        <v>6.2457812599244802</v>
      </c>
      <c r="O39" s="12">
        <f t="shared" si="15"/>
        <v>6.1571870562736226</v>
      </c>
      <c r="P39" s="12">
        <f t="shared" si="16"/>
        <v>6.8721399671700665</v>
      </c>
      <c r="Q39" s="12">
        <f t="shared" si="17"/>
        <v>6.9547072695509264</v>
      </c>
      <c r="R39" s="3">
        <f t="shared" si="18"/>
        <v>6.5476430020209211</v>
      </c>
      <c r="S39" s="12">
        <f t="shared" si="13"/>
        <v>1.0862691111174296</v>
      </c>
      <c r="T39" s="12">
        <f t="shared" si="13"/>
        <v>1.0560699453353195</v>
      </c>
      <c r="U39" s="12">
        <f t="shared" si="13"/>
        <v>1.481953604652674</v>
      </c>
      <c r="V39" s="12">
        <f t="shared" si="13"/>
        <v>1.5830676237143158</v>
      </c>
      <c r="W39" s="3">
        <f t="shared" si="19"/>
        <v>1.2808286898200458</v>
      </c>
      <c r="AH39" s="105"/>
      <c r="AI39" s="105"/>
      <c r="AJ39" s="105"/>
      <c r="AK39" s="105"/>
      <c r="AL39" s="105"/>
      <c r="AM39" s="105"/>
      <c r="AN39" s="105"/>
      <c r="AO39" s="105"/>
      <c r="AP39" s="105"/>
      <c r="AQ39" s="105"/>
      <c r="AR39" s="105"/>
      <c r="AS39" s="105"/>
      <c r="AT39" s="105"/>
      <c r="AU39" s="105"/>
      <c r="AV39" s="105"/>
      <c r="AW39" s="105"/>
      <c r="AX39" s="105"/>
      <c r="AY39" s="105"/>
      <c r="AZ39" s="105"/>
      <c r="BA39" s="105"/>
    </row>
    <row r="40" spans="2:53" x14ac:dyDescent="0.2">
      <c r="B40" s="92" t="s">
        <v>443</v>
      </c>
      <c r="C40" s="12">
        <v>2.055027265625E-2</v>
      </c>
      <c r="D40" s="12">
        <v>0.40999427809375</v>
      </c>
      <c r="E40" s="12">
        <v>7.9330797671875009E-2</v>
      </c>
      <c r="F40" s="12">
        <v>0.24558601546875</v>
      </c>
      <c r="G40" s="3">
        <v>0.15974705</v>
      </c>
      <c r="H40" s="3">
        <v>3.390035782</v>
      </c>
      <c r="I40" s="3">
        <v>0.35426365900000001</v>
      </c>
      <c r="J40" s="3">
        <v>0.99540291000000003</v>
      </c>
      <c r="M40" s="92" t="s">
        <v>443</v>
      </c>
      <c r="N40" s="12">
        <f t="shared" si="14"/>
        <v>4.3277164937128507</v>
      </c>
      <c r="O40" s="12">
        <f t="shared" si="15"/>
        <v>4.2968192834625993</v>
      </c>
      <c r="P40" s="12">
        <f t="shared" si="16"/>
        <v>4.546158963675226</v>
      </c>
      <c r="Q40" s="12">
        <f t="shared" si="17"/>
        <v>4.5749542933506433</v>
      </c>
      <c r="R40" s="3">
        <f t="shared" si="18"/>
        <v>4.434649670405304</v>
      </c>
      <c r="S40" s="12">
        <f t="shared" si="13"/>
        <v>2.5283376959908206</v>
      </c>
      <c r="T40" s="12">
        <f t="shared" si="13"/>
        <v>2.5178057431530343</v>
      </c>
      <c r="U40" s="12">
        <f t="shared" si="13"/>
        <v>2.6663325814993897</v>
      </c>
      <c r="V40" s="12">
        <f t="shared" si="13"/>
        <v>2.7015960747918797</v>
      </c>
      <c r="W40" s="3">
        <f t="shared" si="19"/>
        <v>2.602243958718446</v>
      </c>
      <c r="AH40" s="105"/>
      <c r="AI40" s="105"/>
      <c r="AJ40" s="105"/>
      <c r="AK40" s="105"/>
      <c r="AL40" s="105"/>
      <c r="AM40" s="105"/>
      <c r="AN40" s="105"/>
      <c r="AO40" s="105"/>
      <c r="AP40" s="105"/>
      <c r="AQ40" s="105"/>
      <c r="AR40" s="105"/>
      <c r="AS40" s="105"/>
      <c r="AT40" s="105"/>
      <c r="AU40" s="105"/>
      <c r="AV40" s="105"/>
      <c r="AW40" s="105"/>
      <c r="AX40" s="105"/>
      <c r="AY40" s="105"/>
      <c r="AZ40" s="105"/>
      <c r="BA40" s="105"/>
    </row>
    <row r="41" spans="2:53" x14ac:dyDescent="0.2">
      <c r="B41" s="92" t="s">
        <v>583</v>
      </c>
      <c r="C41" s="12">
        <v>4.748525622254759E-3</v>
      </c>
      <c r="D41" s="12">
        <v>9.5418087437774524E-2</v>
      </c>
      <c r="E41" s="12">
        <v>1.7450071215226941E-2</v>
      </c>
      <c r="F41" s="12">
        <v>5.3680539677891659E-2</v>
      </c>
      <c r="G41" s="3">
        <v>6.318263982430454E-2</v>
      </c>
      <c r="H41" s="3">
        <v>1.3464246760175695</v>
      </c>
      <c r="I41" s="3">
        <v>0.13286551777452416</v>
      </c>
      <c r="J41" s="3">
        <v>0.36844993938506593</v>
      </c>
      <c r="M41" s="92" t="s">
        <v>583</v>
      </c>
      <c r="N41" s="12">
        <f t="shared" si="14"/>
        <v>1</v>
      </c>
      <c r="O41" s="12">
        <f t="shared" si="15"/>
        <v>1</v>
      </c>
      <c r="P41" s="12">
        <f t="shared" si="16"/>
        <v>1</v>
      </c>
      <c r="Q41" s="12">
        <f t="shared" si="17"/>
        <v>1</v>
      </c>
      <c r="R41" s="3">
        <f t="shared" si="18"/>
        <v>1</v>
      </c>
      <c r="S41" s="12">
        <f t="shared" si="13"/>
        <v>1</v>
      </c>
      <c r="T41" s="12">
        <f t="shared" si="13"/>
        <v>1</v>
      </c>
      <c r="U41" s="12">
        <f t="shared" si="13"/>
        <v>1</v>
      </c>
      <c r="V41" s="12">
        <f t="shared" si="13"/>
        <v>1</v>
      </c>
      <c r="W41" s="3">
        <f t="shared" si="19"/>
        <v>1</v>
      </c>
      <c r="AH41" s="105"/>
      <c r="AI41" s="105"/>
      <c r="AJ41" s="105"/>
      <c r="AK41" s="105"/>
      <c r="AL41" s="105"/>
      <c r="AM41" s="105"/>
      <c r="AN41" s="105"/>
      <c r="AO41" s="105"/>
      <c r="AP41" s="105"/>
      <c r="AQ41" s="105"/>
      <c r="AR41" s="105"/>
      <c r="AS41" s="105"/>
      <c r="AT41" s="105"/>
      <c r="AU41" s="105"/>
      <c r="AV41" s="105"/>
      <c r="AW41" s="105"/>
      <c r="AX41" s="105"/>
      <c r="AY41" s="105"/>
      <c r="AZ41" s="105"/>
      <c r="BA41" s="105"/>
    </row>
    <row r="42" spans="2:53" x14ac:dyDescent="0.2">
      <c r="AH42" s="105"/>
      <c r="AI42" s="105"/>
      <c r="AJ42" s="105"/>
      <c r="AK42" s="105"/>
      <c r="AL42" s="105"/>
      <c r="AM42" s="105"/>
      <c r="AN42" s="105"/>
      <c r="AO42" s="105"/>
      <c r="AP42" s="105"/>
      <c r="AQ42" s="105"/>
      <c r="AR42" s="105"/>
      <c r="AS42" s="105"/>
      <c r="AT42" s="105"/>
      <c r="AU42" s="105"/>
      <c r="AV42" s="105"/>
      <c r="AW42" s="105"/>
      <c r="AX42" s="105"/>
      <c r="AY42" s="105"/>
      <c r="AZ42" s="105"/>
      <c r="BA42" s="105"/>
    </row>
    <row r="43" spans="2:53" x14ac:dyDescent="0.2">
      <c r="AH43" s="105"/>
      <c r="AI43" s="105"/>
      <c r="AJ43" s="105"/>
      <c r="AK43" s="105"/>
      <c r="AL43" s="105"/>
      <c r="AM43" s="105"/>
      <c r="AN43" s="105"/>
      <c r="AO43" s="105"/>
      <c r="AP43" s="105"/>
      <c r="AQ43" s="105"/>
      <c r="AR43" s="105"/>
      <c r="AS43" s="105"/>
      <c r="AT43" s="105"/>
      <c r="AU43" s="105"/>
      <c r="AV43" s="105"/>
      <c r="AW43" s="105"/>
      <c r="AX43" s="105"/>
      <c r="AY43" s="105"/>
      <c r="AZ43" s="105"/>
      <c r="BA43" s="105"/>
    </row>
    <row r="44" spans="2:53" x14ac:dyDescent="0.2">
      <c r="AH44" s="105"/>
      <c r="AI44" s="105"/>
      <c r="AJ44" s="105"/>
      <c r="AK44" s="105"/>
      <c r="AL44" s="105"/>
      <c r="AM44" s="105"/>
      <c r="AN44" s="105"/>
      <c r="AO44" s="105"/>
      <c r="AP44" s="105"/>
      <c r="AQ44" s="105"/>
      <c r="AR44" s="105"/>
      <c r="AS44" s="105"/>
      <c r="AT44" s="105"/>
      <c r="AU44" s="105"/>
      <c r="AV44" s="105"/>
      <c r="AW44" s="105"/>
      <c r="AX44" s="105"/>
      <c r="AY44" s="105"/>
      <c r="AZ44" s="105"/>
      <c r="BA44" s="105"/>
    </row>
    <row r="45" spans="2:53" x14ac:dyDescent="0.2">
      <c r="AH45" s="105"/>
      <c r="AI45" s="105"/>
      <c r="AJ45" s="105"/>
      <c r="AK45" s="105"/>
      <c r="AL45" s="105"/>
      <c r="AM45" s="105"/>
      <c r="AN45" s="105"/>
      <c r="AO45" s="105"/>
      <c r="AP45" s="105"/>
      <c r="AQ45" s="105"/>
      <c r="AR45" s="105"/>
      <c r="AS45" s="105"/>
      <c r="AT45" s="105"/>
      <c r="AU45" s="105"/>
      <c r="AV45" s="105"/>
      <c r="AW45" s="105"/>
      <c r="AX45" s="105"/>
      <c r="AY45" s="105"/>
      <c r="AZ45" s="105"/>
      <c r="BA45" s="105"/>
    </row>
    <row r="46" spans="2:53" x14ac:dyDescent="0.2">
      <c r="AH46" s="105"/>
      <c r="AI46" s="105"/>
      <c r="AJ46" s="105"/>
      <c r="AK46" s="105"/>
      <c r="AL46" s="105"/>
      <c r="AM46" s="105"/>
      <c r="AN46" s="105"/>
      <c r="AO46" s="105"/>
      <c r="AP46" s="105"/>
      <c r="AQ46" s="105"/>
      <c r="AR46" s="105"/>
      <c r="AS46" s="105"/>
      <c r="AT46" s="105"/>
      <c r="AU46" s="105"/>
      <c r="AV46" s="105"/>
      <c r="AW46" s="105"/>
      <c r="AX46" s="105"/>
      <c r="AY46" s="105"/>
      <c r="AZ46" s="105"/>
      <c r="BA46" s="105"/>
    </row>
    <row r="47" spans="2:53" x14ac:dyDescent="0.2">
      <c r="AH47" s="105"/>
      <c r="AI47" s="105"/>
      <c r="AJ47" s="105"/>
      <c r="AK47" s="105"/>
      <c r="AL47" s="105"/>
      <c r="AM47" s="105"/>
      <c r="AN47" s="105"/>
      <c r="AO47" s="105"/>
      <c r="AP47" s="105"/>
      <c r="AQ47" s="105"/>
      <c r="AR47" s="105"/>
      <c r="AS47" s="105"/>
      <c r="AT47" s="105"/>
      <c r="AU47" s="105"/>
      <c r="AV47" s="105"/>
      <c r="AW47" s="105"/>
      <c r="AX47" s="105"/>
      <c r="AY47" s="105"/>
      <c r="AZ47" s="105"/>
      <c r="BA47" s="105"/>
    </row>
    <row r="48" spans="2:53" x14ac:dyDescent="0.2">
      <c r="AH48" s="105"/>
      <c r="AI48" s="105"/>
      <c r="AJ48" s="105"/>
      <c r="AK48" s="105"/>
      <c r="AL48" s="105"/>
      <c r="AM48" s="105"/>
      <c r="AN48" s="105"/>
      <c r="AO48" s="105"/>
      <c r="AP48" s="105"/>
      <c r="AQ48" s="105"/>
      <c r="AR48" s="105"/>
      <c r="AS48" s="105"/>
      <c r="AT48" s="105"/>
      <c r="AU48" s="105"/>
      <c r="AV48" s="105"/>
      <c r="AW48" s="105"/>
      <c r="AX48" s="105"/>
      <c r="AY48" s="105"/>
      <c r="AZ48" s="105"/>
      <c r="BA48" s="105"/>
    </row>
    <row r="49" spans="2:53" x14ac:dyDescent="0.2">
      <c r="AH49" s="105"/>
      <c r="AI49" s="105"/>
      <c r="AJ49" s="105"/>
      <c r="AK49" s="105"/>
      <c r="AL49" s="105"/>
      <c r="AM49" s="105"/>
      <c r="AN49" s="105"/>
      <c r="AO49" s="105"/>
      <c r="AP49" s="105"/>
      <c r="AQ49" s="105"/>
      <c r="AR49" s="105"/>
      <c r="AS49" s="105"/>
      <c r="AT49" s="105"/>
      <c r="AU49" s="105"/>
      <c r="AV49" s="105"/>
      <c r="AW49" s="105"/>
      <c r="AX49" s="105"/>
      <c r="AY49" s="105"/>
      <c r="AZ49" s="105"/>
      <c r="BA49" s="105"/>
    </row>
    <row r="50" spans="2:53" x14ac:dyDescent="0.2">
      <c r="AH50" s="105"/>
      <c r="AI50" s="105"/>
      <c r="AJ50" s="105"/>
      <c r="AK50" s="105"/>
      <c r="AL50" s="105"/>
      <c r="AM50" s="105"/>
      <c r="AN50" s="105"/>
      <c r="AO50" s="105"/>
      <c r="AP50" s="105"/>
      <c r="AQ50" s="105"/>
      <c r="AR50" s="105"/>
      <c r="AS50" s="105"/>
      <c r="AT50" s="105"/>
      <c r="AU50" s="105"/>
      <c r="AV50" s="105"/>
      <c r="AW50" s="105"/>
      <c r="AX50" s="105"/>
      <c r="AY50" s="105"/>
      <c r="AZ50" s="105"/>
      <c r="BA50" s="105"/>
    </row>
    <row r="51" spans="2:53" x14ac:dyDescent="0.2">
      <c r="AH51" s="105"/>
      <c r="AI51" s="105"/>
      <c r="AJ51" s="105"/>
      <c r="AK51" s="105"/>
      <c r="AL51" s="105"/>
      <c r="AM51" s="105"/>
      <c r="AN51" s="105"/>
      <c r="AO51" s="105"/>
      <c r="AP51" s="105"/>
      <c r="AQ51" s="105"/>
      <c r="AR51" s="105"/>
      <c r="AS51" s="105"/>
      <c r="AT51" s="105"/>
      <c r="AU51" s="105"/>
      <c r="AV51" s="105"/>
      <c r="AW51" s="105"/>
      <c r="AX51" s="105"/>
      <c r="AY51" s="105"/>
      <c r="AZ51" s="105"/>
      <c r="BA51" s="105"/>
    </row>
    <row r="52" spans="2:53" x14ac:dyDescent="0.2">
      <c r="AH52" s="105"/>
      <c r="AI52" s="105"/>
      <c r="AJ52" s="105"/>
      <c r="AK52" s="105"/>
      <c r="AL52" s="105"/>
      <c r="AM52" s="105"/>
      <c r="AN52" s="105"/>
      <c r="AO52" s="105"/>
      <c r="AP52" s="105"/>
      <c r="AQ52" s="105"/>
      <c r="AR52" s="105"/>
      <c r="AS52" s="105"/>
      <c r="AT52" s="105"/>
      <c r="AU52" s="105"/>
      <c r="AV52" s="105"/>
      <c r="AW52" s="105"/>
      <c r="AX52" s="105"/>
      <c r="AY52" s="105"/>
      <c r="AZ52" s="105"/>
      <c r="BA52" s="105"/>
    </row>
    <row r="53" spans="2:53" x14ac:dyDescent="0.2">
      <c r="AH53" s="105"/>
      <c r="AI53" s="105"/>
      <c r="AJ53" s="105"/>
      <c r="AK53" s="105"/>
      <c r="AL53" s="105"/>
      <c r="AM53" s="105"/>
      <c r="AN53" s="105"/>
      <c r="AO53" s="105"/>
      <c r="AP53" s="105"/>
      <c r="AQ53" s="105"/>
      <c r="AR53" s="105"/>
      <c r="AS53" s="105"/>
      <c r="AT53" s="105"/>
      <c r="AU53" s="105"/>
      <c r="AV53" s="105"/>
      <c r="AW53" s="105"/>
      <c r="AX53" s="105"/>
      <c r="AY53" s="105"/>
      <c r="AZ53" s="105"/>
      <c r="BA53" s="105"/>
    </row>
    <row r="54" spans="2:53" x14ac:dyDescent="0.2">
      <c r="AH54" s="105"/>
      <c r="AI54" s="105"/>
      <c r="AJ54" s="105"/>
      <c r="AK54" s="105"/>
      <c r="AL54" s="105"/>
      <c r="AM54" s="105"/>
      <c r="AN54" s="105"/>
      <c r="AO54" s="105"/>
      <c r="AP54" s="105"/>
      <c r="AQ54" s="105"/>
      <c r="AR54" s="105"/>
      <c r="AS54" s="105"/>
      <c r="AT54" s="105"/>
      <c r="AU54" s="105"/>
      <c r="AV54" s="105"/>
      <c r="AW54" s="105"/>
      <c r="AX54" s="105"/>
      <c r="AY54" s="105"/>
      <c r="AZ54" s="105"/>
      <c r="BA54" s="105"/>
    </row>
    <row r="55" spans="2:53" x14ac:dyDescent="0.2">
      <c r="AH55" s="105"/>
      <c r="AI55" s="105"/>
      <c r="AJ55" s="105"/>
      <c r="AK55" s="105"/>
      <c r="AL55" s="105"/>
      <c r="AM55" s="105"/>
      <c r="AN55" s="105"/>
      <c r="AO55" s="105"/>
      <c r="AP55" s="105"/>
      <c r="AQ55" s="105"/>
      <c r="AR55" s="105"/>
      <c r="AS55" s="105"/>
      <c r="AT55" s="105"/>
      <c r="AU55" s="105"/>
      <c r="AV55" s="105"/>
      <c r="AW55" s="105"/>
      <c r="AX55" s="105"/>
      <c r="AY55" s="105"/>
      <c r="AZ55" s="105"/>
      <c r="BA55" s="105"/>
    </row>
    <row r="56" spans="2:53" x14ac:dyDescent="0.2">
      <c r="AH56" s="105"/>
      <c r="AI56" s="105"/>
      <c r="AJ56" s="105"/>
      <c r="AK56" s="105"/>
      <c r="AL56" s="105"/>
      <c r="AM56" s="105"/>
      <c r="AN56" s="105"/>
      <c r="AO56" s="105"/>
      <c r="AP56" s="105"/>
      <c r="AQ56" s="105"/>
      <c r="AR56" s="105"/>
      <c r="AS56" s="105"/>
      <c r="AT56" s="105"/>
      <c r="AU56" s="105"/>
      <c r="AV56" s="105"/>
      <c r="AW56" s="105"/>
      <c r="AX56" s="105"/>
      <c r="AY56" s="105"/>
      <c r="AZ56" s="105"/>
      <c r="BA56" s="105"/>
    </row>
    <row r="57" spans="2:53" x14ac:dyDescent="0.2">
      <c r="AH57" s="105"/>
      <c r="AI57" s="105"/>
      <c r="AJ57" s="105"/>
      <c r="AK57" s="105"/>
      <c r="AL57" s="105"/>
      <c r="AM57" s="105"/>
      <c r="AN57" s="105"/>
      <c r="AO57" s="105"/>
      <c r="AP57" s="105"/>
      <c r="AQ57" s="105"/>
      <c r="AR57" s="105"/>
      <c r="AS57" s="105"/>
      <c r="AT57" s="105"/>
      <c r="AU57" s="105"/>
      <c r="AV57" s="105"/>
      <c r="AW57" s="105"/>
      <c r="AX57" s="105"/>
      <c r="AY57" s="105"/>
      <c r="AZ57" s="105"/>
      <c r="BA57" s="105"/>
    </row>
    <row r="58" spans="2:53" x14ac:dyDescent="0.2">
      <c r="AH58" s="105"/>
      <c r="AI58" s="105"/>
      <c r="AJ58" s="105"/>
      <c r="AK58" s="105"/>
      <c r="AL58" s="105"/>
      <c r="AM58" s="105"/>
      <c r="AN58" s="105"/>
      <c r="AO58" s="105"/>
      <c r="AP58" s="105"/>
      <c r="AQ58" s="105"/>
      <c r="AR58" s="105"/>
      <c r="AS58" s="105"/>
      <c r="AT58" s="105"/>
      <c r="AU58" s="105"/>
      <c r="AV58" s="105"/>
      <c r="AW58" s="105"/>
      <c r="AX58" s="105"/>
      <c r="AY58" s="105"/>
      <c r="AZ58" s="105"/>
      <c r="BA58" s="105"/>
    </row>
    <row r="59" spans="2:53" x14ac:dyDescent="0.2">
      <c r="AH59" s="105"/>
      <c r="AI59" s="105"/>
      <c r="AJ59" s="105"/>
      <c r="AK59" s="105"/>
      <c r="AL59" s="105"/>
      <c r="AM59" s="105"/>
      <c r="AN59" s="105"/>
      <c r="AO59" s="105"/>
      <c r="AP59" s="105"/>
      <c r="AQ59" s="105"/>
      <c r="AR59" s="105"/>
      <c r="AS59" s="105"/>
      <c r="AT59" s="105"/>
      <c r="AU59" s="105"/>
      <c r="AV59" s="105"/>
      <c r="AW59" s="105"/>
      <c r="AX59" s="105"/>
      <c r="AY59" s="105"/>
      <c r="AZ59" s="105"/>
      <c r="BA59" s="105"/>
    </row>
    <row r="60" spans="2:53" x14ac:dyDescent="0.2">
      <c r="B60" s="109" t="s">
        <v>556</v>
      </c>
      <c r="C60" s="109" t="s">
        <v>570</v>
      </c>
      <c r="D60" s="109"/>
      <c r="E60" s="109"/>
      <c r="F60" s="109"/>
      <c r="G60" s="109"/>
      <c r="H60" s="109" t="s">
        <v>569</v>
      </c>
      <c r="I60" s="109"/>
      <c r="J60" s="109"/>
      <c r="K60" s="109"/>
      <c r="L60" s="109"/>
      <c r="AH60" s="105"/>
      <c r="AI60" s="105"/>
      <c r="AJ60" s="105"/>
      <c r="AK60" s="105"/>
      <c r="AL60" s="105"/>
      <c r="AM60" s="105"/>
      <c r="AN60" s="105"/>
      <c r="AO60" s="105"/>
      <c r="AP60" s="105"/>
      <c r="AQ60" s="105"/>
      <c r="AR60" s="105"/>
      <c r="AS60" s="105"/>
      <c r="AT60" s="105"/>
      <c r="AU60" s="105"/>
      <c r="AV60" s="105"/>
      <c r="AW60" s="105"/>
      <c r="AX60" s="105"/>
      <c r="AY60" s="105"/>
      <c r="AZ60" s="105"/>
      <c r="BA60" s="105"/>
    </row>
    <row r="61" spans="2:53" x14ac:dyDescent="0.2">
      <c r="B61" s="109"/>
      <c r="C61" s="27" t="s">
        <v>418</v>
      </c>
      <c r="D61" s="27" t="s">
        <v>419</v>
      </c>
      <c r="E61" s="27" t="s">
        <v>420</v>
      </c>
      <c r="F61" s="27" t="s">
        <v>421</v>
      </c>
      <c r="G61" s="27" t="s">
        <v>571</v>
      </c>
      <c r="H61" s="27" t="s">
        <v>418</v>
      </c>
      <c r="I61" s="27" t="s">
        <v>419</v>
      </c>
      <c r="J61" s="27" t="s">
        <v>420</v>
      </c>
      <c r="K61" s="27" t="s">
        <v>421</v>
      </c>
      <c r="L61" s="27" t="s">
        <v>571</v>
      </c>
      <c r="AH61" s="105"/>
      <c r="AI61" s="105"/>
      <c r="AJ61" s="105"/>
      <c r="AK61" s="105"/>
      <c r="AL61" s="105"/>
      <c r="AM61" s="105"/>
      <c r="AN61" s="105"/>
      <c r="AO61" s="105"/>
      <c r="AP61" s="105"/>
      <c r="AQ61" s="105"/>
      <c r="AR61" s="105"/>
      <c r="AS61" s="105"/>
      <c r="AT61" s="105"/>
      <c r="AU61" s="105"/>
      <c r="AV61" s="105"/>
      <c r="AW61" s="105"/>
      <c r="AX61" s="105"/>
      <c r="AY61" s="105"/>
      <c r="AZ61" s="105"/>
      <c r="BA61" s="105"/>
    </row>
    <row r="62" spans="2:53" x14ac:dyDescent="0.2">
      <c r="B62" s="91" t="s">
        <v>559</v>
      </c>
      <c r="C62" s="12">
        <v>0.18013606573401958</v>
      </c>
      <c r="D62" s="12">
        <v>8.5018928796152457E-3</v>
      </c>
      <c r="E62" s="12">
        <v>7.967150182492054E-2</v>
      </c>
      <c r="F62" s="12">
        <v>2.8225701475312379E-2</v>
      </c>
      <c r="G62" s="3">
        <f>GEOMEAN(C62:F62)</f>
        <v>4.3079039583369158E-2</v>
      </c>
      <c r="H62" s="3">
        <v>0.20781992667368163</v>
      </c>
      <c r="I62" s="3">
        <v>9.7090090658769231E-3</v>
      </c>
      <c r="J62" s="3">
        <v>0.10494414160372643</v>
      </c>
      <c r="K62" s="3">
        <v>3.8451839927874085E-2</v>
      </c>
      <c r="L62" s="3">
        <f>GEOMEAN(H62:K62)</f>
        <v>5.3417597919183372E-2</v>
      </c>
      <c r="AH62" s="105"/>
      <c r="AI62" s="105"/>
      <c r="AJ62" s="105"/>
      <c r="AK62" s="105"/>
      <c r="AL62" s="105"/>
      <c r="AM62" s="105"/>
      <c r="AN62" s="105"/>
      <c r="AO62" s="105"/>
      <c r="AP62" s="105"/>
      <c r="AQ62" s="105"/>
      <c r="AR62" s="105"/>
      <c r="AS62" s="105"/>
      <c r="AT62" s="105"/>
      <c r="AU62" s="105"/>
      <c r="AV62" s="105"/>
      <c r="AW62" s="105"/>
      <c r="AX62" s="105"/>
      <c r="AY62" s="105"/>
      <c r="AZ62" s="105"/>
      <c r="BA62" s="105"/>
    </row>
    <row r="63" spans="2:53" x14ac:dyDescent="0.2">
      <c r="B63" s="91" t="s">
        <v>560</v>
      </c>
      <c r="C63" s="12">
        <v>5.9083676763484708E-2</v>
      </c>
      <c r="D63" s="12">
        <v>2.7758253649491473E-3</v>
      </c>
      <c r="E63" s="12">
        <v>2.7671924952587475E-2</v>
      </c>
      <c r="F63" s="12">
        <v>9.9402919679414028E-3</v>
      </c>
      <c r="G63" s="3">
        <f t="shared" ref="G63:G67" si="20">GEOMEAN(C63:F63)</f>
        <v>1.4573858257707236E-2</v>
      </c>
      <c r="H63" s="3">
        <v>6.3844457965862092E-2</v>
      </c>
      <c r="I63" s="3">
        <v>2.9824451214792835E-3</v>
      </c>
      <c r="J63" s="3">
        <v>3.2279894347323194E-2</v>
      </c>
      <c r="K63" s="3">
        <v>1.183149041165445E-2</v>
      </c>
      <c r="L63" s="3">
        <f t="shared" ref="L63:L67" si="21">GEOMEAN(H63:K63)</f>
        <v>1.6421650562890393E-2</v>
      </c>
      <c r="AH63" s="105"/>
      <c r="AI63" s="105"/>
      <c r="AJ63" s="105"/>
      <c r="AK63" s="105"/>
      <c r="AL63" s="105"/>
      <c r="AM63" s="105"/>
      <c r="AN63" s="105"/>
      <c r="AO63" s="105"/>
      <c r="AP63" s="105"/>
      <c r="AQ63" s="105"/>
      <c r="AR63" s="105"/>
      <c r="AS63" s="105"/>
      <c r="AT63" s="105"/>
      <c r="AU63" s="105"/>
      <c r="AV63" s="105"/>
      <c r="AW63" s="105"/>
      <c r="AX63" s="105"/>
      <c r="AY63" s="105"/>
      <c r="AZ63" s="105"/>
      <c r="BA63" s="105"/>
    </row>
    <row r="64" spans="2:53" x14ac:dyDescent="0.2">
      <c r="B64" s="92" t="s">
        <v>428</v>
      </c>
      <c r="C64" s="12">
        <v>5.0956824030253323</v>
      </c>
      <c r="D64" s="12">
        <v>0.24641561847955851</v>
      </c>
      <c r="E64" s="12">
        <v>1.7459890691013971</v>
      </c>
      <c r="F64" s="12">
        <v>0.587648093355847</v>
      </c>
      <c r="G64" s="3">
        <f t="shared" si="20"/>
        <v>1.0653869155861717</v>
      </c>
      <c r="H64" s="3">
        <v>9.0934348833822991</v>
      </c>
      <c r="I64" s="3">
        <v>0.42515542528102318</v>
      </c>
      <c r="J64" s="3">
        <v>4.5434405648076375</v>
      </c>
      <c r="K64" s="3">
        <v>1.6598931482215677</v>
      </c>
      <c r="L64" s="3">
        <f t="shared" si="21"/>
        <v>2.3237273386945621</v>
      </c>
      <c r="AH64" s="105"/>
      <c r="AI64" s="105"/>
      <c r="AJ64" s="105"/>
      <c r="AK64" s="105"/>
      <c r="AL64" s="105"/>
      <c r="AM64" s="105"/>
      <c r="AN64" s="105"/>
      <c r="AO64" s="105"/>
      <c r="AP64" s="105"/>
      <c r="AQ64" s="105"/>
      <c r="AR64" s="105"/>
      <c r="AS64" s="105"/>
      <c r="AT64" s="105"/>
      <c r="AU64" s="105"/>
      <c r="AV64" s="105"/>
      <c r="AW64" s="105"/>
      <c r="AX64" s="105"/>
      <c r="AY64" s="105"/>
      <c r="AZ64" s="105"/>
      <c r="BA64" s="105"/>
    </row>
    <row r="65" spans="2:53" x14ac:dyDescent="0.2">
      <c r="B65" s="92" t="s">
        <v>446</v>
      </c>
      <c r="C65" s="12">
        <v>0.21331959204747561</v>
      </c>
      <c r="D65" s="12">
        <v>1.0705980331250217E-2</v>
      </c>
      <c r="E65" s="12">
        <v>5.4791096945136758E-2</v>
      </c>
      <c r="F65" s="12">
        <v>1.7680292126348852E-2</v>
      </c>
      <c r="G65" s="3">
        <f t="shared" si="20"/>
        <v>3.8566848724066023E-2</v>
      </c>
      <c r="H65" s="3">
        <v>2.0108749403735362</v>
      </c>
      <c r="I65" s="3">
        <v>9.4895899695440447E-2</v>
      </c>
      <c r="J65" s="3">
        <v>0.89068646309306732</v>
      </c>
      <c r="K65" s="3">
        <v>0.31565710833171551</v>
      </c>
      <c r="L65" s="3">
        <f t="shared" si="21"/>
        <v>0.48127492364961993</v>
      </c>
      <c r="AH65" s="105"/>
      <c r="AI65" s="105"/>
      <c r="AJ65" s="105"/>
      <c r="AK65" s="105"/>
      <c r="AL65" s="105"/>
      <c r="AM65" s="105"/>
      <c r="AN65" s="105"/>
      <c r="AO65" s="105"/>
      <c r="AP65" s="105"/>
      <c r="AQ65" s="105"/>
      <c r="AR65" s="105"/>
      <c r="AS65" s="105"/>
      <c r="AT65" s="105"/>
      <c r="AU65" s="105"/>
      <c r="AV65" s="105"/>
      <c r="AW65" s="105"/>
      <c r="AX65" s="105"/>
      <c r="AY65" s="105"/>
      <c r="AZ65" s="105"/>
      <c r="BA65" s="105"/>
    </row>
    <row r="66" spans="2:53" x14ac:dyDescent="0.2">
      <c r="B66" s="92" t="s">
        <v>443</v>
      </c>
      <c r="C66" s="12">
        <v>0.41904274518938589</v>
      </c>
      <c r="D66" s="12">
        <v>2.0735622556165265E-2</v>
      </c>
      <c r="E66" s="12">
        <v>0.11882022773981572</v>
      </c>
      <c r="F66" s="12">
        <v>3.8840269755047313E-2</v>
      </c>
      <c r="G66" s="3">
        <f t="shared" si="20"/>
        <v>7.9576897988973064E-2</v>
      </c>
      <c r="H66" s="3">
        <v>1.5131135621022236</v>
      </c>
      <c r="I66" s="3">
        <v>7.0901268057167968E-2</v>
      </c>
      <c r="J66" s="3">
        <v>0.73356786124617746</v>
      </c>
      <c r="K66" s="3">
        <v>0.26585362632913184</v>
      </c>
      <c r="L66" s="3">
        <f t="shared" si="21"/>
        <v>0.38032257318988877</v>
      </c>
      <c r="AH66" s="105"/>
      <c r="AI66" s="105"/>
      <c r="AJ66" s="105"/>
      <c r="AK66" s="105"/>
      <c r="AL66" s="105"/>
      <c r="AM66" s="105"/>
      <c r="AN66" s="105"/>
      <c r="AO66" s="105"/>
      <c r="AP66" s="105"/>
      <c r="AQ66" s="105"/>
      <c r="AR66" s="105"/>
      <c r="AS66" s="105"/>
      <c r="AT66" s="105"/>
      <c r="AU66" s="105"/>
      <c r="AV66" s="105"/>
      <c r="AW66" s="105"/>
      <c r="AX66" s="105"/>
      <c r="AY66" s="105"/>
      <c r="AZ66" s="105"/>
      <c r="BA66" s="105"/>
    </row>
    <row r="67" spans="2:53" x14ac:dyDescent="0.2">
      <c r="B67" s="92" t="s">
        <v>583</v>
      </c>
      <c r="C67" s="12">
        <v>6.1483175110686012</v>
      </c>
      <c r="D67" s="12">
        <v>0.3075186872892543</v>
      </c>
      <c r="E67" s="12">
        <v>1.6157019693581391</v>
      </c>
      <c r="F67" s="12">
        <v>0.52285649812249635</v>
      </c>
      <c r="G67" s="3">
        <f t="shared" si="20"/>
        <v>1.1241982136890245</v>
      </c>
      <c r="H67" s="3">
        <v>41.802576149332992</v>
      </c>
      <c r="I67" s="3">
        <v>1.9663970458236346</v>
      </c>
      <c r="J67" s="3">
        <v>19.267671763242049</v>
      </c>
      <c r="K67" s="3">
        <v>6.8938991594498029</v>
      </c>
      <c r="L67" s="3">
        <f t="shared" si="21"/>
        <v>10.222146630793899</v>
      </c>
      <c r="AH67" s="105"/>
      <c r="AI67" s="105"/>
      <c r="AJ67" s="105"/>
      <c r="AK67" s="105"/>
      <c r="AL67" s="105"/>
      <c r="AM67" s="105"/>
      <c r="AN67" s="105"/>
      <c r="AO67" s="105"/>
      <c r="AP67" s="105"/>
      <c r="AQ67" s="105"/>
      <c r="AR67" s="105"/>
      <c r="AS67" s="105"/>
      <c r="AT67" s="105"/>
      <c r="AU67" s="105"/>
      <c r="AV67" s="105"/>
      <c r="AW67" s="105"/>
      <c r="AX67" s="105"/>
      <c r="AY67" s="105"/>
      <c r="AZ67" s="105"/>
      <c r="BA67" s="105"/>
    </row>
    <row r="68" spans="2:53" x14ac:dyDescent="0.2">
      <c r="AH68" s="105"/>
      <c r="AI68" s="105"/>
      <c r="AJ68" s="105"/>
      <c r="AK68" s="105"/>
      <c r="AL68" s="105"/>
      <c r="AM68" s="105"/>
      <c r="AN68" s="105"/>
      <c r="AO68" s="105"/>
      <c r="AP68" s="105"/>
      <c r="AQ68" s="105"/>
      <c r="AR68" s="105"/>
      <c r="AS68" s="105"/>
      <c r="AT68" s="105"/>
      <c r="AU68" s="105"/>
      <c r="AV68" s="105"/>
      <c r="AW68" s="105"/>
      <c r="AX68" s="105"/>
      <c r="AY68" s="105"/>
      <c r="AZ68" s="105"/>
      <c r="BA68" s="105"/>
    </row>
    <row r="69" spans="2:53" x14ac:dyDescent="0.2">
      <c r="AH69" s="105"/>
      <c r="AI69" s="105"/>
      <c r="AJ69" s="105"/>
      <c r="AK69" s="105"/>
      <c r="AL69" s="105"/>
      <c r="AM69" s="105"/>
      <c r="AN69" s="105"/>
      <c r="AO69" s="105"/>
      <c r="AP69" s="105"/>
      <c r="AQ69" s="105"/>
      <c r="AR69" s="105"/>
      <c r="AS69" s="105"/>
      <c r="AT69" s="105"/>
      <c r="AU69" s="105"/>
      <c r="AV69" s="105"/>
      <c r="AW69" s="105"/>
      <c r="AX69" s="105"/>
      <c r="AY69" s="105"/>
      <c r="AZ69" s="105"/>
      <c r="BA69" s="105"/>
    </row>
    <row r="70" spans="2:53" x14ac:dyDescent="0.2">
      <c r="AH70" s="105"/>
      <c r="AI70" s="105"/>
      <c r="AJ70" s="105"/>
      <c r="AK70" s="105"/>
      <c r="AL70" s="105"/>
      <c r="AM70" s="105"/>
      <c r="AN70" s="105"/>
      <c r="AO70" s="105"/>
      <c r="AP70" s="105"/>
      <c r="AQ70" s="105"/>
      <c r="AR70" s="105"/>
      <c r="AS70" s="105"/>
      <c r="AT70" s="105"/>
      <c r="AU70" s="105"/>
      <c r="AV70" s="105"/>
      <c r="AW70" s="105"/>
      <c r="AX70" s="105"/>
      <c r="AY70" s="105"/>
      <c r="AZ70" s="105"/>
      <c r="BA70" s="105"/>
    </row>
    <row r="71" spans="2:53" x14ac:dyDescent="0.2">
      <c r="AH71" s="105"/>
      <c r="AI71" s="105"/>
      <c r="AJ71" s="105"/>
      <c r="AK71" s="105"/>
      <c r="AL71" s="105"/>
      <c r="AM71" s="105"/>
      <c r="AN71" s="105"/>
      <c r="AO71" s="105"/>
      <c r="AP71" s="105"/>
      <c r="AQ71" s="105"/>
      <c r="AR71" s="105"/>
      <c r="AS71" s="105"/>
      <c r="AT71" s="105"/>
      <c r="AU71" s="105"/>
      <c r="AV71" s="105"/>
      <c r="AW71" s="105"/>
      <c r="AX71" s="105"/>
      <c r="AY71" s="105"/>
      <c r="AZ71" s="105"/>
      <c r="BA71" s="105"/>
    </row>
    <row r="72" spans="2:53" x14ac:dyDescent="0.2">
      <c r="AH72" s="105"/>
      <c r="AI72" s="105"/>
      <c r="AJ72" s="105"/>
      <c r="AK72" s="105"/>
      <c r="AL72" s="105"/>
      <c r="AM72" s="105"/>
      <c r="AN72" s="105"/>
      <c r="AO72" s="105"/>
      <c r="AP72" s="105"/>
      <c r="AQ72" s="105"/>
      <c r="AR72" s="105"/>
      <c r="AS72" s="105"/>
      <c r="AT72" s="105"/>
      <c r="AU72" s="105"/>
      <c r="AV72" s="105"/>
      <c r="AW72" s="105"/>
      <c r="AX72" s="105"/>
      <c r="AY72" s="105"/>
      <c r="AZ72" s="105"/>
      <c r="BA72" s="105"/>
    </row>
    <row r="73" spans="2:53" x14ac:dyDescent="0.2">
      <c r="AH73" s="105"/>
      <c r="AI73" s="105"/>
      <c r="AJ73" s="105"/>
      <c r="AK73" s="105"/>
      <c r="AL73" s="105"/>
      <c r="AM73" s="105"/>
      <c r="AN73" s="105"/>
      <c r="AO73" s="105"/>
      <c r="AP73" s="105"/>
      <c r="AQ73" s="105"/>
      <c r="AR73" s="105"/>
      <c r="AS73" s="105"/>
      <c r="AT73" s="105"/>
      <c r="AU73" s="105"/>
      <c r="AV73" s="105"/>
      <c r="AW73" s="105"/>
      <c r="AX73" s="105"/>
      <c r="AY73" s="105"/>
      <c r="AZ73" s="105"/>
      <c r="BA73" s="105"/>
    </row>
    <row r="74" spans="2:53" x14ac:dyDescent="0.2">
      <c r="AH74" s="105"/>
      <c r="AI74" s="105"/>
      <c r="AJ74" s="105"/>
      <c r="AK74" s="105"/>
      <c r="AL74" s="105"/>
      <c r="AM74" s="105"/>
      <c r="AN74" s="105"/>
      <c r="AO74" s="105"/>
      <c r="AP74" s="105"/>
      <c r="AQ74" s="105"/>
      <c r="AR74" s="105"/>
      <c r="AS74" s="105"/>
      <c r="AT74" s="105"/>
      <c r="AU74" s="105"/>
      <c r="AV74" s="105"/>
      <c r="AW74" s="105"/>
      <c r="AX74" s="105"/>
      <c r="AY74" s="105"/>
      <c r="AZ74" s="105"/>
      <c r="BA74" s="105"/>
    </row>
    <row r="75" spans="2:53" x14ac:dyDescent="0.2">
      <c r="AH75" s="105"/>
      <c r="AI75" s="105"/>
      <c r="AJ75" s="105"/>
      <c r="AK75" s="105"/>
      <c r="AL75" s="105"/>
      <c r="AM75" s="105"/>
      <c r="AN75" s="105"/>
      <c r="AO75" s="105"/>
      <c r="AP75" s="105"/>
      <c r="AQ75" s="105"/>
      <c r="AR75" s="105"/>
      <c r="AS75" s="105"/>
      <c r="AT75" s="105"/>
      <c r="AU75" s="105"/>
      <c r="AV75" s="105"/>
      <c r="AW75" s="105"/>
      <c r="AX75" s="105"/>
      <c r="AY75" s="105"/>
      <c r="AZ75" s="105"/>
      <c r="BA75" s="105"/>
    </row>
    <row r="76" spans="2:53" x14ac:dyDescent="0.2">
      <c r="AH76" s="105"/>
      <c r="AI76" s="105"/>
      <c r="AJ76" s="105"/>
      <c r="AK76" s="105"/>
      <c r="AL76" s="105"/>
      <c r="AM76" s="105"/>
      <c r="AN76" s="105"/>
      <c r="AO76" s="105"/>
      <c r="AP76" s="105"/>
      <c r="AQ76" s="105"/>
      <c r="AR76" s="105"/>
      <c r="AS76" s="105"/>
      <c r="AT76" s="105"/>
      <c r="AU76" s="105"/>
      <c r="AV76" s="105"/>
      <c r="AW76" s="105"/>
      <c r="AX76" s="105"/>
      <c r="AY76" s="105"/>
      <c r="AZ76" s="105"/>
      <c r="BA76" s="105"/>
    </row>
    <row r="77" spans="2:53" x14ac:dyDescent="0.2">
      <c r="AH77" s="105"/>
      <c r="AI77" s="105"/>
      <c r="AJ77" s="105"/>
      <c r="AK77" s="105"/>
      <c r="AL77" s="105"/>
      <c r="AM77" s="105"/>
      <c r="AN77" s="105"/>
      <c r="AO77" s="105"/>
      <c r="AP77" s="105"/>
      <c r="AQ77" s="105"/>
      <c r="AR77" s="105"/>
      <c r="AS77" s="105"/>
      <c r="AT77" s="105"/>
      <c r="AU77" s="105"/>
      <c r="AV77" s="105"/>
      <c r="AW77" s="105"/>
      <c r="AX77" s="105"/>
      <c r="AY77" s="105"/>
      <c r="AZ77" s="105"/>
      <c r="BA77" s="105"/>
    </row>
    <row r="78" spans="2:53" x14ac:dyDescent="0.2">
      <c r="AH78" s="105"/>
      <c r="AI78" s="105"/>
      <c r="AJ78" s="105"/>
      <c r="AK78" s="105"/>
      <c r="AL78" s="105"/>
      <c r="AM78" s="105"/>
      <c r="AN78" s="105"/>
      <c r="AO78" s="105"/>
      <c r="AP78" s="105"/>
      <c r="AQ78" s="105"/>
      <c r="AR78" s="105"/>
      <c r="AS78" s="105"/>
      <c r="AT78" s="105"/>
      <c r="AU78" s="105"/>
      <c r="AV78" s="105"/>
      <c r="AW78" s="105"/>
      <c r="AX78" s="105"/>
      <c r="AY78" s="105"/>
      <c r="AZ78" s="105"/>
      <c r="BA78" s="105"/>
    </row>
    <row r="79" spans="2:53" x14ac:dyDescent="0.2">
      <c r="AH79" s="105"/>
      <c r="AI79" s="105"/>
      <c r="AJ79" s="105"/>
      <c r="AK79" s="105"/>
      <c r="AL79" s="105"/>
      <c r="AM79" s="105"/>
      <c r="AN79" s="105"/>
      <c r="AO79" s="105"/>
      <c r="AP79" s="105"/>
      <c r="AQ79" s="105"/>
      <c r="AR79" s="105"/>
      <c r="AS79" s="105"/>
      <c r="AT79" s="105"/>
      <c r="AU79" s="105"/>
      <c r="AV79" s="105"/>
      <c r="AW79" s="105"/>
      <c r="AX79" s="105"/>
      <c r="AY79" s="105"/>
      <c r="AZ79" s="105"/>
      <c r="BA79" s="105"/>
    </row>
    <row r="80" spans="2:53" x14ac:dyDescent="0.2">
      <c r="AH80" s="105"/>
      <c r="AI80" s="105"/>
      <c r="AJ80" s="105"/>
      <c r="AK80" s="105"/>
      <c r="AL80" s="105"/>
      <c r="AM80" s="105"/>
      <c r="AN80" s="105"/>
      <c r="AO80" s="105"/>
      <c r="AP80" s="105"/>
      <c r="AQ80" s="105"/>
      <c r="AR80" s="105"/>
      <c r="AS80" s="105"/>
      <c r="AT80" s="105"/>
      <c r="AU80" s="105"/>
      <c r="AV80" s="105"/>
      <c r="AW80" s="105"/>
      <c r="AX80" s="105"/>
      <c r="AY80" s="105"/>
      <c r="AZ80" s="105"/>
      <c r="BA80" s="105"/>
    </row>
    <row r="81" spans="2:53" x14ac:dyDescent="0.2">
      <c r="AH81" s="105"/>
      <c r="AI81" s="105"/>
      <c r="AJ81" s="105"/>
      <c r="AK81" s="105"/>
      <c r="AL81" s="105"/>
      <c r="AM81" s="105"/>
      <c r="AN81" s="105"/>
      <c r="AO81" s="105"/>
      <c r="AP81" s="105"/>
      <c r="AQ81" s="105"/>
      <c r="AR81" s="105"/>
      <c r="AS81" s="105"/>
      <c r="AT81" s="105"/>
      <c r="AU81" s="105"/>
      <c r="AV81" s="105"/>
      <c r="AW81" s="105"/>
      <c r="AX81" s="105"/>
      <c r="AY81" s="105"/>
      <c r="AZ81" s="105"/>
      <c r="BA81" s="105"/>
    </row>
    <row r="82" spans="2:53" x14ac:dyDescent="0.2">
      <c r="AH82" s="105"/>
      <c r="AI82" s="105"/>
      <c r="AJ82" s="105"/>
      <c r="AK82" s="105"/>
      <c r="AL82" s="105"/>
      <c r="AM82" s="105"/>
      <c r="AN82" s="105"/>
      <c r="AO82" s="105"/>
      <c r="AP82" s="105"/>
      <c r="AQ82" s="105"/>
      <c r="AR82" s="105"/>
      <c r="AS82" s="105"/>
      <c r="AT82" s="105"/>
      <c r="AU82" s="105"/>
      <c r="AV82" s="105"/>
      <c r="AW82" s="105"/>
      <c r="AX82" s="105"/>
      <c r="AY82" s="105"/>
      <c r="AZ82" s="105"/>
      <c r="BA82" s="105"/>
    </row>
    <row r="83" spans="2:53" x14ac:dyDescent="0.2">
      <c r="AH83" s="105"/>
      <c r="AI83" s="105"/>
      <c r="AJ83" s="105"/>
      <c r="AK83" s="105"/>
      <c r="AL83" s="105"/>
      <c r="AM83" s="105"/>
      <c r="AN83" s="105"/>
      <c r="AO83" s="105"/>
      <c r="AP83" s="105"/>
      <c r="AQ83" s="105"/>
      <c r="AR83" s="105"/>
      <c r="AS83" s="105"/>
      <c r="AT83" s="105"/>
      <c r="AU83" s="105"/>
      <c r="AV83" s="105"/>
      <c r="AW83" s="105"/>
      <c r="AX83" s="105"/>
      <c r="AY83" s="105"/>
      <c r="AZ83" s="105"/>
      <c r="BA83" s="105"/>
    </row>
    <row r="84" spans="2:53" x14ac:dyDescent="0.2">
      <c r="AH84" s="105"/>
      <c r="AI84" s="105"/>
      <c r="AJ84" s="105"/>
      <c r="AK84" s="105"/>
      <c r="AL84" s="105"/>
      <c r="AM84" s="105"/>
      <c r="AN84" s="105"/>
      <c r="AO84" s="105"/>
      <c r="AP84" s="105"/>
      <c r="AQ84" s="105"/>
      <c r="AR84" s="105"/>
      <c r="AS84" s="105"/>
      <c r="AT84" s="105"/>
      <c r="AU84" s="105"/>
      <c r="AV84" s="105"/>
      <c r="AW84" s="105"/>
      <c r="AX84" s="105"/>
      <c r="AY84" s="105"/>
      <c r="AZ84" s="105"/>
      <c r="BA84" s="105"/>
    </row>
    <row r="85" spans="2:53" x14ac:dyDescent="0.2">
      <c r="B85" s="137" t="s">
        <v>558</v>
      </c>
      <c r="C85" s="141" t="s">
        <v>570</v>
      </c>
      <c r="D85" s="119"/>
      <c r="E85" s="119"/>
      <c r="F85" s="119"/>
      <c r="G85" s="142"/>
      <c r="H85" s="51" t="s">
        <v>569</v>
      </c>
      <c r="I85" s="94"/>
      <c r="J85" s="94"/>
      <c r="K85" s="101"/>
      <c r="L85" s="8"/>
      <c r="AH85" s="105"/>
      <c r="AI85" s="105"/>
      <c r="AJ85" s="105"/>
      <c r="AK85" s="105"/>
      <c r="AL85" s="105"/>
      <c r="AM85" s="105"/>
      <c r="AN85" s="105"/>
      <c r="AO85" s="105"/>
      <c r="AP85" s="105"/>
      <c r="AQ85" s="105"/>
      <c r="AR85" s="105"/>
      <c r="AS85" s="105"/>
      <c r="AT85" s="105"/>
      <c r="AU85" s="105"/>
      <c r="AV85" s="105"/>
      <c r="AW85" s="105"/>
      <c r="AX85" s="105"/>
      <c r="AY85" s="105"/>
      <c r="AZ85" s="105"/>
      <c r="BA85" s="105"/>
    </row>
    <row r="86" spans="2:53" x14ac:dyDescent="0.2">
      <c r="B86" s="138"/>
      <c r="C86" s="27" t="s">
        <v>418</v>
      </c>
      <c r="D86" s="27" t="s">
        <v>419</v>
      </c>
      <c r="E86" s="27" t="s">
        <v>420</v>
      </c>
      <c r="F86" s="27" t="s">
        <v>421</v>
      </c>
      <c r="G86" s="102" t="s">
        <v>571</v>
      </c>
      <c r="H86" s="27" t="s">
        <v>418</v>
      </c>
      <c r="I86" s="27" t="s">
        <v>419</v>
      </c>
      <c r="J86" s="27" t="s">
        <v>420</v>
      </c>
      <c r="K86" s="27" t="s">
        <v>421</v>
      </c>
      <c r="L86" s="102" t="s">
        <v>571</v>
      </c>
      <c r="AH86" s="105"/>
      <c r="AI86" s="105"/>
      <c r="AJ86" s="105"/>
      <c r="AK86" s="105"/>
      <c r="AL86" s="105"/>
      <c r="AM86" s="105"/>
      <c r="AN86" s="105"/>
      <c r="AO86" s="105"/>
      <c r="AP86" s="105"/>
      <c r="AQ86" s="105"/>
      <c r="AR86" s="105"/>
      <c r="AS86" s="105"/>
      <c r="AT86" s="105"/>
      <c r="AU86" s="105"/>
      <c r="AV86" s="105"/>
      <c r="AW86" s="105"/>
      <c r="AX86" s="105"/>
      <c r="AY86" s="105"/>
      <c r="AZ86" s="105"/>
      <c r="BA86" s="105"/>
    </row>
    <row r="87" spans="2:53" x14ac:dyDescent="0.2">
      <c r="B87" s="91" t="s">
        <v>559</v>
      </c>
      <c r="C87" s="12">
        <v>22.135119757396321</v>
      </c>
      <c r="D87" s="12">
        <v>1.0447125970471214</v>
      </c>
      <c r="E87" s="12">
        <v>9.7900341442462349</v>
      </c>
      <c r="F87" s="12">
        <v>3.4683741972863853</v>
      </c>
      <c r="G87">
        <f>GEOMEAN(C87:F87)</f>
        <v>5.2935523840044016</v>
      </c>
      <c r="H87" s="3">
        <v>23.180767622185552</v>
      </c>
      <c r="I87" s="3">
        <v>1.0906291677217099</v>
      </c>
      <c r="J87" s="3">
        <v>10.659270889080615</v>
      </c>
      <c r="K87" s="3">
        <v>3.8116348305353283</v>
      </c>
      <c r="L87">
        <f>GEOMEAN(H87:K87)</f>
        <v>5.6612316622737708</v>
      </c>
      <c r="M87">
        <f>$G$92/G87</f>
        <v>7.4011957768595789</v>
      </c>
      <c r="N87">
        <f>$L$92/L87</f>
        <v>44.501678947503706</v>
      </c>
      <c r="AH87" s="105"/>
      <c r="AI87" s="105"/>
      <c r="AJ87" s="105"/>
      <c r="AK87" s="105"/>
      <c r="AL87" s="105"/>
      <c r="AM87" s="105"/>
      <c r="AN87" s="105"/>
      <c r="AO87" s="105"/>
      <c r="AP87" s="105"/>
      <c r="AQ87" s="105"/>
      <c r="AR87" s="105"/>
      <c r="AS87" s="105"/>
      <c r="AT87" s="105"/>
      <c r="AU87" s="105"/>
      <c r="AV87" s="105"/>
      <c r="AW87" s="105"/>
      <c r="AX87" s="105"/>
      <c r="AY87" s="105"/>
      <c r="AZ87" s="105"/>
      <c r="BA87" s="105"/>
    </row>
    <row r="88" spans="2:53" x14ac:dyDescent="0.2">
      <c r="B88" s="91" t="s">
        <v>560</v>
      </c>
      <c r="C88" s="12">
        <v>9.1501399353060791</v>
      </c>
      <c r="D88" s="12">
        <v>0.4322435885905912</v>
      </c>
      <c r="E88" s="12">
        <v>4.0038867658208757</v>
      </c>
      <c r="F88" s="12">
        <v>1.4149636408035551</v>
      </c>
      <c r="G88">
        <f t="shared" ref="G88:G92" si="22">GEOMEAN(C88:F88)</f>
        <v>2.1756841142477565</v>
      </c>
      <c r="H88" s="3">
        <v>9.6210697338216065</v>
      </c>
      <c r="I88" s="3">
        <v>0.45295493681251031</v>
      </c>
      <c r="J88" s="3">
        <v>4.388043440830069</v>
      </c>
      <c r="K88" s="3">
        <v>1.5659890706750146</v>
      </c>
      <c r="L88">
        <f t="shared" ref="L88:L92" si="23">GEOMEAN(H88:K88)</f>
        <v>2.3392923535273367</v>
      </c>
      <c r="M88">
        <f t="shared" ref="M88:M92" si="24">$G$92/G88</f>
        <v>18.007493501704566</v>
      </c>
      <c r="N88">
        <f t="shared" ref="N88:N92" si="25">$L$92/L88</f>
        <v>107.69680561818927</v>
      </c>
      <c r="AH88" s="105"/>
      <c r="AI88" s="105"/>
      <c r="AJ88" s="105"/>
      <c r="AK88" s="105"/>
      <c r="AL88" s="105"/>
      <c r="AM88" s="105"/>
      <c r="AN88" s="105"/>
      <c r="AO88" s="105"/>
      <c r="AP88" s="105"/>
      <c r="AQ88" s="105"/>
      <c r="AR88" s="105"/>
      <c r="AS88" s="105"/>
      <c r="AT88" s="105"/>
      <c r="AU88" s="105"/>
      <c r="AV88" s="105"/>
      <c r="AW88" s="105"/>
      <c r="AX88" s="105"/>
      <c r="AY88" s="105"/>
      <c r="AZ88" s="105"/>
      <c r="BA88" s="105"/>
    </row>
    <row r="89" spans="2:53" x14ac:dyDescent="0.2">
      <c r="B89" s="92" t="s">
        <v>428</v>
      </c>
      <c r="C89" s="12">
        <v>56.023150691661598</v>
      </c>
      <c r="D89" s="12">
        <v>2.7052027710214532</v>
      </c>
      <c r="E89" s="12">
        <v>19.456046617465933</v>
      </c>
      <c r="F89" s="12">
        <v>6.5636190609948635</v>
      </c>
      <c r="G89">
        <f t="shared" si="22"/>
        <v>11.794820330825859</v>
      </c>
      <c r="H89" s="3">
        <v>96.831949853153958</v>
      </c>
      <c r="I89" s="3">
        <v>4.5269833585803489</v>
      </c>
      <c r="J89" s="3">
        <v>48.426599998169998</v>
      </c>
      <c r="K89" s="3">
        <v>17.696623887175281</v>
      </c>
      <c r="L89">
        <f t="shared" si="23"/>
        <v>24.757141198903938</v>
      </c>
      <c r="M89">
        <f t="shared" si="24"/>
        <v>3.3216798942400758</v>
      </c>
      <c r="N89">
        <f t="shared" si="25"/>
        <v>10.176228016710745</v>
      </c>
      <c r="AH89" s="105"/>
      <c r="AI89" s="105"/>
      <c r="AJ89" s="105"/>
      <c r="AK89" s="105"/>
      <c r="AL89" s="105"/>
      <c r="AM89" s="105"/>
      <c r="AN89" s="105"/>
      <c r="AO89" s="105"/>
      <c r="AP89" s="105"/>
      <c r="AQ89" s="105"/>
      <c r="AR89" s="105"/>
      <c r="AS89" s="105"/>
      <c r="AT89" s="105"/>
      <c r="AU89" s="105"/>
      <c r="AV89" s="105"/>
      <c r="AW89" s="105"/>
      <c r="AX89" s="105"/>
      <c r="AY89" s="105"/>
      <c r="AZ89" s="105"/>
      <c r="BA89" s="105"/>
    </row>
    <row r="90" spans="2:53" x14ac:dyDescent="0.2">
      <c r="B90" s="92" t="s">
        <v>446</v>
      </c>
      <c r="C90" s="12">
        <v>33.71742840439935</v>
      </c>
      <c r="D90" s="12">
        <v>1.7021073417545272</v>
      </c>
      <c r="E90" s="12">
        <v>8.3389390580766012</v>
      </c>
      <c r="F90" s="12">
        <v>2.6785778413887185</v>
      </c>
      <c r="G90">
        <f t="shared" si="22"/>
        <v>5.9836215164733186</v>
      </c>
      <c r="H90" s="3">
        <v>932.49127428575162</v>
      </c>
      <c r="I90" s="3">
        <v>45.009607771973258</v>
      </c>
      <c r="J90" s="3">
        <v>325.03721053919139</v>
      </c>
      <c r="K90" s="3">
        <v>109.72409755658664</v>
      </c>
      <c r="L90">
        <f t="shared" si="23"/>
        <v>196.6963387721635</v>
      </c>
      <c r="M90">
        <f t="shared" si="24"/>
        <v>6.5476430020209202</v>
      </c>
      <c r="N90">
        <f t="shared" si="25"/>
        <v>1.2808286898200461</v>
      </c>
      <c r="AH90" s="105"/>
      <c r="AI90" s="105"/>
      <c r="AJ90" s="105"/>
      <c r="AK90" s="105"/>
      <c r="AL90" s="105"/>
      <c r="AM90" s="105"/>
      <c r="AN90" s="105"/>
      <c r="AO90" s="105"/>
      <c r="AP90" s="105"/>
      <c r="AQ90" s="105"/>
      <c r="AR90" s="105"/>
      <c r="AS90" s="105"/>
      <c r="AT90" s="105"/>
      <c r="AU90" s="105"/>
      <c r="AV90" s="105"/>
      <c r="AW90" s="105"/>
      <c r="AX90" s="105"/>
      <c r="AY90" s="105"/>
      <c r="AZ90" s="105"/>
      <c r="BA90" s="105"/>
    </row>
    <row r="91" spans="2:53" x14ac:dyDescent="0.2">
      <c r="B91" s="92" t="s">
        <v>443</v>
      </c>
      <c r="C91" s="12">
        <v>48.661154853138541</v>
      </c>
      <c r="D91" s="12">
        <v>2.4390584294235889</v>
      </c>
      <c r="E91" s="12">
        <v>12.605444913539904</v>
      </c>
      <c r="F91" s="12">
        <v>4.0718930924926653</v>
      </c>
      <c r="G91">
        <f t="shared" si="22"/>
        <v>8.8346589834451592</v>
      </c>
      <c r="H91" s="3">
        <v>400.63337632838915</v>
      </c>
      <c r="I91" s="3">
        <v>18.87885677780141</v>
      </c>
      <c r="J91" s="3">
        <v>180.65640766161678</v>
      </c>
      <c r="K91" s="3">
        <v>64.295572533538206</v>
      </c>
      <c r="L91">
        <f t="shared" si="23"/>
        <v>96.814256418150265</v>
      </c>
      <c r="M91">
        <f t="shared" si="24"/>
        <v>4.434649670405304</v>
      </c>
      <c r="N91">
        <f t="shared" si="25"/>
        <v>2.602243958718446</v>
      </c>
      <c r="AH91" s="105"/>
      <c r="AI91" s="105"/>
      <c r="AJ91" s="105"/>
      <c r="AK91" s="105"/>
      <c r="AL91" s="105"/>
      <c r="AM91" s="105"/>
      <c r="AN91" s="105"/>
      <c r="AO91" s="105"/>
      <c r="AP91" s="105"/>
      <c r="AQ91" s="105"/>
      <c r="AR91" s="105"/>
      <c r="AS91" s="105"/>
      <c r="AT91" s="105"/>
      <c r="AU91" s="105"/>
      <c r="AV91" s="105"/>
      <c r="AW91" s="105"/>
      <c r="AX91" s="105"/>
      <c r="AY91" s="105"/>
      <c r="AZ91" s="105"/>
      <c r="BA91" s="105"/>
    </row>
    <row r="92" spans="2:53" x14ac:dyDescent="0.2">
      <c r="B92" s="92" t="s">
        <v>583</v>
      </c>
      <c r="C92" s="12">
        <v>210.59168246104284</v>
      </c>
      <c r="D92" s="12">
        <v>10.480193293039278</v>
      </c>
      <c r="E92" s="12">
        <v>57.306356384803721</v>
      </c>
      <c r="F92" s="12">
        <v>18.628724785564149</v>
      </c>
      <c r="G92">
        <f t="shared" si="22"/>
        <v>39.178617549078332</v>
      </c>
      <c r="H92" s="3">
        <v>1012.9364676431428</v>
      </c>
      <c r="I92" s="3">
        <v>47.533294019311974</v>
      </c>
      <c r="J92" s="3">
        <v>481.69006580480476</v>
      </c>
      <c r="K92" s="3">
        <v>173.7006663831034</v>
      </c>
      <c r="L92">
        <f t="shared" si="23"/>
        <v>251.93431388195009</v>
      </c>
      <c r="M92">
        <f t="shared" si="24"/>
        <v>1</v>
      </c>
      <c r="N92">
        <f t="shared" si="25"/>
        <v>1</v>
      </c>
      <c r="AH92" s="105"/>
      <c r="AI92" s="105"/>
      <c r="AJ92" s="105"/>
      <c r="AK92" s="105"/>
      <c r="AL92" s="105"/>
      <c r="AM92" s="105"/>
      <c r="AN92" s="105"/>
      <c r="AO92" s="105"/>
      <c r="AP92" s="105"/>
      <c r="AQ92" s="105"/>
      <c r="AR92" s="105"/>
      <c r="AS92" s="105"/>
      <c r="AT92" s="105"/>
      <c r="AU92" s="105"/>
      <c r="AV92" s="105"/>
      <c r="AW92" s="105"/>
      <c r="AX92" s="105"/>
      <c r="AY92" s="105"/>
      <c r="AZ92" s="105"/>
      <c r="BA92" s="105"/>
    </row>
    <row r="93" spans="2:53" x14ac:dyDescent="0.2">
      <c r="AH93" s="105"/>
      <c r="AI93" s="105"/>
      <c r="AJ93" s="105"/>
      <c r="AK93" s="105"/>
      <c r="AL93" s="105"/>
      <c r="AM93" s="105"/>
      <c r="AN93" s="105"/>
      <c r="AO93" s="105"/>
      <c r="AP93" s="105"/>
      <c r="AQ93" s="105"/>
      <c r="AR93" s="105"/>
      <c r="AS93" s="105"/>
      <c r="AT93" s="105"/>
      <c r="AU93" s="105"/>
      <c r="AV93" s="105"/>
      <c r="AW93" s="105"/>
      <c r="AX93" s="105"/>
      <c r="AY93" s="105"/>
      <c r="AZ93" s="105"/>
      <c r="BA93" s="105"/>
    </row>
    <row r="94" spans="2:53" x14ac:dyDescent="0.2">
      <c r="AH94" s="105"/>
      <c r="AI94" s="105"/>
      <c r="AJ94" s="105"/>
      <c r="AK94" s="105"/>
      <c r="AL94" s="105"/>
      <c r="AM94" s="105"/>
      <c r="AN94" s="105"/>
      <c r="AO94" s="105"/>
      <c r="AP94" s="105"/>
      <c r="AQ94" s="105"/>
      <c r="AR94" s="105"/>
      <c r="AS94" s="105"/>
      <c r="AT94" s="105"/>
      <c r="AU94" s="105"/>
      <c r="AV94" s="105"/>
      <c r="AW94" s="105"/>
      <c r="AX94" s="105"/>
      <c r="AY94" s="105"/>
      <c r="AZ94" s="105"/>
      <c r="BA94" s="105"/>
    </row>
    <row r="95" spans="2:53" x14ac:dyDescent="0.2">
      <c r="AH95" s="105"/>
      <c r="AI95" s="105"/>
      <c r="AJ95" s="105"/>
      <c r="AK95" s="105"/>
      <c r="AL95" s="105"/>
      <c r="AM95" s="105"/>
      <c r="AN95" s="105"/>
      <c r="AO95" s="105"/>
      <c r="AP95" s="105"/>
      <c r="AQ95" s="105"/>
      <c r="AR95" s="105"/>
      <c r="AS95" s="105"/>
      <c r="AT95" s="105"/>
      <c r="AU95" s="105"/>
      <c r="AV95" s="105"/>
      <c r="AW95" s="105"/>
      <c r="AX95" s="105"/>
      <c r="AY95" s="105"/>
      <c r="AZ95" s="105"/>
      <c r="BA95" s="105"/>
    </row>
    <row r="96" spans="2:53" x14ac:dyDescent="0.2">
      <c r="AH96" s="105"/>
      <c r="AI96" s="105"/>
      <c r="AJ96" s="105"/>
      <c r="AK96" s="105"/>
      <c r="AL96" s="105"/>
      <c r="AM96" s="105"/>
      <c r="AN96" s="105"/>
      <c r="AO96" s="105"/>
      <c r="AP96" s="105"/>
      <c r="AQ96" s="105"/>
      <c r="AR96" s="105"/>
      <c r="AS96" s="105"/>
      <c r="AT96" s="105"/>
      <c r="AU96" s="105"/>
      <c r="AV96" s="105"/>
      <c r="AW96" s="105"/>
      <c r="AX96" s="105"/>
      <c r="AY96" s="105"/>
      <c r="AZ96" s="105"/>
      <c r="BA96" s="105"/>
    </row>
    <row r="97" spans="2:53" x14ac:dyDescent="0.2">
      <c r="AH97" s="105"/>
      <c r="AI97" s="105"/>
      <c r="AJ97" s="105"/>
      <c r="AK97" s="105"/>
      <c r="AL97" s="105"/>
      <c r="AM97" s="105"/>
      <c r="AN97" s="105"/>
      <c r="AO97" s="105"/>
      <c r="AP97" s="105"/>
      <c r="AQ97" s="105"/>
      <c r="AR97" s="105"/>
      <c r="AS97" s="105"/>
      <c r="AT97" s="105"/>
      <c r="AU97" s="105"/>
      <c r="AV97" s="105"/>
      <c r="AW97" s="105"/>
      <c r="AX97" s="105"/>
      <c r="AY97" s="105"/>
      <c r="AZ97" s="105"/>
      <c r="BA97" s="105"/>
    </row>
    <row r="98" spans="2:53" x14ac:dyDescent="0.2">
      <c r="AH98" s="105"/>
      <c r="AI98" s="105"/>
      <c r="AJ98" s="105"/>
      <c r="AK98" s="105"/>
      <c r="AL98" s="105"/>
      <c r="AM98" s="105"/>
      <c r="AN98" s="105"/>
      <c r="AO98" s="105"/>
      <c r="AP98" s="105"/>
      <c r="AQ98" s="105"/>
      <c r="AR98" s="105"/>
      <c r="AS98" s="105"/>
      <c r="AT98" s="105"/>
      <c r="AU98" s="105"/>
      <c r="AV98" s="105"/>
      <c r="AW98" s="105"/>
      <c r="AX98" s="105"/>
      <c r="AY98" s="105"/>
      <c r="AZ98" s="105"/>
      <c r="BA98" s="105"/>
    </row>
    <row r="99" spans="2:53" x14ac:dyDescent="0.2">
      <c r="AH99" s="105"/>
      <c r="AI99" s="105"/>
      <c r="AJ99" s="105"/>
      <c r="AK99" s="105"/>
      <c r="AL99" s="105"/>
      <c r="AM99" s="105"/>
      <c r="AN99" s="105"/>
      <c r="AO99" s="105"/>
      <c r="AP99" s="105"/>
      <c r="AQ99" s="105"/>
      <c r="AR99" s="105"/>
      <c r="AS99" s="105"/>
      <c r="AT99" s="105"/>
      <c r="AU99" s="105"/>
      <c r="AV99" s="105"/>
      <c r="AW99" s="105"/>
      <c r="AX99" s="105"/>
      <c r="AY99" s="105"/>
      <c r="AZ99" s="105"/>
      <c r="BA99" s="105"/>
    </row>
    <row r="100" spans="2:53" x14ac:dyDescent="0.2">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row>
    <row r="101" spans="2:53" x14ac:dyDescent="0.2">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row>
    <row r="102" spans="2:53" x14ac:dyDescent="0.2">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row>
    <row r="103" spans="2:53" x14ac:dyDescent="0.2">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row>
    <row r="104" spans="2:53" x14ac:dyDescent="0.2">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row>
    <row r="109" spans="2:53" ht="24" x14ac:dyDescent="0.3">
      <c r="B109" s="109" t="s">
        <v>557</v>
      </c>
      <c r="C109" s="139" t="s">
        <v>570</v>
      </c>
      <c r="D109" s="139"/>
      <c r="E109" s="139"/>
      <c r="F109" s="139"/>
      <c r="G109" s="139"/>
      <c r="H109" s="140" t="s">
        <v>569</v>
      </c>
      <c r="I109" s="140"/>
      <c r="J109" s="140"/>
      <c r="K109" s="140"/>
      <c r="L109" s="140"/>
    </row>
    <row r="110" spans="2:53" x14ac:dyDescent="0.2">
      <c r="B110" s="109"/>
      <c r="C110" s="27" t="s">
        <v>418</v>
      </c>
      <c r="D110" s="27" t="s">
        <v>419</v>
      </c>
      <c r="E110" s="27" t="s">
        <v>420</v>
      </c>
      <c r="F110" s="27" t="s">
        <v>421</v>
      </c>
      <c r="G110" s="27" t="s">
        <v>571</v>
      </c>
      <c r="H110" s="27" t="s">
        <v>418</v>
      </c>
      <c r="I110" s="27" t="s">
        <v>419</v>
      </c>
      <c r="J110" s="27" t="s">
        <v>420</v>
      </c>
      <c r="K110" s="27" t="s">
        <v>421</v>
      </c>
      <c r="L110" s="27" t="s">
        <v>571</v>
      </c>
    </row>
    <row r="111" spans="2:53" x14ac:dyDescent="0.2">
      <c r="B111" s="91" t="s">
        <v>559</v>
      </c>
      <c r="C111" s="95">
        <v>0.13532526814881815</v>
      </c>
      <c r="D111" s="95">
        <v>0.12630297822633924</v>
      </c>
      <c r="E111" s="95">
        <v>0.2446424583481108</v>
      </c>
      <c r="F111" s="95">
        <v>0.27016803695284775</v>
      </c>
      <c r="G111" s="103">
        <f>GEOMEAN(C111:F111)</f>
        <v>0.18333254688468431</v>
      </c>
      <c r="H111" s="95">
        <v>9.4478627289995745E-2</v>
      </c>
      <c r="I111" s="95">
        <v>8.7902779777656842E-2</v>
      </c>
      <c r="J111" s="95">
        <v>0.17757583518648762</v>
      </c>
      <c r="K111" s="95">
        <v>0.19793748524453122</v>
      </c>
      <c r="L111" s="95">
        <f>GEOMEAN(H111:K111)</f>
        <v>0.13071096607828869</v>
      </c>
      <c r="M111" s="56">
        <f>G111-$G$116</f>
        <v>-0.66471749796771329</v>
      </c>
      <c r="N111" s="56">
        <f>L111-$L$116</f>
        <v>4.5503093314606308E-2</v>
      </c>
      <c r="O111" s="56"/>
      <c r="P111" s="56"/>
    </row>
    <row r="112" spans="2:53" x14ac:dyDescent="0.2">
      <c r="B112" s="91" t="s">
        <v>560</v>
      </c>
      <c r="C112" s="95">
        <v>0.14684327570977904</v>
      </c>
      <c r="D112" s="95">
        <v>0.13717489228178184</v>
      </c>
      <c r="E112" s="95">
        <v>0.26263870004203316</v>
      </c>
      <c r="F112" s="95">
        <v>0.28932276610275542</v>
      </c>
      <c r="G112" s="103">
        <f t="shared" ref="G112:G116" si="26">GEOMEAN(C112:F112)</f>
        <v>0.19779600020640928</v>
      </c>
      <c r="H112" s="95">
        <v>0.10293390086821061</v>
      </c>
      <c r="I112" s="95">
        <v>9.5831835421560554E-2</v>
      </c>
      <c r="J112" s="95">
        <v>0.19189187780660599</v>
      </c>
      <c r="K112" s="95">
        <v>0.21346899032075833</v>
      </c>
      <c r="L112" s="95">
        <f t="shared" ref="L112:L116" si="27">GEOMEAN(H112:K112)</f>
        <v>0.1417799786317247</v>
      </c>
      <c r="M112" s="56">
        <f t="shared" ref="M112:M116" si="28">G112-$G$116</f>
        <v>-0.65025404464598835</v>
      </c>
      <c r="N112" s="56">
        <f t="shared" ref="N112:N116" si="29">L112-$L$116</f>
        <v>5.6572105868042316E-2</v>
      </c>
      <c r="O112" s="56"/>
      <c r="P112" s="56"/>
    </row>
    <row r="113" spans="2:45" x14ac:dyDescent="0.2">
      <c r="B113" s="92" t="s">
        <v>428</v>
      </c>
      <c r="C113" s="95">
        <v>0.42812891758567795</v>
      </c>
      <c r="D113" s="95">
        <v>0.40881478749741734</v>
      </c>
      <c r="E113" s="95">
        <v>0.60773218511062477</v>
      </c>
      <c r="F113" s="95">
        <v>0.6390890861785723</v>
      </c>
      <c r="G113" s="103">
        <f t="shared" si="26"/>
        <v>0.51061515368952315</v>
      </c>
      <c r="H113" s="95">
        <v>1.1562340012153166E-2</v>
      </c>
      <c r="I113" s="95">
        <v>1.0689458288761012E-2</v>
      </c>
      <c r="J113" s="95">
        <v>2.3635328528106844E-2</v>
      </c>
      <c r="K113" s="95">
        <v>2.6923311770250591E-2</v>
      </c>
      <c r="L113" s="95">
        <f t="shared" si="27"/>
        <v>1.6746455095888086E-2</v>
      </c>
      <c r="M113" s="56">
        <f t="shared" si="28"/>
        <v>-0.33743489116287451</v>
      </c>
      <c r="N113" s="56">
        <f t="shared" si="29"/>
        <v>-6.8461417667794303E-2</v>
      </c>
      <c r="O113" s="56"/>
      <c r="P113" s="56"/>
    </row>
    <row r="114" spans="2:45" x14ac:dyDescent="0.2">
      <c r="B114" s="92" t="s">
        <v>446</v>
      </c>
      <c r="C114" s="95">
        <v>0.97914063389239547</v>
      </c>
      <c r="D114" s="95">
        <v>0.97745621989985765</v>
      </c>
      <c r="E114" s="95">
        <v>0.989810451663654</v>
      </c>
      <c r="F114" s="95">
        <v>0.99107358702759862</v>
      </c>
      <c r="G114" s="103">
        <f t="shared" si="26"/>
        <v>0.98435121445822971</v>
      </c>
      <c r="H114" s="95">
        <v>0.42311208763669556</v>
      </c>
      <c r="I114" s="95">
        <v>0.40386444784434833</v>
      </c>
      <c r="J114" s="95">
        <v>0.60282928741487973</v>
      </c>
      <c r="K114" s="95">
        <v>0.63434230184389462</v>
      </c>
      <c r="L114" s="95">
        <f t="shared" si="27"/>
        <v>0.50559441567081842</v>
      </c>
      <c r="M114" s="56">
        <f t="shared" si="28"/>
        <v>0.13630116960583205</v>
      </c>
      <c r="N114" s="56">
        <f t="shared" si="29"/>
        <v>0.42038654290713606</v>
      </c>
      <c r="O114" s="56"/>
      <c r="P114" s="56"/>
    </row>
    <row r="115" spans="2:45" x14ac:dyDescent="0.2">
      <c r="B115" s="92" t="s">
        <v>443</v>
      </c>
      <c r="C115" s="95">
        <v>0.8924845089304434</v>
      </c>
      <c r="D115" s="95">
        <v>0.88462705793437002</v>
      </c>
      <c r="E115" s="95">
        <v>0.94498966605724466</v>
      </c>
      <c r="F115" s="95">
        <v>0.95153691692895082</v>
      </c>
      <c r="G115" s="103">
        <f t="shared" si="26"/>
        <v>0.91791697604818312</v>
      </c>
      <c r="H115" s="95">
        <v>0.11481150982130812</v>
      </c>
      <c r="I115" s="95">
        <v>0.10698767072777758</v>
      </c>
      <c r="J115" s="95">
        <v>0.21161296705288082</v>
      </c>
      <c r="K115" s="95">
        <v>0.23476338842529604</v>
      </c>
      <c r="L115" s="95">
        <f t="shared" si="27"/>
        <v>0.15717119369050195</v>
      </c>
      <c r="M115" s="56">
        <f t="shared" si="28"/>
        <v>6.9866931195785464E-2</v>
      </c>
      <c r="N115" s="56">
        <f t="shared" si="29"/>
        <v>7.1963320926819563E-2</v>
      </c>
      <c r="O115" s="56"/>
      <c r="P115" s="56"/>
    </row>
    <row r="116" spans="2:45" x14ac:dyDescent="0.2">
      <c r="B116" s="92" t="s">
        <v>583</v>
      </c>
      <c r="C116" s="95">
        <v>0.80467081868364465</v>
      </c>
      <c r="D116" s="95">
        <v>0.79189220858441411</v>
      </c>
      <c r="E116" s="95">
        <v>0.89501525852637531</v>
      </c>
      <c r="F116" s="95">
        <v>0.90692456320536219</v>
      </c>
      <c r="G116" s="103">
        <f t="shared" si="26"/>
        <v>0.84805004485239766</v>
      </c>
      <c r="H116" s="95">
        <v>6.0475472544757013E-2</v>
      </c>
      <c r="I116" s="95">
        <v>5.6119619126034206E-2</v>
      </c>
      <c r="J116" s="95">
        <v>0.11754803098351103</v>
      </c>
      <c r="K116" s="95">
        <v>0.13213246847387941</v>
      </c>
      <c r="L116" s="95">
        <f t="shared" si="27"/>
        <v>8.5207872763682385E-2</v>
      </c>
      <c r="M116" s="56">
        <f t="shared" si="28"/>
        <v>0</v>
      </c>
      <c r="N116" s="56">
        <f t="shared" si="29"/>
        <v>0</v>
      </c>
      <c r="O116" s="56"/>
      <c r="P116" s="56"/>
    </row>
    <row r="117" spans="2:45" x14ac:dyDescent="0.2">
      <c r="N117" s="56"/>
      <c r="O117" s="56"/>
      <c r="P117" s="56"/>
    </row>
    <row r="119" spans="2:45" ht="24" x14ac:dyDescent="0.45">
      <c r="AS119" s="106"/>
    </row>
    <row r="136" spans="12:12" x14ac:dyDescent="0.2">
      <c r="L136" s="104"/>
    </row>
    <row r="137" spans="12:12" x14ac:dyDescent="0.2">
      <c r="L137" s="104"/>
    </row>
    <row r="138" spans="12:12" x14ac:dyDescent="0.2">
      <c r="L138" s="104"/>
    </row>
    <row r="139" spans="12:12" x14ac:dyDescent="0.2">
      <c r="L139" s="104"/>
    </row>
  </sheetData>
  <mergeCells count="20">
    <mergeCell ref="M4:M5"/>
    <mergeCell ref="N4:R4"/>
    <mergeCell ref="S4:W4"/>
    <mergeCell ref="N34:R34"/>
    <mergeCell ref="S34:W34"/>
    <mergeCell ref="M34:M35"/>
    <mergeCell ref="D4:G4"/>
    <mergeCell ref="H4:K4"/>
    <mergeCell ref="C34:F34"/>
    <mergeCell ref="G34:J34"/>
    <mergeCell ref="B109:B110"/>
    <mergeCell ref="B34:B35"/>
    <mergeCell ref="C4:C5"/>
    <mergeCell ref="B60:B61"/>
    <mergeCell ref="B85:B86"/>
    <mergeCell ref="C109:G109"/>
    <mergeCell ref="H109:L109"/>
    <mergeCell ref="C85:G85"/>
    <mergeCell ref="C60:G60"/>
    <mergeCell ref="H60:L60"/>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D5E7E3010B964B849A15AFA3F54CBA" ma:contentTypeVersion="13" ma:contentTypeDescription="Create a new document." ma:contentTypeScope="" ma:versionID="a431859a3208676edefb36025d1358f9">
  <xsd:schema xmlns:xsd="http://www.w3.org/2001/XMLSchema" xmlns:xs="http://www.w3.org/2001/XMLSchema" xmlns:p="http://schemas.microsoft.com/office/2006/metadata/properties" xmlns:ns3="845e6dfa-bfbe-45b7-85d5-4d3f21fae3cc" xmlns:ns4="9dffa15b-13d7-450f-8a60-91cfc57b8c8c" targetNamespace="http://schemas.microsoft.com/office/2006/metadata/properties" ma:root="true" ma:fieldsID="30b00337716afdb007246015cbb8f657" ns3:_="" ns4:_="">
    <xsd:import namespace="845e6dfa-bfbe-45b7-85d5-4d3f21fae3cc"/>
    <xsd:import namespace="9dffa15b-13d7-450f-8a60-91cfc57b8c8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5e6dfa-bfbe-45b7-85d5-4d3f21fae3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ffa15b-13d7-450f-8a60-91cfc57b8c8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6CCEE8-A570-4E09-BC3B-CD75774BE820}">
  <ds:schemaRefs>
    <ds:schemaRef ds:uri="http://schemas.microsoft.com/office/2006/documentManagement/types"/>
    <ds:schemaRef ds:uri="http://schemas.openxmlformats.org/package/2006/metadata/core-properties"/>
    <ds:schemaRef ds:uri="http://purl.org/dc/dcmitype/"/>
    <ds:schemaRef ds:uri="http://purl.org/dc/terms/"/>
    <ds:schemaRef ds:uri="845e6dfa-bfbe-45b7-85d5-4d3f21fae3cc"/>
    <ds:schemaRef ds:uri="9dffa15b-13d7-450f-8a60-91cfc57b8c8c"/>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59065B6C-38E0-4B2B-826B-8DF93424EB03}">
  <ds:schemaRefs>
    <ds:schemaRef ds:uri="http://schemas.microsoft.com/sharepoint/v3/contenttype/forms"/>
  </ds:schemaRefs>
</ds:datastoreItem>
</file>

<file path=customXml/itemProps3.xml><?xml version="1.0" encoding="utf-8"?>
<ds:datastoreItem xmlns:ds="http://schemas.openxmlformats.org/officeDocument/2006/customXml" ds:itemID="{54506864-28D8-4E60-86F8-520085C0D0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5e6dfa-bfbe-45b7-85d5-4d3f21fae3cc"/>
    <ds:schemaRef ds:uri="9dffa15b-13d7-450f-8a60-91cfc57b8c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ODIN_lifetime_Calculation</vt:lpstr>
      <vt:lpstr>ODIN_MAC</vt:lpstr>
      <vt:lpstr>Alexnet vs Vgg vs CNN</vt:lpstr>
      <vt:lpstr>ODIN_MAC_FINAL</vt:lpstr>
      <vt:lpstr>Final Calculations</vt:lpstr>
      <vt:lpstr>Sheet2</vt:lpstr>
      <vt:lpstr>ATRIA DRAM MAC (30PJ) energy</vt:lpstr>
      <vt:lpstr>Graphs</vt:lpstr>
      <vt:lpstr>Acc &amp; Error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Supreeth</dc:creator>
  <cp:keywords/>
  <dc:description/>
  <cp:lastModifiedBy>Thakkar, Ishan G.</cp:lastModifiedBy>
  <cp:revision/>
  <dcterms:created xsi:type="dcterms:W3CDTF">2020-09-30T18:11:40Z</dcterms:created>
  <dcterms:modified xsi:type="dcterms:W3CDTF">2023-09-08T15:44:53Z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0x01010013D5E7E3010B964B849A15AFA3F54CBA</vt:lpwstr>
  </property>
</Properties>
</file>