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628"/>
  <workbookPr/>
  <xr:revisionPtr revIDLastSave="9" documentId="11_68BBDD77BFFB02531789E8F697F480C18AA31BF8" xr6:coauthVersionLast="47" xr6:coauthVersionMax="47" xr10:uidLastSave="{9734950C-4721-4518-BBE6-EEDD670BCBBE}"/>
  <bookViews>
    <workbookView xWindow="0" yWindow="0" windowWidth="0" windowHeight="0" activeTab="2" xr2:uid="{00000000-000D-0000-FFFF-FFFF00000000}"/>
  </bookViews>
  <sheets>
    <sheet name="Itaipu " sheetId="4" r:id="rId1"/>
    <sheet name="Marco" sheetId="6" r:id="rId2"/>
    <sheet name="Ecomuseu" sheetId="11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6" roundtripDataSignature="AMtx7mhHoBiVhRQIcb4wfMEA9NySGegI+g=="/>
    </ext>
  </extLst>
</workbook>
</file>

<file path=xl/calcChain.xml><?xml version="1.0" encoding="utf-8"?>
<calcChain xmlns="http://schemas.openxmlformats.org/spreadsheetml/2006/main">
  <c r="N78" i="11" l="1"/>
  <c r="M78" i="11"/>
  <c r="L78" i="11"/>
  <c r="K78" i="11"/>
  <c r="J78" i="11"/>
  <c r="I78" i="11"/>
  <c r="H78" i="11"/>
  <c r="G78" i="11"/>
  <c r="F78" i="11"/>
  <c r="E78" i="11"/>
  <c r="D78" i="11"/>
  <c r="C78" i="11"/>
  <c r="O78" i="11" s="1"/>
  <c r="O77" i="11"/>
  <c r="O76" i="11"/>
  <c r="N71" i="11"/>
  <c r="M71" i="11"/>
  <c r="L71" i="11"/>
  <c r="K71" i="11"/>
  <c r="J71" i="11"/>
  <c r="I71" i="11"/>
  <c r="H71" i="11"/>
  <c r="G71" i="11"/>
  <c r="F71" i="11"/>
  <c r="D71" i="11"/>
  <c r="C71" i="11"/>
  <c r="O71" i="11" s="1"/>
  <c r="O70" i="11"/>
  <c r="O69" i="11"/>
  <c r="N64" i="11"/>
  <c r="M64" i="11"/>
  <c r="L64" i="11"/>
  <c r="K64" i="11"/>
  <c r="J64" i="11"/>
  <c r="I64" i="11"/>
  <c r="H64" i="11"/>
  <c r="G64" i="11"/>
  <c r="F64" i="11"/>
  <c r="E64" i="11"/>
  <c r="D64" i="11"/>
  <c r="C64" i="11"/>
  <c r="O64" i="11" s="1"/>
  <c r="O63" i="11"/>
  <c r="O62" i="11"/>
  <c r="C58" i="11"/>
  <c r="O57" i="11"/>
  <c r="N56" i="11"/>
  <c r="N58" i="11" s="1"/>
  <c r="M56" i="11"/>
  <c r="M58" i="11" s="1"/>
  <c r="L56" i="11"/>
  <c r="L58" i="11" s="1"/>
  <c r="K56" i="11"/>
  <c r="K58" i="11" s="1"/>
  <c r="J56" i="11"/>
  <c r="J58" i="11" s="1"/>
  <c r="I56" i="11"/>
  <c r="G56" i="11"/>
  <c r="F56" i="11"/>
  <c r="F58" i="11" s="1"/>
  <c r="E56" i="11"/>
  <c r="E58" i="11" s="1"/>
  <c r="D56" i="11"/>
  <c r="K52" i="11"/>
  <c r="J52" i="11"/>
  <c r="C52" i="11"/>
  <c r="O52" i="11" s="1"/>
  <c r="O51" i="11"/>
  <c r="O50" i="11"/>
  <c r="N36" i="11"/>
  <c r="M36" i="11"/>
  <c r="K36" i="11"/>
  <c r="J36" i="11"/>
  <c r="I36" i="11"/>
  <c r="H36" i="11"/>
  <c r="G36" i="11"/>
  <c r="F36" i="11"/>
  <c r="E36" i="11"/>
  <c r="D36" i="11"/>
  <c r="C36" i="11"/>
  <c r="O35" i="11"/>
  <c r="O34" i="11"/>
  <c r="O36" i="11" s="1"/>
  <c r="N30" i="11"/>
  <c r="M30" i="11"/>
  <c r="L30" i="11"/>
  <c r="K30" i="11"/>
  <c r="J30" i="11"/>
  <c r="I30" i="11"/>
  <c r="H30" i="11"/>
  <c r="G30" i="11"/>
  <c r="F30" i="11"/>
  <c r="E30" i="11"/>
  <c r="D30" i="11"/>
  <c r="C30" i="11"/>
  <c r="O29" i="11"/>
  <c r="O28" i="11"/>
  <c r="O30" i="11" s="1"/>
  <c r="N24" i="11"/>
  <c r="M24" i="11"/>
  <c r="L24" i="11"/>
  <c r="K24" i="11"/>
  <c r="J24" i="11"/>
  <c r="I24" i="11"/>
  <c r="H24" i="11"/>
  <c r="G24" i="11"/>
  <c r="F24" i="11"/>
  <c r="E24" i="11"/>
  <c r="D24" i="11"/>
  <c r="C24" i="11"/>
  <c r="O23" i="11"/>
  <c r="O22" i="11"/>
  <c r="O24" i="11" s="1"/>
  <c r="M18" i="11"/>
  <c r="L18" i="11"/>
  <c r="K18" i="11"/>
  <c r="J18" i="11"/>
  <c r="I18" i="11"/>
  <c r="H18" i="11"/>
  <c r="G18" i="11"/>
  <c r="F18" i="11"/>
  <c r="E18" i="11"/>
  <c r="D18" i="11"/>
  <c r="C18" i="11"/>
  <c r="O17" i="11"/>
  <c r="O16" i="11"/>
  <c r="O18" i="11" s="1"/>
  <c r="N12" i="11"/>
  <c r="M12" i="11"/>
  <c r="L12" i="11"/>
  <c r="K12" i="11"/>
  <c r="J12" i="11"/>
  <c r="I12" i="11"/>
  <c r="H12" i="11"/>
  <c r="G12" i="11"/>
  <c r="F12" i="11"/>
  <c r="E12" i="11"/>
  <c r="D12" i="11"/>
  <c r="C12" i="11"/>
  <c r="O11" i="11"/>
  <c r="O10" i="11"/>
  <c r="O12" i="11" s="1"/>
  <c r="M44" i="6"/>
  <c r="L44" i="6"/>
  <c r="K44" i="6"/>
  <c r="J44" i="6"/>
  <c r="I44" i="6"/>
  <c r="G44" i="6"/>
  <c r="F44" i="6"/>
  <c r="E44" i="6"/>
  <c r="D44" i="6"/>
  <c r="C44" i="6"/>
  <c r="B44" i="6"/>
  <c r="N44" i="6" s="1"/>
  <c r="N43" i="6"/>
  <c r="N42" i="6"/>
  <c r="N41" i="6"/>
  <c r="N40" i="6"/>
  <c r="M36" i="6"/>
  <c r="L36" i="6"/>
  <c r="K36" i="6"/>
  <c r="J36" i="6"/>
  <c r="I36" i="6"/>
  <c r="G36" i="6"/>
  <c r="D36" i="6"/>
  <c r="C36" i="6"/>
  <c r="N35" i="6"/>
  <c r="N34" i="6"/>
  <c r="N33" i="6"/>
  <c r="B32" i="6"/>
  <c r="M28" i="6"/>
  <c r="L28" i="6"/>
  <c r="K28" i="6"/>
  <c r="J28" i="6"/>
  <c r="I28" i="6"/>
  <c r="H28" i="6"/>
  <c r="G28" i="6"/>
  <c r="F28" i="6"/>
  <c r="E28" i="6"/>
  <c r="D28" i="6"/>
  <c r="C28" i="6"/>
  <c r="B28" i="6"/>
  <c r="N28" i="6" s="1"/>
  <c r="N27" i="6"/>
  <c r="N26" i="6"/>
  <c r="N25" i="6"/>
  <c r="N24" i="6"/>
  <c r="N23" i="6"/>
  <c r="M19" i="6"/>
  <c r="L19" i="6"/>
  <c r="K19" i="6"/>
  <c r="J19" i="6"/>
  <c r="I19" i="6"/>
  <c r="N18" i="6"/>
  <c r="H17" i="6"/>
  <c r="G17" i="6"/>
  <c r="F17" i="6"/>
  <c r="E17" i="6"/>
  <c r="D17" i="6"/>
  <c r="C17" i="6"/>
  <c r="B17" i="6"/>
  <c r="N17" i="6" s="1"/>
  <c r="H16" i="6"/>
  <c r="G16" i="6"/>
  <c r="F16" i="6"/>
  <c r="E16" i="6"/>
  <c r="E19" i="6" s="1"/>
  <c r="D16" i="6"/>
  <c r="C16" i="6"/>
  <c r="B16" i="6"/>
  <c r="N16" i="6" s="1"/>
  <c r="H15" i="6"/>
  <c r="G15" i="6"/>
  <c r="F15" i="6"/>
  <c r="D15" i="6"/>
  <c r="C15" i="6"/>
  <c r="B15" i="6"/>
  <c r="N15" i="6" s="1"/>
  <c r="H14" i="6"/>
  <c r="H19" i="6" s="1"/>
  <c r="G14" i="6"/>
  <c r="G19" i="6" s="1"/>
  <c r="F14" i="6"/>
  <c r="F19" i="6" s="1"/>
  <c r="D14" i="6"/>
  <c r="D19" i="6" s="1"/>
  <c r="C14" i="6"/>
  <c r="C19" i="6" s="1"/>
  <c r="B14" i="6"/>
  <c r="H10" i="6"/>
  <c r="M9" i="6"/>
  <c r="L9" i="6"/>
  <c r="K9" i="6"/>
  <c r="J9" i="6"/>
  <c r="I9" i="6"/>
  <c r="G9" i="6"/>
  <c r="F9" i="6"/>
  <c r="E9" i="6"/>
  <c r="D9" i="6"/>
  <c r="C9" i="6"/>
  <c r="B9" i="6"/>
  <c r="N9" i="6" s="1"/>
  <c r="M8" i="6"/>
  <c r="L8" i="6"/>
  <c r="K8" i="6"/>
  <c r="J8" i="6"/>
  <c r="I8" i="6"/>
  <c r="G8" i="6"/>
  <c r="F8" i="6"/>
  <c r="E8" i="6"/>
  <c r="D8" i="6"/>
  <c r="C8" i="6"/>
  <c r="B8" i="6"/>
  <c r="N8" i="6" s="1"/>
  <c r="M7" i="6"/>
  <c r="L7" i="6"/>
  <c r="K7" i="6"/>
  <c r="J7" i="6"/>
  <c r="I7" i="6"/>
  <c r="G7" i="6"/>
  <c r="F7" i="6"/>
  <c r="E7" i="6"/>
  <c r="D7" i="6"/>
  <c r="C7" i="6"/>
  <c r="B7" i="6"/>
  <c r="N7" i="6" s="1"/>
  <c r="M6" i="6"/>
  <c r="M10" i="6" s="1"/>
  <c r="L6" i="6"/>
  <c r="L10" i="6" s="1"/>
  <c r="K6" i="6"/>
  <c r="K10" i="6" s="1"/>
  <c r="J6" i="6"/>
  <c r="J10" i="6" s="1"/>
  <c r="I6" i="6"/>
  <c r="I10" i="6" s="1"/>
  <c r="G6" i="6"/>
  <c r="G10" i="6" s="1"/>
  <c r="F6" i="6"/>
  <c r="F10" i="6" s="1"/>
  <c r="E6" i="6"/>
  <c r="E10" i="6" s="1"/>
  <c r="D6" i="6"/>
  <c r="D10" i="6" s="1"/>
  <c r="C6" i="6"/>
  <c r="C10" i="6" s="1"/>
  <c r="B6" i="6"/>
  <c r="O150" i="4"/>
  <c r="N150" i="4"/>
  <c r="M150" i="4"/>
  <c r="L150" i="4"/>
  <c r="K150" i="4"/>
  <c r="J150" i="4"/>
  <c r="I150" i="4"/>
  <c r="H150" i="4"/>
  <c r="G150" i="4"/>
  <c r="F150" i="4"/>
  <c r="E150" i="4"/>
  <c r="D150" i="4"/>
  <c r="P150" i="4" s="1"/>
  <c r="P149" i="4"/>
  <c r="P148" i="4"/>
  <c r="O144" i="4"/>
  <c r="N144" i="4"/>
  <c r="M144" i="4"/>
  <c r="J144" i="4"/>
  <c r="H144" i="4"/>
  <c r="G144" i="4"/>
  <c r="E144" i="4"/>
  <c r="D144" i="4"/>
  <c r="L143" i="4"/>
  <c r="L144" i="4" s="1"/>
  <c r="K143" i="4"/>
  <c r="K144" i="4" s="1"/>
  <c r="I143" i="4"/>
  <c r="F143" i="4"/>
  <c r="P142" i="4"/>
  <c r="O138" i="4"/>
  <c r="N138" i="4"/>
  <c r="M138" i="4"/>
  <c r="L138" i="4"/>
  <c r="K138" i="4"/>
  <c r="J138" i="4"/>
  <c r="I138" i="4"/>
  <c r="H138" i="4"/>
  <c r="G138" i="4"/>
  <c r="F138" i="4"/>
  <c r="E138" i="4"/>
  <c r="D138" i="4"/>
  <c r="P138" i="4" s="1"/>
  <c r="P137" i="4"/>
  <c r="P136" i="4"/>
  <c r="O132" i="4"/>
  <c r="N132" i="4"/>
  <c r="M132" i="4"/>
  <c r="L132" i="4"/>
  <c r="K132" i="4"/>
  <c r="J132" i="4"/>
  <c r="I132" i="4"/>
  <c r="H132" i="4"/>
  <c r="G132" i="4"/>
  <c r="F132" i="4"/>
  <c r="E132" i="4"/>
  <c r="D132" i="4"/>
  <c r="P132" i="4" s="1"/>
  <c r="P131" i="4"/>
  <c r="P130" i="4"/>
  <c r="O122" i="4"/>
  <c r="N122" i="4"/>
  <c r="M122" i="4"/>
  <c r="L122" i="4"/>
  <c r="K122" i="4"/>
  <c r="J122" i="4"/>
  <c r="I122" i="4"/>
  <c r="H122" i="4"/>
  <c r="G122" i="4"/>
  <c r="F122" i="4"/>
  <c r="E122" i="4"/>
  <c r="D122" i="4"/>
  <c r="P122" i="4" s="1"/>
  <c r="P121" i="4"/>
  <c r="P123" i="4" s="1"/>
  <c r="O116" i="4"/>
  <c r="N116" i="4"/>
  <c r="M116" i="4"/>
  <c r="L116" i="4"/>
  <c r="K116" i="4"/>
  <c r="J116" i="4"/>
  <c r="I116" i="4"/>
  <c r="H116" i="4"/>
  <c r="G116" i="4"/>
  <c r="F116" i="4"/>
  <c r="E116" i="4"/>
  <c r="D116" i="4"/>
  <c r="P116" i="4" s="1"/>
  <c r="P115" i="4"/>
  <c r="P117" i="4" s="1"/>
  <c r="O110" i="4"/>
  <c r="O111" i="4" s="1"/>
  <c r="N110" i="4"/>
  <c r="N111" i="4" s="1"/>
  <c r="M110" i="4"/>
  <c r="M111" i="4" s="1"/>
  <c r="L110" i="4"/>
  <c r="L111" i="4" s="1"/>
  <c r="K110" i="4"/>
  <c r="K111" i="4" s="1"/>
  <c r="J110" i="4"/>
  <c r="J111" i="4" s="1"/>
  <c r="I110" i="4"/>
  <c r="I111" i="4" s="1"/>
  <c r="H110" i="4"/>
  <c r="H111" i="4" s="1"/>
  <c r="G110" i="4"/>
  <c r="G111" i="4" s="1"/>
  <c r="F110" i="4"/>
  <c r="F111" i="4" s="1"/>
  <c r="E110" i="4"/>
  <c r="E111" i="4" s="1"/>
  <c r="D110" i="4"/>
  <c r="P109" i="4"/>
  <c r="P105" i="4"/>
  <c r="O104" i="4"/>
  <c r="N104" i="4"/>
  <c r="M104" i="4"/>
  <c r="L104" i="4"/>
  <c r="K104" i="4"/>
  <c r="J104" i="4"/>
  <c r="I104" i="4"/>
  <c r="H104" i="4"/>
  <c r="G104" i="4"/>
  <c r="F104" i="4"/>
  <c r="E104" i="4"/>
  <c r="D104" i="4"/>
  <c r="P103" i="4"/>
  <c r="P104" i="4" s="1"/>
  <c r="P99" i="4"/>
  <c r="O98" i="4"/>
  <c r="N98" i="4"/>
  <c r="M98" i="4"/>
  <c r="L98" i="4"/>
  <c r="K98" i="4"/>
  <c r="J98" i="4"/>
  <c r="I98" i="4"/>
  <c r="H98" i="4"/>
  <c r="G98" i="4"/>
  <c r="F98" i="4"/>
  <c r="E98" i="4"/>
  <c r="D98" i="4"/>
  <c r="P98" i="4" s="1"/>
  <c r="P97" i="4"/>
  <c r="O92" i="4"/>
  <c r="D92" i="4"/>
  <c r="P91" i="4"/>
  <c r="O82" i="4"/>
  <c r="O83" i="4" s="1"/>
  <c r="N82" i="4"/>
  <c r="N83" i="4" s="1"/>
  <c r="M82" i="4"/>
  <c r="M83" i="4" s="1"/>
  <c r="L82" i="4"/>
  <c r="L83" i="4" s="1"/>
  <c r="K82" i="4"/>
  <c r="K83" i="4" s="1"/>
  <c r="J82" i="4"/>
  <c r="I82" i="4"/>
  <c r="H82" i="4"/>
  <c r="H83" i="4" s="1"/>
  <c r="G82" i="4"/>
  <c r="G83" i="4" s="1"/>
  <c r="F82" i="4"/>
  <c r="F83" i="4" s="1"/>
  <c r="E82" i="4"/>
  <c r="E83" i="4" s="1"/>
  <c r="D82" i="4"/>
  <c r="P81" i="4"/>
  <c r="O76" i="4"/>
  <c r="O77" i="4" s="1"/>
  <c r="N76" i="4"/>
  <c r="N77" i="4" s="1"/>
  <c r="M76" i="4"/>
  <c r="M77" i="4" s="1"/>
  <c r="L76" i="4"/>
  <c r="L77" i="4" s="1"/>
  <c r="K76" i="4"/>
  <c r="K77" i="4" s="1"/>
  <c r="J76" i="4"/>
  <c r="J77" i="4" s="1"/>
  <c r="I76" i="4"/>
  <c r="I77" i="4" s="1"/>
  <c r="H76" i="4"/>
  <c r="H77" i="4" s="1"/>
  <c r="G76" i="4"/>
  <c r="G77" i="4" s="1"/>
  <c r="F76" i="4"/>
  <c r="F77" i="4" s="1"/>
  <c r="E76" i="4"/>
  <c r="E77" i="4" s="1"/>
  <c r="D76" i="4"/>
  <c r="P75" i="4"/>
  <c r="O70" i="4"/>
  <c r="L70" i="4"/>
  <c r="K70" i="4"/>
  <c r="J70" i="4"/>
  <c r="I70" i="4"/>
  <c r="H70" i="4"/>
  <c r="N69" i="4"/>
  <c r="N70" i="4" s="1"/>
  <c r="M69" i="4"/>
  <c r="M70" i="4" s="1"/>
  <c r="G69" i="4"/>
  <c r="G70" i="4" s="1"/>
  <c r="F69" i="4"/>
  <c r="F70" i="4" s="1"/>
  <c r="E69" i="4"/>
  <c r="E70" i="4" s="1"/>
  <c r="D69" i="4"/>
  <c r="P68" i="4"/>
  <c r="E64" i="4"/>
  <c r="D64" i="4"/>
  <c r="O63" i="4"/>
  <c r="O64" i="4" s="1"/>
  <c r="N63" i="4"/>
  <c r="N64" i="4" s="1"/>
  <c r="M63" i="4"/>
  <c r="M64" i="4" s="1"/>
  <c r="L63" i="4"/>
  <c r="L64" i="4" s="1"/>
  <c r="K63" i="4"/>
  <c r="K64" i="4" s="1"/>
  <c r="J63" i="4"/>
  <c r="J64" i="4" s="1"/>
  <c r="I63" i="4"/>
  <c r="I64" i="4" s="1"/>
  <c r="H63" i="4"/>
  <c r="H64" i="4" s="1"/>
  <c r="G63" i="4"/>
  <c r="G64" i="4" s="1"/>
  <c r="F63" i="4"/>
  <c r="P62" i="4"/>
  <c r="G58" i="4"/>
  <c r="F58" i="4"/>
  <c r="O57" i="4"/>
  <c r="N57" i="4"/>
  <c r="M57" i="4"/>
  <c r="L57" i="4"/>
  <c r="K57" i="4"/>
  <c r="J57" i="4"/>
  <c r="I57" i="4"/>
  <c r="I58" i="4" s="1"/>
  <c r="E57" i="4"/>
  <c r="D57" i="4"/>
  <c r="P57" i="4" s="1"/>
  <c r="P56" i="4"/>
  <c r="P58" i="4" s="1"/>
  <c r="O52" i="4"/>
  <c r="N52" i="4"/>
  <c r="L52" i="4"/>
  <c r="K52" i="4"/>
  <c r="D52" i="4"/>
  <c r="P52" i="4" s="1"/>
  <c r="P51" i="4"/>
  <c r="P50" i="4"/>
  <c r="O40" i="4"/>
  <c r="N40" i="4"/>
  <c r="M40" i="4"/>
  <c r="L40" i="4"/>
  <c r="K40" i="4"/>
  <c r="J40" i="4"/>
  <c r="I40" i="4"/>
  <c r="H40" i="4"/>
  <c r="G40" i="4"/>
  <c r="F40" i="4"/>
  <c r="E40" i="4"/>
  <c r="D40" i="4"/>
  <c r="P40" i="4" s="1"/>
  <c r="P39" i="4"/>
  <c r="P38" i="4"/>
  <c r="O34" i="4"/>
  <c r="N34" i="4"/>
  <c r="M34" i="4"/>
  <c r="L34" i="4"/>
  <c r="H34" i="4"/>
  <c r="F34" i="4"/>
  <c r="E34" i="4"/>
  <c r="D34" i="4"/>
  <c r="K33" i="4"/>
  <c r="K34" i="4" s="1"/>
  <c r="J33" i="4"/>
  <c r="J34" i="4" s="1"/>
  <c r="I33" i="4"/>
  <c r="I34" i="4" s="1"/>
  <c r="G33" i="4"/>
  <c r="P32" i="4"/>
  <c r="O28" i="4"/>
  <c r="M28" i="4"/>
  <c r="L28" i="4"/>
  <c r="K28" i="4"/>
  <c r="J28" i="4"/>
  <c r="I28" i="4"/>
  <c r="H28" i="4"/>
  <c r="F28" i="4"/>
  <c r="D28" i="4"/>
  <c r="N27" i="4"/>
  <c r="N28" i="4" s="1"/>
  <c r="G27" i="4"/>
  <c r="P26" i="4"/>
  <c r="N22" i="4"/>
  <c r="M22" i="4"/>
  <c r="L22" i="4"/>
  <c r="K22" i="4"/>
  <c r="I22" i="4"/>
  <c r="H22" i="4"/>
  <c r="G22" i="4"/>
  <c r="F22" i="4"/>
  <c r="E22" i="4"/>
  <c r="D22" i="4"/>
  <c r="P21" i="4"/>
  <c r="P20" i="4"/>
  <c r="P22" i="4" s="1"/>
  <c r="O15" i="4"/>
  <c r="N15" i="4"/>
  <c r="M15" i="4"/>
  <c r="L15" i="4"/>
  <c r="K15" i="4"/>
  <c r="J15" i="4"/>
  <c r="I15" i="4"/>
  <c r="H15" i="4"/>
  <c r="G15" i="4"/>
  <c r="F15" i="4"/>
  <c r="E15" i="4"/>
  <c r="D15" i="4"/>
  <c r="P14" i="4"/>
  <c r="P13" i="4"/>
  <c r="P15" i="4" s="1"/>
  <c r="O9" i="4"/>
  <c r="N9" i="4"/>
  <c r="M9" i="4"/>
  <c r="L9" i="4"/>
  <c r="K9" i="4"/>
  <c r="J9" i="4"/>
  <c r="I9" i="4"/>
  <c r="H9" i="4"/>
  <c r="G9" i="4"/>
  <c r="F9" i="4"/>
  <c r="E9" i="4"/>
  <c r="D9" i="4"/>
  <c r="P8" i="4"/>
  <c r="P7" i="4"/>
  <c r="P9" i="4" s="1"/>
  <c r="G28" i="4" l="1"/>
  <c r="P27" i="4"/>
  <c r="P28" i="4" s="1"/>
  <c r="G34" i="4"/>
  <c r="P33" i="4"/>
  <c r="P34" i="4" s="1"/>
  <c r="F64" i="4"/>
  <c r="P63" i="4"/>
  <c r="P64" i="4"/>
  <c r="D70" i="4"/>
  <c r="P70" i="4" s="1"/>
  <c r="P69" i="4"/>
  <c r="D77" i="4"/>
  <c r="P77" i="4" s="1"/>
  <c r="P76" i="4"/>
  <c r="D83" i="4"/>
  <c r="P83" i="4" s="1"/>
  <c r="P82" i="4"/>
  <c r="D93" i="4"/>
  <c r="P92" i="4"/>
  <c r="P93" i="4" s="1"/>
  <c r="D111" i="4"/>
  <c r="P111" i="4" s="1"/>
  <c r="P110" i="4"/>
  <c r="F144" i="4"/>
  <c r="P143" i="4"/>
  <c r="P144" i="4"/>
  <c r="B10" i="6"/>
  <c r="N10" i="6" s="1"/>
  <c r="N6" i="6"/>
  <c r="B19" i="6"/>
  <c r="N14" i="6"/>
  <c r="N19" i="6" s="1"/>
  <c r="B36" i="6"/>
  <c r="N36" i="6" s="1"/>
  <c r="N32" i="6"/>
  <c r="D58" i="11"/>
  <c r="O56" i="11"/>
  <c r="O58" i="11"/>
</calcChain>
</file>

<file path=xl/sharedStrings.xml><?xml version="1.0" encoding="utf-8"?>
<sst xmlns="http://schemas.openxmlformats.org/spreadsheetml/2006/main" count="719" uniqueCount="46">
  <si>
    <t>ANO</t>
  </si>
  <si>
    <t>VISITANTES</t>
  </si>
  <si>
    <t>JAN</t>
  </si>
  <si>
    <t>FEV</t>
  </si>
  <si>
    <t>MAR</t>
  </si>
  <si>
    <t>ABR</t>
  </si>
  <si>
    <t>MAI</t>
  </si>
  <si>
    <t>JUN</t>
  </si>
  <si>
    <t>JUL</t>
  </si>
  <si>
    <t xml:space="preserve">AGO </t>
  </si>
  <si>
    <t xml:space="preserve">SET </t>
  </si>
  <si>
    <t>OUT</t>
  </si>
  <si>
    <t>NOV</t>
  </si>
  <si>
    <t>DEZ</t>
  </si>
  <si>
    <t>TOTAL</t>
  </si>
  <si>
    <t>NACIONAIS</t>
  </si>
  <si>
    <t>ESTRANGEIROS</t>
  </si>
  <si>
    <t>Fonte: Itaipu Binacional - Lado Brasileiro</t>
  </si>
  <si>
    <t>SET *</t>
  </si>
  <si>
    <t>* Visitas Suspensas de 12 a 30/09/2001.</t>
  </si>
  <si>
    <t>SET</t>
  </si>
  <si>
    <t xml:space="preserve"> </t>
  </si>
  <si>
    <t>VISITANTES - 2017</t>
  </si>
  <si>
    <t>BRASILEIROS</t>
  </si>
  <si>
    <t>MERCOSUL</t>
  </si>
  <si>
    <t>MORADORES</t>
  </si>
  <si>
    <t>VISITANTES - 2018</t>
  </si>
  <si>
    <t>Tripulantes(Isentos)</t>
  </si>
  <si>
    <t>VISITANTES - 2019</t>
  </si>
  <si>
    <t>VISITANTES - 2020</t>
  </si>
  <si>
    <t>Moradores</t>
  </si>
  <si>
    <t>VISITANTES - 2021</t>
  </si>
  <si>
    <t>FEV **</t>
  </si>
  <si>
    <t>MAI**</t>
  </si>
  <si>
    <t>JUN**</t>
  </si>
  <si>
    <t>JUL**</t>
  </si>
  <si>
    <t>AGO**</t>
  </si>
  <si>
    <t>SET **</t>
  </si>
  <si>
    <t>OUT**</t>
  </si>
  <si>
    <t>NOV**</t>
  </si>
  <si>
    <t>...</t>
  </si>
  <si>
    <t xml:space="preserve">FEV </t>
  </si>
  <si>
    <t>AGO</t>
  </si>
  <si>
    <t>Fonte:Ecomuseu</t>
  </si>
  <si>
    <t>Fonte: PTI</t>
  </si>
  <si>
    <t>(...)Fechado para reforma.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</si>
</sst>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[Red]#,##0"/>
    <numFmt numFmtId="165" formatCode="#,##0_ ;[Red]\-#,##0\ "/>
  </numFmts>
  <fonts count="6">
    <font>
      <sz val="10"/>
      <color rgb="FF000000"/>
      <name val="Arial"/>
    </font>
    <font>
      <sz val="10"/>
      <color theme="1"/>
      <name val="Calibri"/>
    </font>
    <font>
      <b/>
      <sz val="10"/>
      <color theme="1"/>
      <name val="Calibri"/>
    </font>
    <font>
      <sz val="10"/>
      <name val="Arial"/>
    </font>
    <font>
      <b/>
      <sz val="12"/>
      <color rgb="FF000000"/>
      <name val="Calibri"/>
    </font>
    <font>
      <sz val="8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3" fontId="1" fillId="0" borderId="1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3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readingOrder="2"/>
    </xf>
    <xf numFmtId="3" fontId="1" fillId="2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3" fontId="1" fillId="0" borderId="1" xfId="0" applyNumberFormat="1" applyFont="1" applyBorder="1"/>
    <xf numFmtId="3" fontId="1" fillId="0" borderId="1" xfId="0" applyNumberFormat="1" applyFont="1" applyBorder="1" applyAlignment="1">
      <alignment horizontal="right"/>
    </xf>
    <xf numFmtId="3" fontId="2" fillId="0" borderId="1" xfId="0" applyNumberFormat="1" applyFont="1" applyBorder="1"/>
    <xf numFmtId="3" fontId="1" fillId="0" borderId="0" xfId="0" applyNumberFormat="1" applyFont="1"/>
    <xf numFmtId="3" fontId="2" fillId="0" borderId="0" xfId="0" applyNumberFormat="1" applyFont="1" applyAlignment="1">
      <alignment horizontal="right"/>
    </xf>
    <xf numFmtId="3" fontId="2" fillId="0" borderId="0" xfId="0" applyNumberFormat="1" applyFont="1"/>
    <xf numFmtId="0" fontId="2" fillId="0" borderId="0" xfId="0" applyFont="1" applyAlignment="1">
      <alignment horizontal="left"/>
    </xf>
    <xf numFmtId="0" fontId="5" fillId="0" borderId="0" xfId="0" applyFont="1"/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right" readingOrder="2"/>
    </xf>
    <xf numFmtId="3" fontId="1" fillId="3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 readingOrder="2"/>
    </xf>
    <xf numFmtId="0" fontId="5" fillId="0" borderId="4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1" fillId="0" borderId="3" xfId="0" applyFont="1" applyBorder="1"/>
    <xf numFmtId="0" fontId="1" fillId="0" borderId="5" xfId="0" applyFont="1" applyBorder="1"/>
    <xf numFmtId="3" fontId="1" fillId="0" borderId="5" xfId="0" applyNumberFormat="1" applyFont="1" applyBorder="1" applyAlignment="1">
      <alignment horizontal="center"/>
    </xf>
    <xf numFmtId="3" fontId="1" fillId="2" borderId="5" xfId="0" applyNumberFormat="1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165" fontId="2" fillId="0" borderId="5" xfId="0" applyNumberFormat="1" applyFont="1" applyBorder="1" applyAlignment="1">
      <alignment horizontal="center"/>
    </xf>
    <xf numFmtId="0" fontId="0" fillId="0" borderId="0" xfId="0" applyAlignment="1"/>
    <xf numFmtId="3" fontId="1" fillId="0" borderId="6" xfId="0" applyNumberFormat="1" applyFont="1" applyBorder="1" applyAlignment="1">
      <alignment horizontal="center"/>
    </xf>
    <xf numFmtId="3" fontId="1" fillId="3" borderId="6" xfId="0" applyNumberFormat="1" applyFont="1" applyFill="1" applyBorder="1" applyAlignment="1">
      <alignment horizontal="center"/>
    </xf>
    <xf numFmtId="0" fontId="3" fillId="0" borderId="4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1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0</xdr:row>
      <xdr:rowOff>-19050</xdr:rowOff>
    </xdr:from>
    <xdr:ext cx="3667125" cy="57150"/>
    <xdr:sp macro="" textlink="">
      <xdr:nvSpPr>
        <xdr:cNvPr id="21" name="Shape 21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/>
      </xdr:nvSpPr>
      <xdr:spPr>
        <a:xfrm>
          <a:off x="3517200" y="3756188"/>
          <a:ext cx="3657600" cy="476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000"/>
            <a:buFont typeface="Arial"/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Nota: (*) Visitação suspensa por 20 dias.</a:t>
          </a:r>
          <a:endParaRPr sz="1400"/>
        </a:p>
      </xdr:txBody>
    </xdr:sp>
    <xdr:clientData fLocksWithSheet="0"/>
  </xdr:oneCellAnchor>
  <xdr:oneCellAnchor>
    <xdr:from>
      <xdr:col>1</xdr:col>
      <xdr:colOff>47625</xdr:colOff>
      <xdr:row>0</xdr:row>
      <xdr:rowOff>-19050</xdr:rowOff>
    </xdr:from>
    <xdr:ext cx="4381500" cy="57150"/>
    <xdr:sp macro="" textlink="">
      <xdr:nvSpPr>
        <xdr:cNvPr id="22" name="Shape 22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/>
      </xdr:nvSpPr>
      <xdr:spPr>
        <a:xfrm>
          <a:off x="3160013" y="3756188"/>
          <a:ext cx="4371975" cy="476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000"/>
            <a:buFont typeface="Arial"/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Fonte: Itaipu Binacional - Lado Brasileiro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47625</xdr:rowOff>
    </xdr:from>
    <xdr:ext cx="8134350" cy="723900"/>
    <xdr:sp macro="" textlink="">
      <xdr:nvSpPr>
        <xdr:cNvPr id="23" name="Shape 23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/>
      </xdr:nvSpPr>
      <xdr:spPr>
        <a:xfrm>
          <a:off x="1283588" y="3422813"/>
          <a:ext cx="8124825" cy="714375"/>
        </a:xfrm>
        <a:prstGeom prst="rect">
          <a:avLst/>
        </a:prstGeom>
        <a:solidFill>
          <a:srgbClr val="646464">
            <a:alpha val="73725"/>
          </a:srgbClr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200"/>
            <a:buFont typeface="Arial"/>
            <a:buNone/>
          </a:pPr>
          <a:r>
            <a:rPr lang="en-US" sz="1200" b="1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SECRETARIA MUNICIPAL DE TURISMO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200"/>
            <a:buFont typeface="Arial"/>
            <a:buNone/>
          </a:pPr>
          <a:r>
            <a:rPr lang="en-US" sz="1200" b="1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ESTATÍSTICAS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200"/>
            <a:buFont typeface="Arial"/>
            <a:buNone/>
          </a:pPr>
          <a:r>
            <a:rPr lang="en-US" sz="1200" b="1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VISITAÇÃO ITAIPU BINACIONAL - 2000/2005</a:t>
          </a:r>
          <a:endParaRPr sz="1400"/>
        </a:p>
      </xdr:txBody>
    </xdr:sp>
    <xdr:clientData fLocksWithSheet="0"/>
  </xdr:oneCellAnchor>
  <xdr:oneCellAnchor>
    <xdr:from>
      <xdr:col>1</xdr:col>
      <xdr:colOff>38100</xdr:colOff>
      <xdr:row>15</xdr:row>
      <xdr:rowOff>0</xdr:rowOff>
    </xdr:from>
    <xdr:ext cx="4391025" cy="180975"/>
    <xdr:sp macro="" textlink="">
      <xdr:nvSpPr>
        <xdr:cNvPr id="24" name="Shape 24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/>
      </xdr:nvSpPr>
      <xdr:spPr>
        <a:xfrm>
          <a:off x="3155250" y="3694275"/>
          <a:ext cx="4381500" cy="1714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000"/>
            <a:buFont typeface="Arial"/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Fonte: Itaipu Binacional - Lado Brasileiro</a:t>
          </a:r>
          <a:endParaRPr sz="1400"/>
        </a:p>
      </xdr:txBody>
    </xdr:sp>
    <xdr:clientData fLocksWithSheet="0"/>
  </xdr:oneCellAnchor>
  <xdr:oneCellAnchor>
    <xdr:from>
      <xdr:col>0</xdr:col>
      <xdr:colOff>161925</xdr:colOff>
      <xdr:row>43</xdr:row>
      <xdr:rowOff>0</xdr:rowOff>
    </xdr:from>
    <xdr:ext cx="8153400" cy="638175"/>
    <xdr:sp macro="" textlink="">
      <xdr:nvSpPr>
        <xdr:cNvPr id="25" name="Shape 25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/>
      </xdr:nvSpPr>
      <xdr:spPr>
        <a:xfrm>
          <a:off x="1274063" y="3465675"/>
          <a:ext cx="8143875" cy="628650"/>
        </a:xfrm>
        <a:prstGeom prst="rect">
          <a:avLst/>
        </a:prstGeom>
        <a:solidFill>
          <a:srgbClr val="646464">
            <a:alpha val="66666"/>
          </a:srgbClr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200"/>
            <a:buFont typeface="Arial"/>
            <a:buNone/>
          </a:pPr>
          <a:r>
            <a:rPr lang="en-US" sz="1200" b="1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SECRETARIA MUNICIPAL DE TURISMO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200"/>
            <a:buFont typeface="Arial"/>
            <a:buNone/>
          </a:pPr>
          <a:r>
            <a:rPr lang="en-US" sz="1200" b="1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ESTATÍSTICAS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200"/>
            <a:buFont typeface="Arial"/>
            <a:buNone/>
          </a:pPr>
          <a:r>
            <a:rPr lang="en-US" sz="1200" b="1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VISITAÇÃO ITAIPU BINACIONAL - 2006/2011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85</xdr:row>
      <xdr:rowOff>0</xdr:rowOff>
    </xdr:from>
    <xdr:ext cx="8143875" cy="638175"/>
    <xdr:sp macro="" textlink="">
      <xdr:nvSpPr>
        <xdr:cNvPr id="26" name="Shape 26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/>
      </xdr:nvSpPr>
      <xdr:spPr>
        <a:xfrm>
          <a:off x="1278825" y="3465675"/>
          <a:ext cx="8134350" cy="628650"/>
        </a:xfrm>
        <a:prstGeom prst="rect">
          <a:avLst/>
        </a:prstGeom>
        <a:solidFill>
          <a:srgbClr val="646464">
            <a:alpha val="66666"/>
          </a:srgbClr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200"/>
            <a:buFont typeface="Arial"/>
            <a:buNone/>
          </a:pPr>
          <a:r>
            <a:rPr lang="en-US" sz="1200" b="1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SECRETARIA MUNICIPAL DE TURISMO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200"/>
            <a:buFont typeface="Arial"/>
            <a:buNone/>
          </a:pPr>
          <a:r>
            <a:rPr lang="en-US" sz="1200" b="1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ESTATÍSTICAS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200"/>
            <a:buFont typeface="Arial"/>
            <a:buNone/>
          </a:pPr>
          <a:r>
            <a:rPr lang="en-US" sz="1200" b="1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VISITAÇÃO ITAIPU BINACIONAL - 2012/2017</a:t>
          </a:r>
          <a:endParaRPr sz="1400"/>
        </a:p>
      </xdr:txBody>
    </xdr:sp>
    <xdr:clientData fLocksWithSheet="0"/>
  </xdr:oneCellAnchor>
  <xdr:oneCellAnchor>
    <xdr:from>
      <xdr:col>0</xdr:col>
      <xdr:colOff>304800</xdr:colOff>
      <xdr:row>124</xdr:row>
      <xdr:rowOff>76200</xdr:rowOff>
    </xdr:from>
    <xdr:ext cx="8172450" cy="657225"/>
    <xdr:sp macro="" textlink="">
      <xdr:nvSpPr>
        <xdr:cNvPr id="27" name="Shape 27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/>
      </xdr:nvSpPr>
      <xdr:spPr>
        <a:xfrm>
          <a:off x="1264538" y="3456150"/>
          <a:ext cx="8162925" cy="647700"/>
        </a:xfrm>
        <a:prstGeom prst="rect">
          <a:avLst/>
        </a:prstGeom>
        <a:solidFill>
          <a:srgbClr val="9FC5E8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200"/>
            <a:buFont typeface="Arial"/>
            <a:buNone/>
          </a:pPr>
          <a:r>
            <a:rPr lang="en-US" sz="1200" b="1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SECRETARIA MUNICIPAL DE TURISMO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200"/>
            <a:buFont typeface="Arial"/>
            <a:buNone/>
          </a:pPr>
          <a:r>
            <a:rPr lang="en-US" sz="1200" b="1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VISITAÇÃO ITAIPU BINACIONAL - 2018/2020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448675" cy="847725"/>
    <xdr:sp macro="" textlink="">
      <xdr:nvSpPr>
        <xdr:cNvPr id="29" name="Shape 29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/>
      </xdr:nvSpPr>
      <xdr:spPr>
        <a:xfrm>
          <a:off x="1126425" y="3360900"/>
          <a:ext cx="8439150" cy="838200"/>
        </a:xfrm>
        <a:prstGeom prst="rect">
          <a:avLst/>
        </a:prstGeom>
        <a:solidFill>
          <a:srgbClr val="F1C232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200"/>
            <a:buFont typeface="Arial"/>
            <a:buNone/>
          </a:pPr>
          <a:r>
            <a:rPr lang="en-US" sz="1200" b="1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SECRETARIA MUNICIPAL DE TURISMO -  VISITAÇÃO MARCO DAS AMÉRICAS 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200"/>
            <a:buFont typeface="Arial"/>
            <a:buNone/>
          </a:pPr>
          <a:r>
            <a:rPr lang="en-US" sz="1200" b="1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2017/202</a:t>
          </a:r>
          <a:r>
            <a:rPr lang="en-US" sz="1200" b="1"/>
            <a:t>1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39</xdr:row>
      <xdr:rowOff>19050</xdr:rowOff>
    </xdr:from>
    <xdr:ext cx="8153400" cy="285750"/>
    <xdr:sp macro="" textlink="">
      <xdr:nvSpPr>
        <xdr:cNvPr id="34" name="Shape 34">
          <a:extLst>
            <a:ext uri="{FF2B5EF4-FFF2-40B4-BE49-F238E27FC236}">
              <a16:creationId xmlns:a16="http://schemas.microsoft.com/office/drawing/2014/main" id="{00000000-0008-0000-0A00-000022000000}"/>
            </a:ext>
          </a:extLst>
        </xdr:cNvPr>
        <xdr:cNvSpPr/>
      </xdr:nvSpPr>
      <xdr:spPr>
        <a:xfrm>
          <a:off x="1274063" y="3641888"/>
          <a:ext cx="8143875" cy="2762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000"/>
            <a:buFont typeface="Arial"/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Nota: (**) Fechado 17 dias para reforma / Em 2002, fechado de maio  a novembro devido a reformas. Reinaugurado em 12/12/02.</a:t>
          </a:r>
          <a:endParaRPr sz="1400"/>
        </a:p>
      </xdr:txBody>
    </xdr:sp>
    <xdr:clientData fLocksWithSheet="0"/>
  </xdr:oneCellAnchor>
  <xdr:oneCellAnchor>
    <xdr:from>
      <xdr:col>0</xdr:col>
      <xdr:colOff>9525</xdr:colOff>
      <xdr:row>38</xdr:row>
      <xdr:rowOff>9525</xdr:rowOff>
    </xdr:from>
    <xdr:ext cx="2181225" cy="180975"/>
    <xdr:sp macro="" textlink="">
      <xdr:nvSpPr>
        <xdr:cNvPr id="35" name="Shape 35">
          <a:extLst>
            <a:ext uri="{FF2B5EF4-FFF2-40B4-BE49-F238E27FC236}">
              <a16:creationId xmlns:a16="http://schemas.microsoft.com/office/drawing/2014/main" id="{00000000-0008-0000-0A00-000023000000}"/>
            </a:ext>
          </a:extLst>
        </xdr:cNvPr>
        <xdr:cNvSpPr/>
      </xdr:nvSpPr>
      <xdr:spPr>
        <a:xfrm>
          <a:off x="4260150" y="3694275"/>
          <a:ext cx="2171700" cy="1714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000"/>
            <a:buFont typeface="Arial"/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Fonte: Itaipu Binacional - Lado Brasileiro</a:t>
          </a:r>
          <a:endParaRPr sz="1400"/>
        </a:p>
      </xdr:txBody>
    </xdr:sp>
    <xdr:clientData fLocksWithSheet="0"/>
  </xdr:oneCellAnchor>
  <xdr:oneCellAnchor>
    <xdr:from>
      <xdr:col>0</xdr:col>
      <xdr:colOff>57150</xdr:colOff>
      <xdr:row>0</xdr:row>
      <xdr:rowOff>76200</xdr:rowOff>
    </xdr:from>
    <xdr:ext cx="8401050" cy="962025"/>
    <xdr:sp macro="" textlink="">
      <xdr:nvSpPr>
        <xdr:cNvPr id="36" name="Shape 36">
          <a:extLst>
            <a:ext uri="{FF2B5EF4-FFF2-40B4-BE49-F238E27FC236}">
              <a16:creationId xmlns:a16="http://schemas.microsoft.com/office/drawing/2014/main" id="{00000000-0008-0000-0A00-000024000000}"/>
            </a:ext>
          </a:extLst>
        </xdr:cNvPr>
        <xdr:cNvSpPr/>
      </xdr:nvSpPr>
      <xdr:spPr>
        <a:xfrm>
          <a:off x="1150238" y="3303750"/>
          <a:ext cx="8391525" cy="952500"/>
        </a:xfrm>
        <a:prstGeom prst="rect">
          <a:avLst/>
        </a:prstGeom>
        <a:solidFill>
          <a:srgbClr val="646464">
            <a:alpha val="69019"/>
          </a:srgbClr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200"/>
            <a:buFont typeface="Arial"/>
            <a:buNone/>
          </a:pPr>
          <a:r>
            <a:rPr lang="en-US" sz="1200" b="1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SECRETARIA MUNICIPAL DE TURISMO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200"/>
            <a:buFont typeface="Arial"/>
            <a:buNone/>
          </a:pPr>
          <a:r>
            <a:rPr lang="en-US" sz="1200" b="1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ESTATÍSTICAS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200"/>
            <a:buFont typeface="Arial"/>
            <a:buNone/>
          </a:pPr>
          <a:r>
            <a:rPr lang="en-US" sz="1200" b="1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VISITAÇÃO ECOMUSEU DE ITAIPU - 2001/2005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41</xdr:row>
      <xdr:rowOff>76200</xdr:rowOff>
    </xdr:from>
    <xdr:ext cx="8515350" cy="857250"/>
    <xdr:sp macro="" textlink="">
      <xdr:nvSpPr>
        <xdr:cNvPr id="37" name="Shape 37">
          <a:extLst>
            <a:ext uri="{FF2B5EF4-FFF2-40B4-BE49-F238E27FC236}">
              <a16:creationId xmlns:a16="http://schemas.microsoft.com/office/drawing/2014/main" id="{00000000-0008-0000-0A00-000025000000}"/>
            </a:ext>
          </a:extLst>
        </xdr:cNvPr>
        <xdr:cNvSpPr/>
      </xdr:nvSpPr>
      <xdr:spPr>
        <a:xfrm>
          <a:off x="1093088" y="3356138"/>
          <a:ext cx="8505825" cy="847725"/>
        </a:xfrm>
        <a:prstGeom prst="rect">
          <a:avLst/>
        </a:prstGeom>
        <a:solidFill>
          <a:srgbClr val="646464">
            <a:alpha val="69019"/>
          </a:srgbClr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200"/>
            <a:buFont typeface="Arial"/>
            <a:buNone/>
          </a:pPr>
          <a:r>
            <a:rPr lang="en-US" sz="1200" b="1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SECRETARIA MUNICIPAL DE TURISMO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200"/>
            <a:buFont typeface="Arial"/>
            <a:buNone/>
          </a:pPr>
          <a:r>
            <a:rPr lang="en-US" sz="1200" b="1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ESTATÍSTICAS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200"/>
            <a:buFont typeface="Arial"/>
            <a:buNone/>
          </a:pPr>
          <a:r>
            <a:rPr lang="en-US" sz="1200" b="1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VISITAÇÃO ECOMUSEU DE ITAIPU - 2006/2010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A29" workbookViewId="0"/>
  </sheetViews>
  <sheetFormatPr defaultColWidth="14.42578125" defaultRowHeight="15" customHeight="1"/>
  <cols>
    <col min="1" max="1" width="5" customWidth="1"/>
    <col min="2" max="2" width="5.5703125" customWidth="1"/>
    <col min="3" max="3" width="16" customWidth="1"/>
    <col min="4" max="15" width="7.7109375" customWidth="1"/>
    <col min="16" max="16" width="8.140625" customWidth="1"/>
    <col min="17" max="26" width="8" customWidth="1"/>
  </cols>
  <sheetData>
    <row r="1" spans="1:26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>
      <c r="A6" s="1"/>
      <c r="B6" s="2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  <c r="K6" s="2" t="s">
        <v>9</v>
      </c>
      <c r="L6" s="2" t="s">
        <v>10</v>
      </c>
      <c r="M6" s="2" t="s">
        <v>11</v>
      </c>
      <c r="N6" s="2" t="s">
        <v>12</v>
      </c>
      <c r="O6" s="2" t="s">
        <v>13</v>
      </c>
      <c r="P6" s="2" t="s">
        <v>14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A7" s="1"/>
      <c r="B7" s="3"/>
      <c r="C7" s="3" t="s">
        <v>15</v>
      </c>
      <c r="D7" s="14">
        <v>23665</v>
      </c>
      <c r="E7" s="14">
        <v>8856</v>
      </c>
      <c r="F7" s="14">
        <v>6698</v>
      </c>
      <c r="G7" s="14">
        <v>9260</v>
      </c>
      <c r="H7" s="14">
        <v>6329</v>
      </c>
      <c r="I7" s="14">
        <v>7422</v>
      </c>
      <c r="J7" s="14">
        <v>14136</v>
      </c>
      <c r="K7" s="14">
        <v>7696</v>
      </c>
      <c r="L7" s="15">
        <v>13315</v>
      </c>
      <c r="M7" s="14">
        <v>13440</v>
      </c>
      <c r="N7" s="14">
        <v>17271</v>
      </c>
      <c r="O7" s="14">
        <v>16400</v>
      </c>
      <c r="P7" s="14">
        <f t="shared" ref="P7:P8" si="0">SUM(D7:O7)</f>
        <v>144488</v>
      </c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1"/>
      <c r="B8" s="2">
        <v>2000</v>
      </c>
      <c r="C8" s="3" t="s">
        <v>16</v>
      </c>
      <c r="D8" s="14">
        <v>21318</v>
      </c>
      <c r="E8" s="14">
        <v>20588</v>
      </c>
      <c r="F8" s="14">
        <v>14318</v>
      </c>
      <c r="G8" s="14">
        <v>19736</v>
      </c>
      <c r="H8" s="14">
        <v>12084</v>
      </c>
      <c r="I8" s="14">
        <v>11247</v>
      </c>
      <c r="J8" s="14">
        <v>30914</v>
      </c>
      <c r="K8" s="14">
        <v>19478</v>
      </c>
      <c r="L8" s="14">
        <v>20928</v>
      </c>
      <c r="M8" s="14">
        <v>24205</v>
      </c>
      <c r="N8" s="14">
        <v>19118</v>
      </c>
      <c r="O8" s="14">
        <v>12149</v>
      </c>
      <c r="P8" s="14">
        <f t="shared" si="0"/>
        <v>226083</v>
      </c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1"/>
      <c r="B9" s="2"/>
      <c r="C9" s="3" t="s">
        <v>14</v>
      </c>
      <c r="D9" s="5">
        <f t="shared" ref="D9:P9" si="1">SUM(D7:D8)</f>
        <v>44983</v>
      </c>
      <c r="E9" s="5">
        <f t="shared" si="1"/>
        <v>29444</v>
      </c>
      <c r="F9" s="5">
        <f t="shared" si="1"/>
        <v>21016</v>
      </c>
      <c r="G9" s="5">
        <f t="shared" si="1"/>
        <v>28996</v>
      </c>
      <c r="H9" s="5">
        <f t="shared" si="1"/>
        <v>18413</v>
      </c>
      <c r="I9" s="5">
        <f t="shared" si="1"/>
        <v>18669</v>
      </c>
      <c r="J9" s="5">
        <f t="shared" si="1"/>
        <v>45050</v>
      </c>
      <c r="K9" s="5">
        <f t="shared" si="1"/>
        <v>27174</v>
      </c>
      <c r="L9" s="5">
        <f t="shared" si="1"/>
        <v>34243</v>
      </c>
      <c r="M9" s="5">
        <f t="shared" si="1"/>
        <v>37645</v>
      </c>
      <c r="N9" s="5">
        <f t="shared" si="1"/>
        <v>36389</v>
      </c>
      <c r="O9" s="5">
        <f t="shared" si="1"/>
        <v>28549</v>
      </c>
      <c r="P9" s="5">
        <f t="shared" si="1"/>
        <v>370571</v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1"/>
      <c r="B10" s="1" t="s">
        <v>17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1"/>
      <c r="B11" s="2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>
      <c r="A12" s="1"/>
      <c r="B12" s="2" t="s">
        <v>0</v>
      </c>
      <c r="C12" s="2" t="s">
        <v>1</v>
      </c>
      <c r="D12" s="2" t="s">
        <v>2</v>
      </c>
      <c r="E12" s="2" t="s">
        <v>3</v>
      </c>
      <c r="F12" s="2" t="s">
        <v>4</v>
      </c>
      <c r="G12" s="2" t="s">
        <v>5</v>
      </c>
      <c r="H12" s="2" t="s">
        <v>6</v>
      </c>
      <c r="I12" s="2" t="s">
        <v>7</v>
      </c>
      <c r="J12" s="2" t="s">
        <v>8</v>
      </c>
      <c r="K12" s="2" t="s">
        <v>9</v>
      </c>
      <c r="L12" s="2" t="s">
        <v>18</v>
      </c>
      <c r="M12" s="2" t="s">
        <v>11</v>
      </c>
      <c r="N12" s="2" t="s">
        <v>12</v>
      </c>
      <c r="O12" s="2" t="s">
        <v>13</v>
      </c>
      <c r="P12" s="2" t="s">
        <v>14</v>
      </c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>
      <c r="A13" s="1"/>
      <c r="B13" s="3"/>
      <c r="C13" s="3" t="s">
        <v>15</v>
      </c>
      <c r="D13" s="14">
        <v>30244</v>
      </c>
      <c r="E13" s="14">
        <v>8998</v>
      </c>
      <c r="F13" s="14">
        <v>6479</v>
      </c>
      <c r="G13" s="14">
        <v>8466</v>
      </c>
      <c r="H13" s="14">
        <v>5616</v>
      </c>
      <c r="I13" s="14">
        <v>8504</v>
      </c>
      <c r="J13" s="14">
        <v>17605</v>
      </c>
      <c r="K13" s="14">
        <v>8969</v>
      </c>
      <c r="L13" s="15">
        <v>5650</v>
      </c>
      <c r="M13" s="14">
        <v>13606</v>
      </c>
      <c r="N13" s="14">
        <v>17042</v>
      </c>
      <c r="O13" s="14">
        <v>11313</v>
      </c>
      <c r="P13" s="14">
        <f t="shared" ref="P13:P14" si="2">SUM(D13:O13)</f>
        <v>142492</v>
      </c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>
      <c r="A14" s="1"/>
      <c r="B14" s="2">
        <v>2001</v>
      </c>
      <c r="C14" s="3" t="s">
        <v>16</v>
      </c>
      <c r="D14" s="14">
        <v>26153</v>
      </c>
      <c r="E14" s="14">
        <v>17994</v>
      </c>
      <c r="F14" s="14">
        <v>14177</v>
      </c>
      <c r="G14" s="14">
        <v>17627</v>
      </c>
      <c r="H14" s="14">
        <v>11960</v>
      </c>
      <c r="I14" s="14">
        <v>10816</v>
      </c>
      <c r="J14" s="14">
        <v>29084</v>
      </c>
      <c r="K14" s="14">
        <v>21839</v>
      </c>
      <c r="L14" s="14">
        <v>5099</v>
      </c>
      <c r="M14" s="14">
        <v>18971</v>
      </c>
      <c r="N14" s="14">
        <v>14214</v>
      </c>
      <c r="O14" s="14">
        <v>9041</v>
      </c>
      <c r="P14" s="14">
        <f t="shared" si="2"/>
        <v>196975</v>
      </c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>
      <c r="A15" s="1"/>
      <c r="B15" s="2"/>
      <c r="C15" s="3" t="s">
        <v>14</v>
      </c>
      <c r="D15" s="5">
        <f t="shared" ref="D15:P15" si="3">SUM(D13:D14)</f>
        <v>56397</v>
      </c>
      <c r="E15" s="5">
        <f t="shared" si="3"/>
        <v>26992</v>
      </c>
      <c r="F15" s="5">
        <f t="shared" si="3"/>
        <v>20656</v>
      </c>
      <c r="G15" s="5">
        <f t="shared" si="3"/>
        <v>26093</v>
      </c>
      <c r="H15" s="5">
        <f t="shared" si="3"/>
        <v>17576</v>
      </c>
      <c r="I15" s="5">
        <f t="shared" si="3"/>
        <v>19320</v>
      </c>
      <c r="J15" s="5">
        <f t="shared" si="3"/>
        <v>46689</v>
      </c>
      <c r="K15" s="5">
        <f t="shared" si="3"/>
        <v>30808</v>
      </c>
      <c r="L15" s="5">
        <f t="shared" si="3"/>
        <v>10749</v>
      </c>
      <c r="M15" s="5">
        <f t="shared" si="3"/>
        <v>32577</v>
      </c>
      <c r="N15" s="5">
        <f t="shared" si="3"/>
        <v>31256</v>
      </c>
      <c r="O15" s="5">
        <f t="shared" si="3"/>
        <v>20354</v>
      </c>
      <c r="P15" s="5">
        <f t="shared" si="3"/>
        <v>339467</v>
      </c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1"/>
      <c r="B16" s="2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1"/>
      <c r="B17" s="1" t="s">
        <v>19</v>
      </c>
      <c r="C17" s="17"/>
      <c r="D17" s="1"/>
      <c r="E17" s="17"/>
      <c r="F17" s="1"/>
      <c r="G17" s="17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1"/>
      <c r="B18" s="1"/>
      <c r="C18" s="17"/>
      <c r="D18" s="1"/>
      <c r="E18" s="17"/>
      <c r="F18" s="1"/>
      <c r="G18" s="1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1"/>
      <c r="B19" s="2" t="s">
        <v>0</v>
      </c>
      <c r="C19" s="2" t="s">
        <v>1</v>
      </c>
      <c r="D19" s="2" t="s">
        <v>2</v>
      </c>
      <c r="E19" s="2" t="s">
        <v>3</v>
      </c>
      <c r="F19" s="2" t="s">
        <v>4</v>
      </c>
      <c r="G19" s="2" t="s">
        <v>5</v>
      </c>
      <c r="H19" s="2" t="s">
        <v>6</v>
      </c>
      <c r="I19" s="2" t="s">
        <v>7</v>
      </c>
      <c r="J19" s="2" t="s">
        <v>8</v>
      </c>
      <c r="K19" s="2" t="s">
        <v>9</v>
      </c>
      <c r="L19" s="2" t="s">
        <v>20</v>
      </c>
      <c r="M19" s="2" t="s">
        <v>11</v>
      </c>
      <c r="N19" s="2" t="s">
        <v>12</v>
      </c>
      <c r="O19" s="2" t="s">
        <v>13</v>
      </c>
      <c r="P19" s="2" t="s">
        <v>14</v>
      </c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1"/>
      <c r="B20" s="3"/>
      <c r="C20" s="3" t="s">
        <v>15</v>
      </c>
      <c r="D20" s="14">
        <v>21345</v>
      </c>
      <c r="E20" s="14">
        <v>9680</v>
      </c>
      <c r="F20" s="14">
        <v>7415</v>
      </c>
      <c r="G20" s="14">
        <v>6905</v>
      </c>
      <c r="H20" s="14">
        <v>9640</v>
      </c>
      <c r="I20" s="14">
        <v>9026</v>
      </c>
      <c r="J20" s="14">
        <v>17122</v>
      </c>
      <c r="K20" s="14">
        <v>8823</v>
      </c>
      <c r="L20" s="15">
        <v>10153</v>
      </c>
      <c r="M20" s="14">
        <v>12210</v>
      </c>
      <c r="N20" s="14">
        <v>16940</v>
      </c>
      <c r="O20" s="14">
        <v>16655</v>
      </c>
      <c r="P20" s="14">
        <f t="shared" ref="P20:P21" si="4">SUM(D20:O20)</f>
        <v>145914</v>
      </c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1"/>
      <c r="B21" s="2">
        <v>2002</v>
      </c>
      <c r="C21" s="3" t="s">
        <v>16</v>
      </c>
      <c r="D21" s="14">
        <v>13582</v>
      </c>
      <c r="E21" s="14">
        <v>12962</v>
      </c>
      <c r="F21" s="14">
        <v>16093</v>
      </c>
      <c r="G21" s="14">
        <v>9154</v>
      </c>
      <c r="H21" s="14">
        <v>7552</v>
      </c>
      <c r="I21" s="14">
        <v>6617</v>
      </c>
      <c r="J21" s="14">
        <v>24071</v>
      </c>
      <c r="K21" s="14">
        <v>16368</v>
      </c>
      <c r="L21" s="14">
        <v>15987</v>
      </c>
      <c r="M21" s="14">
        <v>17084</v>
      </c>
      <c r="N21" s="14">
        <v>13252</v>
      </c>
      <c r="O21" s="14">
        <v>9171</v>
      </c>
      <c r="P21" s="14">
        <f t="shared" si="4"/>
        <v>161893</v>
      </c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/>
      <c r="B22" s="2"/>
      <c r="C22" s="3" t="s">
        <v>14</v>
      </c>
      <c r="D22" s="5">
        <f t="shared" ref="D22:I22" si="5">SUM(D20:D21)</f>
        <v>34927</v>
      </c>
      <c r="E22" s="5">
        <f t="shared" si="5"/>
        <v>22642</v>
      </c>
      <c r="F22" s="5">
        <f t="shared" si="5"/>
        <v>23508</v>
      </c>
      <c r="G22" s="5">
        <f t="shared" si="5"/>
        <v>16059</v>
      </c>
      <c r="H22" s="5">
        <f t="shared" si="5"/>
        <v>17192</v>
      </c>
      <c r="I22" s="5">
        <f t="shared" si="5"/>
        <v>15643</v>
      </c>
      <c r="J22" s="5">
        <v>41193</v>
      </c>
      <c r="K22" s="5">
        <f t="shared" ref="K22:N22" si="6">SUM(K20:K21)</f>
        <v>25191</v>
      </c>
      <c r="L22" s="5">
        <f t="shared" si="6"/>
        <v>26140</v>
      </c>
      <c r="M22" s="5">
        <f t="shared" si="6"/>
        <v>29294</v>
      </c>
      <c r="N22" s="5">
        <f t="shared" si="6"/>
        <v>30192</v>
      </c>
      <c r="O22" s="5">
        <v>25826</v>
      </c>
      <c r="P22" s="5">
        <f>SUM(P20:P21)</f>
        <v>307807</v>
      </c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1"/>
      <c r="B23" s="1" t="s">
        <v>17</v>
      </c>
      <c r="C23" s="1"/>
      <c r="D23" s="1"/>
      <c r="E23" s="17"/>
      <c r="F23" s="1"/>
      <c r="G23" s="17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1"/>
      <c r="B24" s="1"/>
      <c r="C24" s="17"/>
      <c r="D24" s="17"/>
      <c r="E24" s="17"/>
      <c r="F24" s="1"/>
      <c r="G24" s="17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1"/>
      <c r="B25" s="2" t="s">
        <v>0</v>
      </c>
      <c r="C25" s="2" t="s">
        <v>1</v>
      </c>
      <c r="D25" s="2" t="s">
        <v>2</v>
      </c>
      <c r="E25" s="2" t="s">
        <v>3</v>
      </c>
      <c r="F25" s="2" t="s">
        <v>4</v>
      </c>
      <c r="G25" s="2" t="s">
        <v>5</v>
      </c>
      <c r="H25" s="2" t="s">
        <v>6</v>
      </c>
      <c r="I25" s="2" t="s">
        <v>7</v>
      </c>
      <c r="J25" s="2" t="s">
        <v>8</v>
      </c>
      <c r="K25" s="2" t="s">
        <v>9</v>
      </c>
      <c r="L25" s="2" t="s">
        <v>20</v>
      </c>
      <c r="M25" s="2" t="s">
        <v>11</v>
      </c>
      <c r="N25" s="2" t="s">
        <v>12</v>
      </c>
      <c r="O25" s="2" t="s">
        <v>13</v>
      </c>
      <c r="P25" s="2" t="s">
        <v>14</v>
      </c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1"/>
      <c r="B26" s="3"/>
      <c r="C26" s="3" t="s">
        <v>15</v>
      </c>
      <c r="D26" s="14">
        <v>25387</v>
      </c>
      <c r="E26" s="14">
        <v>8673</v>
      </c>
      <c r="F26" s="14">
        <v>7461</v>
      </c>
      <c r="G26" s="14">
        <v>11982</v>
      </c>
      <c r="H26" s="14">
        <v>7203</v>
      </c>
      <c r="I26" s="14">
        <v>8288</v>
      </c>
      <c r="J26" s="14">
        <v>17241</v>
      </c>
      <c r="K26" s="14">
        <v>8442</v>
      </c>
      <c r="L26" s="15">
        <v>10045</v>
      </c>
      <c r="M26" s="14">
        <v>15871</v>
      </c>
      <c r="N26" s="14">
        <v>14096</v>
      </c>
      <c r="O26" s="14">
        <v>18815</v>
      </c>
      <c r="P26" s="14">
        <f t="shared" ref="P26:P27" si="7">SUM(D26:O26)</f>
        <v>153504</v>
      </c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1"/>
      <c r="B27" s="2">
        <v>2003</v>
      </c>
      <c r="C27" s="3" t="s">
        <v>16</v>
      </c>
      <c r="D27" s="14">
        <v>17351</v>
      </c>
      <c r="E27" s="14">
        <v>18396</v>
      </c>
      <c r="F27" s="14">
        <v>13183</v>
      </c>
      <c r="G27" s="14">
        <f>30380-11982</f>
        <v>18398</v>
      </c>
      <c r="H27" s="14">
        <v>11026</v>
      </c>
      <c r="I27" s="14">
        <v>11042</v>
      </c>
      <c r="J27" s="14">
        <v>34451</v>
      </c>
      <c r="K27" s="14">
        <v>23367</v>
      </c>
      <c r="L27" s="14">
        <v>22850</v>
      </c>
      <c r="M27" s="14">
        <v>24336</v>
      </c>
      <c r="N27" s="14">
        <f>32370-14096</f>
        <v>18274</v>
      </c>
      <c r="O27" s="14">
        <v>12172</v>
      </c>
      <c r="P27" s="14">
        <f t="shared" si="7"/>
        <v>224846</v>
      </c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"/>
      <c r="B28" s="2"/>
      <c r="C28" s="3" t="s">
        <v>14</v>
      </c>
      <c r="D28" s="5">
        <f>SUM(D26:D27)</f>
        <v>42738</v>
      </c>
      <c r="E28" s="5">
        <v>27069</v>
      </c>
      <c r="F28" s="5">
        <f t="shared" ref="F28:P28" si="8">SUM(F26:F27)</f>
        <v>20644</v>
      </c>
      <c r="G28" s="5">
        <f t="shared" si="8"/>
        <v>30380</v>
      </c>
      <c r="H28" s="5">
        <f t="shared" si="8"/>
        <v>18229</v>
      </c>
      <c r="I28" s="5">
        <f t="shared" si="8"/>
        <v>19330</v>
      </c>
      <c r="J28" s="5">
        <f t="shared" si="8"/>
        <v>51692</v>
      </c>
      <c r="K28" s="5">
        <f t="shared" si="8"/>
        <v>31809</v>
      </c>
      <c r="L28" s="5">
        <f t="shared" si="8"/>
        <v>32895</v>
      </c>
      <c r="M28" s="5">
        <f t="shared" si="8"/>
        <v>40207</v>
      </c>
      <c r="N28" s="5">
        <f t="shared" si="8"/>
        <v>32370</v>
      </c>
      <c r="O28" s="5">
        <f t="shared" si="8"/>
        <v>30987</v>
      </c>
      <c r="P28" s="5">
        <f t="shared" si="8"/>
        <v>378350</v>
      </c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"/>
      <c r="B29" s="1" t="s">
        <v>17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/>
      <c r="B31" s="2" t="s">
        <v>0</v>
      </c>
      <c r="C31" s="2" t="s">
        <v>1</v>
      </c>
      <c r="D31" s="2" t="s">
        <v>2</v>
      </c>
      <c r="E31" s="2" t="s">
        <v>3</v>
      </c>
      <c r="F31" s="2" t="s">
        <v>4</v>
      </c>
      <c r="G31" s="2" t="s">
        <v>5</v>
      </c>
      <c r="H31" s="2" t="s">
        <v>6</v>
      </c>
      <c r="I31" s="2" t="s">
        <v>7</v>
      </c>
      <c r="J31" s="2" t="s">
        <v>8</v>
      </c>
      <c r="K31" s="2" t="s">
        <v>9</v>
      </c>
      <c r="L31" s="2" t="s">
        <v>20</v>
      </c>
      <c r="M31" s="2" t="s">
        <v>11</v>
      </c>
      <c r="N31" s="2" t="s">
        <v>12</v>
      </c>
      <c r="O31" s="2" t="s">
        <v>13</v>
      </c>
      <c r="P31" s="2" t="s">
        <v>14</v>
      </c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/>
      <c r="B32" s="3"/>
      <c r="C32" s="3" t="s">
        <v>15</v>
      </c>
      <c r="D32" s="14">
        <v>29426</v>
      </c>
      <c r="E32" s="14">
        <v>12378</v>
      </c>
      <c r="F32" s="14">
        <v>7086</v>
      </c>
      <c r="G32" s="14">
        <v>11349</v>
      </c>
      <c r="H32" s="14">
        <v>8094</v>
      </c>
      <c r="I32" s="14">
        <v>11249</v>
      </c>
      <c r="J32" s="14">
        <v>23721</v>
      </c>
      <c r="K32" s="14">
        <v>13339</v>
      </c>
      <c r="L32" s="15">
        <v>16804</v>
      </c>
      <c r="M32" s="14">
        <v>18570</v>
      </c>
      <c r="N32" s="14">
        <v>23190</v>
      </c>
      <c r="O32" s="14">
        <v>23088</v>
      </c>
      <c r="P32" s="14">
        <f t="shared" ref="P32:P33" si="9">SUM(D32:O32)</f>
        <v>198294</v>
      </c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2">
        <v>2004</v>
      </c>
      <c r="C33" s="3" t="s">
        <v>16</v>
      </c>
      <c r="D33" s="14">
        <v>21439</v>
      </c>
      <c r="E33" s="14">
        <v>20736</v>
      </c>
      <c r="F33" s="14">
        <v>17924</v>
      </c>
      <c r="G33" s="14">
        <f>32950-11349</f>
        <v>21601</v>
      </c>
      <c r="H33" s="14">
        <v>13278</v>
      </c>
      <c r="I33" s="14">
        <f>24339-11249</f>
        <v>13090</v>
      </c>
      <c r="J33" s="14">
        <f>59496-23721</f>
        <v>35775</v>
      </c>
      <c r="K33" s="14">
        <f>37168-13339</f>
        <v>23829</v>
      </c>
      <c r="L33" s="14">
        <v>24137</v>
      </c>
      <c r="M33" s="14">
        <v>25751</v>
      </c>
      <c r="N33" s="14">
        <v>21569</v>
      </c>
      <c r="O33" s="14">
        <v>15272</v>
      </c>
      <c r="P33" s="14">
        <f t="shared" si="9"/>
        <v>254401</v>
      </c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2"/>
      <c r="C34" s="3" t="s">
        <v>14</v>
      </c>
      <c r="D34" s="5">
        <f t="shared" ref="D34:P34" si="10">SUM(D32:D33)</f>
        <v>50865</v>
      </c>
      <c r="E34" s="5">
        <f t="shared" si="10"/>
        <v>33114</v>
      </c>
      <c r="F34" s="5">
        <f t="shared" si="10"/>
        <v>25010</v>
      </c>
      <c r="G34" s="5">
        <f t="shared" si="10"/>
        <v>32950</v>
      </c>
      <c r="H34" s="5">
        <f t="shared" si="10"/>
        <v>21372</v>
      </c>
      <c r="I34" s="5">
        <f t="shared" si="10"/>
        <v>24339</v>
      </c>
      <c r="J34" s="5">
        <f t="shared" si="10"/>
        <v>59496</v>
      </c>
      <c r="K34" s="5">
        <f t="shared" si="10"/>
        <v>37168</v>
      </c>
      <c r="L34" s="5">
        <f t="shared" si="10"/>
        <v>40941</v>
      </c>
      <c r="M34" s="5">
        <f t="shared" si="10"/>
        <v>44321</v>
      </c>
      <c r="N34" s="5">
        <f t="shared" si="10"/>
        <v>44759</v>
      </c>
      <c r="O34" s="5">
        <f t="shared" si="10"/>
        <v>38360</v>
      </c>
      <c r="P34" s="5">
        <f t="shared" si="10"/>
        <v>452695</v>
      </c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1" t="s">
        <v>17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2" t="s">
        <v>0</v>
      </c>
      <c r="C37" s="2" t="s">
        <v>1</v>
      </c>
      <c r="D37" s="2" t="s">
        <v>2</v>
      </c>
      <c r="E37" s="2" t="s">
        <v>3</v>
      </c>
      <c r="F37" s="2" t="s">
        <v>4</v>
      </c>
      <c r="G37" s="2" t="s">
        <v>5</v>
      </c>
      <c r="H37" s="2" t="s">
        <v>6</v>
      </c>
      <c r="I37" s="2" t="s">
        <v>7</v>
      </c>
      <c r="J37" s="2" t="s">
        <v>8</v>
      </c>
      <c r="K37" s="2" t="s">
        <v>9</v>
      </c>
      <c r="L37" s="2" t="s">
        <v>20</v>
      </c>
      <c r="M37" s="2" t="s">
        <v>11</v>
      </c>
      <c r="N37" s="2" t="s">
        <v>12</v>
      </c>
      <c r="O37" s="2" t="s">
        <v>13</v>
      </c>
      <c r="P37" s="2" t="s">
        <v>14</v>
      </c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3"/>
      <c r="C38" s="3" t="s">
        <v>15</v>
      </c>
      <c r="D38" s="6">
        <v>38840</v>
      </c>
      <c r="E38" s="14">
        <v>16312</v>
      </c>
      <c r="F38" s="14">
        <v>10722</v>
      </c>
      <c r="G38" s="14">
        <v>11182</v>
      </c>
      <c r="H38" s="14">
        <v>9781</v>
      </c>
      <c r="I38" s="14">
        <v>9497</v>
      </c>
      <c r="J38" s="14">
        <v>24270</v>
      </c>
      <c r="K38" s="14">
        <v>13007</v>
      </c>
      <c r="L38" s="15">
        <v>15304</v>
      </c>
      <c r="M38" s="4">
        <v>19458</v>
      </c>
      <c r="N38" s="14">
        <v>23778</v>
      </c>
      <c r="O38" s="4">
        <v>16555</v>
      </c>
      <c r="P38" s="14">
        <f t="shared" ref="P38:P40" si="11">SUM(D38:O38)</f>
        <v>208706</v>
      </c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2">
        <v>2005</v>
      </c>
      <c r="C39" s="3" t="s">
        <v>16</v>
      </c>
      <c r="D39" s="6">
        <v>25625</v>
      </c>
      <c r="E39" s="14">
        <v>22489</v>
      </c>
      <c r="F39" s="14">
        <v>23007</v>
      </c>
      <c r="G39" s="14">
        <v>16788</v>
      </c>
      <c r="H39" s="14">
        <v>11556</v>
      </c>
      <c r="I39" s="14">
        <v>15444</v>
      </c>
      <c r="J39" s="14">
        <v>36791</v>
      </c>
      <c r="K39" s="14">
        <v>26445</v>
      </c>
      <c r="L39" s="14">
        <v>25921</v>
      </c>
      <c r="M39" s="4">
        <v>29505</v>
      </c>
      <c r="N39" s="14">
        <v>25225</v>
      </c>
      <c r="O39" s="4">
        <v>24815</v>
      </c>
      <c r="P39" s="14">
        <f t="shared" si="11"/>
        <v>283611</v>
      </c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2"/>
      <c r="C40" s="3" t="s">
        <v>14</v>
      </c>
      <c r="D40" s="5">
        <f t="shared" ref="D40:O40" si="12">SUM(D38:D39)</f>
        <v>64465</v>
      </c>
      <c r="E40" s="5">
        <f t="shared" si="12"/>
        <v>38801</v>
      </c>
      <c r="F40" s="5">
        <f t="shared" si="12"/>
        <v>33729</v>
      </c>
      <c r="G40" s="5">
        <f t="shared" si="12"/>
        <v>27970</v>
      </c>
      <c r="H40" s="5">
        <f t="shared" si="12"/>
        <v>21337</v>
      </c>
      <c r="I40" s="5">
        <f t="shared" si="12"/>
        <v>24941</v>
      </c>
      <c r="J40" s="5">
        <f t="shared" si="12"/>
        <v>61061</v>
      </c>
      <c r="K40" s="5">
        <f t="shared" si="12"/>
        <v>39452</v>
      </c>
      <c r="L40" s="5">
        <f t="shared" si="12"/>
        <v>41225</v>
      </c>
      <c r="M40" s="5">
        <f t="shared" si="12"/>
        <v>48963</v>
      </c>
      <c r="N40" s="5">
        <f t="shared" si="12"/>
        <v>49003</v>
      </c>
      <c r="O40" s="5">
        <f t="shared" si="12"/>
        <v>41370</v>
      </c>
      <c r="P40" s="14">
        <f t="shared" si="11"/>
        <v>492317</v>
      </c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21" t="s">
        <v>17</v>
      </c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2" t="s">
        <v>0</v>
      </c>
      <c r="C49" s="2" t="s">
        <v>1</v>
      </c>
      <c r="D49" s="2" t="s">
        <v>2</v>
      </c>
      <c r="E49" s="2" t="s">
        <v>3</v>
      </c>
      <c r="F49" s="2" t="s">
        <v>4</v>
      </c>
      <c r="G49" s="2" t="s">
        <v>5</v>
      </c>
      <c r="H49" s="2" t="s">
        <v>6</v>
      </c>
      <c r="I49" s="2" t="s">
        <v>7</v>
      </c>
      <c r="J49" s="2" t="s">
        <v>8</v>
      </c>
      <c r="K49" s="2" t="s">
        <v>9</v>
      </c>
      <c r="L49" s="2" t="s">
        <v>20</v>
      </c>
      <c r="M49" s="2" t="s">
        <v>11</v>
      </c>
      <c r="N49" s="2" t="s">
        <v>12</v>
      </c>
      <c r="O49" s="2" t="s">
        <v>13</v>
      </c>
      <c r="P49" s="2" t="s">
        <v>14</v>
      </c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3"/>
      <c r="C50" s="3" t="s">
        <v>15</v>
      </c>
      <c r="D50" s="4">
        <v>30112</v>
      </c>
      <c r="E50" s="4">
        <v>12995</v>
      </c>
      <c r="F50" s="4">
        <v>9189</v>
      </c>
      <c r="G50" s="4">
        <v>15033</v>
      </c>
      <c r="H50" s="4">
        <v>8769</v>
      </c>
      <c r="I50" s="4">
        <v>10267</v>
      </c>
      <c r="J50" s="4">
        <v>18164</v>
      </c>
      <c r="K50" s="4">
        <v>8729</v>
      </c>
      <c r="L50" s="4">
        <v>13779</v>
      </c>
      <c r="M50" s="4">
        <v>15763</v>
      </c>
      <c r="N50" s="4">
        <v>20714</v>
      </c>
      <c r="O50" s="4">
        <v>20047</v>
      </c>
      <c r="P50" s="14">
        <f t="shared" ref="P50:P52" si="13">SUM(D50:O50)</f>
        <v>183561</v>
      </c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2">
        <v>2006</v>
      </c>
      <c r="C51" s="3" t="s">
        <v>16</v>
      </c>
      <c r="D51" s="4">
        <v>26892</v>
      </c>
      <c r="E51" s="4">
        <v>22391</v>
      </c>
      <c r="F51" s="4">
        <v>21843</v>
      </c>
      <c r="G51" s="4">
        <v>22934</v>
      </c>
      <c r="H51" s="4">
        <v>16822</v>
      </c>
      <c r="I51" s="4">
        <v>12066</v>
      </c>
      <c r="J51" s="4">
        <v>27674</v>
      </c>
      <c r="K51" s="4">
        <v>21595</v>
      </c>
      <c r="L51" s="4">
        <v>17134</v>
      </c>
      <c r="M51" s="4">
        <v>19795</v>
      </c>
      <c r="N51" s="4">
        <v>17413</v>
      </c>
      <c r="O51" s="4">
        <v>12301</v>
      </c>
      <c r="P51" s="14">
        <f t="shared" si="13"/>
        <v>238860</v>
      </c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2"/>
      <c r="C52" s="3" t="s">
        <v>14</v>
      </c>
      <c r="D52" s="5">
        <f>SUM(D50:D51)</f>
        <v>57004</v>
      </c>
      <c r="E52" s="5">
        <v>35386</v>
      </c>
      <c r="F52" s="5">
        <v>31032</v>
      </c>
      <c r="G52" s="5">
        <v>37967</v>
      </c>
      <c r="H52" s="5">
        <v>25591</v>
      </c>
      <c r="I52" s="5">
        <v>22333</v>
      </c>
      <c r="J52" s="5">
        <v>45838</v>
      </c>
      <c r="K52" s="5">
        <f t="shared" ref="K52:L52" si="14">SUM(K50:K51)</f>
        <v>30324</v>
      </c>
      <c r="L52" s="5">
        <f t="shared" si="14"/>
        <v>30913</v>
      </c>
      <c r="M52" s="5">
        <v>35558</v>
      </c>
      <c r="N52" s="5">
        <f t="shared" ref="N52:O52" si="15">SUM(N50:N51)</f>
        <v>38127</v>
      </c>
      <c r="O52" s="5">
        <f t="shared" si="15"/>
        <v>32348</v>
      </c>
      <c r="P52" s="16">
        <f t="shared" si="13"/>
        <v>422421</v>
      </c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1.25" customHeight="1">
      <c r="A53" s="21"/>
      <c r="B53" s="21" t="s">
        <v>17</v>
      </c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2" t="s">
        <v>0</v>
      </c>
      <c r="C55" s="2" t="s">
        <v>1</v>
      </c>
      <c r="D55" s="2" t="s">
        <v>2</v>
      </c>
      <c r="E55" s="2" t="s">
        <v>3</v>
      </c>
      <c r="F55" s="2" t="s">
        <v>4</v>
      </c>
      <c r="G55" s="2" t="s">
        <v>5</v>
      </c>
      <c r="H55" s="2" t="s">
        <v>6</v>
      </c>
      <c r="I55" s="2" t="s">
        <v>7</v>
      </c>
      <c r="J55" s="2" t="s">
        <v>8</v>
      </c>
      <c r="K55" s="2" t="s">
        <v>9</v>
      </c>
      <c r="L55" s="2" t="s">
        <v>20</v>
      </c>
      <c r="M55" s="2" t="s">
        <v>11</v>
      </c>
      <c r="N55" s="2" t="s">
        <v>12</v>
      </c>
      <c r="O55" s="2" t="s">
        <v>13</v>
      </c>
      <c r="P55" s="2" t="s">
        <v>14</v>
      </c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3"/>
      <c r="C56" s="3" t="s">
        <v>15</v>
      </c>
      <c r="D56" s="4">
        <v>32225</v>
      </c>
      <c r="E56" s="4">
        <v>15927</v>
      </c>
      <c r="F56" s="4">
        <v>8217</v>
      </c>
      <c r="G56" s="4">
        <v>11102</v>
      </c>
      <c r="H56" s="4">
        <v>9962</v>
      </c>
      <c r="I56" s="4">
        <v>9088</v>
      </c>
      <c r="J56" s="4">
        <v>19172</v>
      </c>
      <c r="K56" s="4">
        <v>9597</v>
      </c>
      <c r="L56" s="4">
        <v>14926</v>
      </c>
      <c r="M56" s="4">
        <v>18953</v>
      </c>
      <c r="N56" s="4">
        <v>22114</v>
      </c>
      <c r="O56" s="4">
        <v>19870</v>
      </c>
      <c r="P56" s="14">
        <f t="shared" ref="P56:P57" si="16">SUM(D56:O56)</f>
        <v>191153</v>
      </c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2">
        <v>2007</v>
      </c>
      <c r="C57" s="3" t="s">
        <v>16</v>
      </c>
      <c r="D57" s="4">
        <f>56703-32225</f>
        <v>24478</v>
      </c>
      <c r="E57" s="4">
        <f>37300-15927</f>
        <v>21373</v>
      </c>
      <c r="F57" s="4">
        <v>17484</v>
      </c>
      <c r="G57" s="4">
        <v>20319</v>
      </c>
      <c r="H57" s="4">
        <v>13759</v>
      </c>
      <c r="I57" s="4">
        <f>14377-9088</f>
        <v>5289</v>
      </c>
      <c r="J57" s="4">
        <f t="shared" ref="J57:O57" si="17">J58-J56</f>
        <v>12124</v>
      </c>
      <c r="K57" s="4">
        <f t="shared" si="17"/>
        <v>10233</v>
      </c>
      <c r="L57" s="4">
        <f t="shared" si="17"/>
        <v>9444</v>
      </c>
      <c r="M57" s="4">
        <f t="shared" si="17"/>
        <v>9907</v>
      </c>
      <c r="N57" s="4">
        <f t="shared" si="17"/>
        <v>10163</v>
      </c>
      <c r="O57" s="4">
        <f t="shared" si="17"/>
        <v>8441</v>
      </c>
      <c r="P57" s="14">
        <f t="shared" si="16"/>
        <v>163014</v>
      </c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2"/>
      <c r="C58" s="3" t="s">
        <v>14</v>
      </c>
      <c r="D58" s="5">
        <v>56703</v>
      </c>
      <c r="E58" s="5">
        <v>37300</v>
      </c>
      <c r="F58" s="5">
        <f t="shared" ref="F58:G58" si="18">SUM(F56:F57)</f>
        <v>25701</v>
      </c>
      <c r="G58" s="5">
        <f t="shared" si="18"/>
        <v>31421</v>
      </c>
      <c r="H58" s="5">
        <v>23721</v>
      </c>
      <c r="I58" s="5">
        <f>SUM(I56:I57)</f>
        <v>14377</v>
      </c>
      <c r="J58" s="5">
        <v>31296</v>
      </c>
      <c r="K58" s="5">
        <v>19830</v>
      </c>
      <c r="L58" s="5">
        <v>24370</v>
      </c>
      <c r="M58" s="5">
        <v>28860</v>
      </c>
      <c r="N58" s="5">
        <v>32277</v>
      </c>
      <c r="O58" s="5">
        <v>28311</v>
      </c>
      <c r="P58" s="16">
        <f>SUM(P56:P57)</f>
        <v>354167</v>
      </c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1.25" customHeight="1">
      <c r="A59" s="21"/>
      <c r="B59" s="21" t="s">
        <v>17</v>
      </c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2" t="s">
        <v>0</v>
      </c>
      <c r="C61" s="2" t="s">
        <v>1</v>
      </c>
      <c r="D61" s="2" t="s">
        <v>2</v>
      </c>
      <c r="E61" s="2" t="s">
        <v>3</v>
      </c>
      <c r="F61" s="2" t="s">
        <v>4</v>
      </c>
      <c r="G61" s="2" t="s">
        <v>5</v>
      </c>
      <c r="H61" s="2" t="s">
        <v>6</v>
      </c>
      <c r="I61" s="2" t="s">
        <v>7</v>
      </c>
      <c r="J61" s="2" t="s">
        <v>8</v>
      </c>
      <c r="K61" s="2" t="s">
        <v>9</v>
      </c>
      <c r="L61" s="2" t="s">
        <v>20</v>
      </c>
      <c r="M61" s="2" t="s">
        <v>11</v>
      </c>
      <c r="N61" s="2" t="s">
        <v>12</v>
      </c>
      <c r="O61" s="2" t="s">
        <v>13</v>
      </c>
      <c r="P61" s="2" t="s">
        <v>14</v>
      </c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3"/>
      <c r="C62" s="3" t="s">
        <v>15</v>
      </c>
      <c r="D62" s="4">
        <v>26236</v>
      </c>
      <c r="E62" s="4">
        <v>14538</v>
      </c>
      <c r="F62" s="4">
        <v>9845</v>
      </c>
      <c r="G62" s="4">
        <v>12432</v>
      </c>
      <c r="H62" s="4">
        <v>18800</v>
      </c>
      <c r="I62" s="4">
        <v>9698</v>
      </c>
      <c r="J62" s="4">
        <v>26961</v>
      </c>
      <c r="K62" s="4">
        <v>13278</v>
      </c>
      <c r="L62" s="4">
        <v>15521</v>
      </c>
      <c r="M62" s="4">
        <v>18873</v>
      </c>
      <c r="N62" s="4">
        <v>24098</v>
      </c>
      <c r="O62" s="4">
        <v>26255</v>
      </c>
      <c r="P62" s="14">
        <f t="shared" ref="P62:P64" si="19">SUM(D62:O62)</f>
        <v>216535</v>
      </c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2">
        <v>2008</v>
      </c>
      <c r="C63" s="3" t="s">
        <v>16</v>
      </c>
      <c r="D63" s="4">
        <v>11146</v>
      </c>
      <c r="E63" s="4">
        <v>10323</v>
      </c>
      <c r="F63" s="4">
        <f>19641-9845</f>
        <v>9796</v>
      </c>
      <c r="G63" s="4">
        <f>18680-12432</f>
        <v>6248</v>
      </c>
      <c r="H63" s="4">
        <f>24662-18800</f>
        <v>5862</v>
      </c>
      <c r="I63" s="4">
        <f>14264-9698</f>
        <v>4566</v>
      </c>
      <c r="J63" s="4">
        <f>35336-26961</f>
        <v>8375</v>
      </c>
      <c r="K63" s="4">
        <f>22538-13278</f>
        <v>9260</v>
      </c>
      <c r="L63" s="4">
        <f>22720-15521</f>
        <v>7199</v>
      </c>
      <c r="M63" s="4">
        <f>27004-18873</f>
        <v>8131</v>
      </c>
      <c r="N63" s="4">
        <f>31736-24098</f>
        <v>7638</v>
      </c>
      <c r="O63" s="4">
        <f>32928-26255</f>
        <v>6673</v>
      </c>
      <c r="P63" s="14">
        <f t="shared" si="19"/>
        <v>95217</v>
      </c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2"/>
      <c r="C64" s="3" t="s">
        <v>14</v>
      </c>
      <c r="D64" s="5">
        <f t="shared" ref="D64:O64" si="20">SUM(D62:D63)</f>
        <v>37382</v>
      </c>
      <c r="E64" s="5">
        <f t="shared" si="20"/>
        <v>24861</v>
      </c>
      <c r="F64" s="5">
        <f t="shared" si="20"/>
        <v>19641</v>
      </c>
      <c r="G64" s="5">
        <f t="shared" si="20"/>
        <v>18680</v>
      </c>
      <c r="H64" s="5">
        <f t="shared" si="20"/>
        <v>24662</v>
      </c>
      <c r="I64" s="5">
        <f t="shared" si="20"/>
        <v>14264</v>
      </c>
      <c r="J64" s="5">
        <f t="shared" si="20"/>
        <v>35336</v>
      </c>
      <c r="K64" s="5">
        <f t="shared" si="20"/>
        <v>22538</v>
      </c>
      <c r="L64" s="5">
        <f t="shared" si="20"/>
        <v>22720</v>
      </c>
      <c r="M64" s="5">
        <f t="shared" si="20"/>
        <v>27004</v>
      </c>
      <c r="N64" s="5">
        <f t="shared" si="20"/>
        <v>31736</v>
      </c>
      <c r="O64" s="5">
        <f t="shared" si="20"/>
        <v>32928</v>
      </c>
      <c r="P64" s="16">
        <f t="shared" si="19"/>
        <v>311752</v>
      </c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1.25" customHeight="1">
      <c r="A65" s="21"/>
      <c r="B65" s="21" t="s">
        <v>17</v>
      </c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2" t="s">
        <v>0</v>
      </c>
      <c r="C67" s="2" t="s">
        <v>1</v>
      </c>
      <c r="D67" s="2" t="s">
        <v>2</v>
      </c>
      <c r="E67" s="2" t="s">
        <v>3</v>
      </c>
      <c r="F67" s="2" t="s">
        <v>4</v>
      </c>
      <c r="G67" s="2" t="s">
        <v>5</v>
      </c>
      <c r="H67" s="2" t="s">
        <v>6</v>
      </c>
      <c r="I67" s="2" t="s">
        <v>7</v>
      </c>
      <c r="J67" s="2" t="s">
        <v>8</v>
      </c>
      <c r="K67" s="2" t="s">
        <v>9</v>
      </c>
      <c r="L67" s="2" t="s">
        <v>20</v>
      </c>
      <c r="M67" s="2" t="s">
        <v>11</v>
      </c>
      <c r="N67" s="2" t="s">
        <v>12</v>
      </c>
      <c r="O67" s="2" t="s">
        <v>13</v>
      </c>
      <c r="P67" s="2" t="s">
        <v>14</v>
      </c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3"/>
      <c r="C68" s="3" t="s">
        <v>15</v>
      </c>
      <c r="D68" s="4">
        <v>38488</v>
      </c>
      <c r="E68" s="4">
        <v>15992</v>
      </c>
      <c r="F68" s="4">
        <v>9304</v>
      </c>
      <c r="G68" s="4">
        <v>15705</v>
      </c>
      <c r="H68" s="4">
        <v>13200</v>
      </c>
      <c r="I68" s="4">
        <v>12683</v>
      </c>
      <c r="J68" s="4">
        <v>16309</v>
      </c>
      <c r="K68" s="4">
        <v>6974</v>
      </c>
      <c r="L68" s="4">
        <v>12658</v>
      </c>
      <c r="M68" s="4">
        <v>22782</v>
      </c>
      <c r="N68" s="4">
        <v>27610</v>
      </c>
      <c r="O68" s="4">
        <v>28104</v>
      </c>
      <c r="P68" s="14">
        <f t="shared" ref="P68:P70" si="21">SUM(D68:O68)</f>
        <v>219809</v>
      </c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2">
        <v>2009</v>
      </c>
      <c r="C69" s="3" t="s">
        <v>16</v>
      </c>
      <c r="D69" s="4">
        <f>46815-38503</f>
        <v>8312</v>
      </c>
      <c r="E69" s="4">
        <f>23774-15992</f>
        <v>7782</v>
      </c>
      <c r="F69" s="4">
        <f>16592-9304</f>
        <v>7288</v>
      </c>
      <c r="G69" s="4">
        <f>22197-15705</f>
        <v>6492</v>
      </c>
      <c r="H69" s="4">
        <v>4008</v>
      </c>
      <c r="I69" s="4">
        <v>3199</v>
      </c>
      <c r="J69" s="4">
        <v>7784</v>
      </c>
      <c r="K69" s="4">
        <v>6762</v>
      </c>
      <c r="L69" s="4">
        <v>6509</v>
      </c>
      <c r="M69" s="4">
        <f>29683-M68</f>
        <v>6901</v>
      </c>
      <c r="N69" s="4">
        <f>34995-N68</f>
        <v>7385</v>
      </c>
      <c r="O69" s="4">
        <v>6348</v>
      </c>
      <c r="P69" s="14">
        <f t="shared" si="21"/>
        <v>78770</v>
      </c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2"/>
      <c r="C70" s="3" t="s">
        <v>14</v>
      </c>
      <c r="D70" s="5">
        <f t="shared" ref="D70:O70" si="22">SUM(D68:D69)</f>
        <v>46800</v>
      </c>
      <c r="E70" s="5">
        <f t="shared" si="22"/>
        <v>23774</v>
      </c>
      <c r="F70" s="5">
        <f t="shared" si="22"/>
        <v>16592</v>
      </c>
      <c r="G70" s="5">
        <f t="shared" si="22"/>
        <v>22197</v>
      </c>
      <c r="H70" s="5">
        <f t="shared" si="22"/>
        <v>17208</v>
      </c>
      <c r="I70" s="5">
        <f t="shared" si="22"/>
        <v>15882</v>
      </c>
      <c r="J70" s="5">
        <f t="shared" si="22"/>
        <v>24093</v>
      </c>
      <c r="K70" s="5">
        <f t="shared" si="22"/>
        <v>13736</v>
      </c>
      <c r="L70" s="5">
        <f t="shared" si="22"/>
        <v>19167</v>
      </c>
      <c r="M70" s="5">
        <f t="shared" si="22"/>
        <v>29683</v>
      </c>
      <c r="N70" s="5">
        <f t="shared" si="22"/>
        <v>34995</v>
      </c>
      <c r="O70" s="5">
        <f t="shared" si="22"/>
        <v>34452</v>
      </c>
      <c r="P70" s="16">
        <f t="shared" si="21"/>
        <v>298579</v>
      </c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9.75" customHeight="1">
      <c r="A71" s="1"/>
      <c r="B71" s="21" t="s">
        <v>17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2" t="s">
        <v>0</v>
      </c>
      <c r="C74" s="2" t="s">
        <v>1</v>
      </c>
      <c r="D74" s="2" t="s">
        <v>2</v>
      </c>
      <c r="E74" s="2" t="s">
        <v>3</v>
      </c>
      <c r="F74" s="2" t="s">
        <v>4</v>
      </c>
      <c r="G74" s="2" t="s">
        <v>5</v>
      </c>
      <c r="H74" s="2" t="s">
        <v>6</v>
      </c>
      <c r="I74" s="2" t="s">
        <v>7</v>
      </c>
      <c r="J74" s="2" t="s">
        <v>8</v>
      </c>
      <c r="K74" s="2" t="s">
        <v>9</v>
      </c>
      <c r="L74" s="2" t="s">
        <v>20</v>
      </c>
      <c r="M74" s="2" t="s">
        <v>11</v>
      </c>
      <c r="N74" s="2" t="s">
        <v>12</v>
      </c>
      <c r="O74" s="2" t="s">
        <v>13</v>
      </c>
      <c r="P74" s="2" t="s">
        <v>14</v>
      </c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3"/>
      <c r="C75" s="3" t="s">
        <v>15</v>
      </c>
      <c r="D75" s="4">
        <v>42492</v>
      </c>
      <c r="E75" s="4">
        <v>19471</v>
      </c>
      <c r="F75" s="4">
        <v>12553</v>
      </c>
      <c r="G75" s="4">
        <v>16525</v>
      </c>
      <c r="H75" s="4">
        <v>14531</v>
      </c>
      <c r="I75" s="4">
        <v>15391</v>
      </c>
      <c r="J75" s="4">
        <v>28641</v>
      </c>
      <c r="K75" s="4">
        <v>14550</v>
      </c>
      <c r="L75" s="4">
        <v>23322</v>
      </c>
      <c r="M75" s="4">
        <v>26443</v>
      </c>
      <c r="N75" s="4">
        <v>29774</v>
      </c>
      <c r="O75" s="4">
        <v>28197</v>
      </c>
      <c r="P75" s="14">
        <f t="shared" ref="P75:P77" si="23">SUM(D75:O75)</f>
        <v>271890</v>
      </c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2">
        <v>2010</v>
      </c>
      <c r="C76" s="3" t="s">
        <v>16</v>
      </c>
      <c r="D76" s="4">
        <f>50823-D75</f>
        <v>8331</v>
      </c>
      <c r="E76" s="4">
        <f>27762-E75</f>
        <v>8291</v>
      </c>
      <c r="F76" s="4">
        <f>20120-F75</f>
        <v>7567</v>
      </c>
      <c r="G76" s="4">
        <f>22318-G75</f>
        <v>5793</v>
      </c>
      <c r="H76" s="4">
        <f>19805-H75</f>
        <v>5274</v>
      </c>
      <c r="I76" s="4">
        <f>19260-I75</f>
        <v>3869</v>
      </c>
      <c r="J76" s="4">
        <f>36798-J75</f>
        <v>8157</v>
      </c>
      <c r="K76" s="4">
        <f>22060-14550</f>
        <v>7510</v>
      </c>
      <c r="L76" s="4">
        <f>29632-23322</f>
        <v>6310</v>
      </c>
      <c r="M76" s="4">
        <f>33631-26443</f>
        <v>7188</v>
      </c>
      <c r="N76" s="4">
        <f>36717-29774</f>
        <v>6943</v>
      </c>
      <c r="O76" s="4">
        <f>34017-28197</f>
        <v>5820</v>
      </c>
      <c r="P76" s="14">
        <f t="shared" si="23"/>
        <v>81053</v>
      </c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2"/>
      <c r="C77" s="3" t="s">
        <v>14</v>
      </c>
      <c r="D77" s="5">
        <f t="shared" ref="D77:O77" si="24">SUM(D75:D76)</f>
        <v>50823</v>
      </c>
      <c r="E77" s="5">
        <f t="shared" si="24"/>
        <v>27762</v>
      </c>
      <c r="F77" s="5">
        <f t="shared" si="24"/>
        <v>20120</v>
      </c>
      <c r="G77" s="5">
        <f t="shared" si="24"/>
        <v>22318</v>
      </c>
      <c r="H77" s="5">
        <f t="shared" si="24"/>
        <v>19805</v>
      </c>
      <c r="I77" s="5">
        <f t="shared" si="24"/>
        <v>19260</v>
      </c>
      <c r="J77" s="5">
        <f t="shared" si="24"/>
        <v>36798</v>
      </c>
      <c r="K77" s="5">
        <f t="shared" si="24"/>
        <v>22060</v>
      </c>
      <c r="L77" s="5">
        <f t="shared" si="24"/>
        <v>29632</v>
      </c>
      <c r="M77" s="5">
        <f t="shared" si="24"/>
        <v>33631</v>
      </c>
      <c r="N77" s="5">
        <f t="shared" si="24"/>
        <v>36717</v>
      </c>
      <c r="O77" s="5">
        <f t="shared" si="24"/>
        <v>34017</v>
      </c>
      <c r="P77" s="16">
        <f t="shared" si="23"/>
        <v>352943</v>
      </c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21" t="s">
        <v>17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2" t="s">
        <v>0</v>
      </c>
      <c r="C80" s="2" t="s">
        <v>1</v>
      </c>
      <c r="D80" s="2" t="s">
        <v>2</v>
      </c>
      <c r="E80" s="2" t="s">
        <v>3</v>
      </c>
      <c r="F80" s="2" t="s">
        <v>4</v>
      </c>
      <c r="G80" s="2" t="s">
        <v>5</v>
      </c>
      <c r="H80" s="2" t="s">
        <v>6</v>
      </c>
      <c r="I80" s="2" t="s">
        <v>7</v>
      </c>
      <c r="J80" s="2" t="s">
        <v>8</v>
      </c>
      <c r="K80" s="2" t="s">
        <v>9</v>
      </c>
      <c r="L80" s="2" t="s">
        <v>20</v>
      </c>
      <c r="M80" s="2" t="s">
        <v>11</v>
      </c>
      <c r="N80" s="2" t="s">
        <v>12</v>
      </c>
      <c r="O80" s="2" t="s">
        <v>13</v>
      </c>
      <c r="P80" s="2" t="s">
        <v>14</v>
      </c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3"/>
      <c r="C81" s="3" t="s">
        <v>15</v>
      </c>
      <c r="D81" s="4">
        <v>42194</v>
      </c>
      <c r="E81" s="4">
        <v>18484</v>
      </c>
      <c r="F81" s="4">
        <v>23369</v>
      </c>
      <c r="G81" s="4">
        <v>22380</v>
      </c>
      <c r="H81" s="4">
        <v>17158</v>
      </c>
      <c r="I81" s="4">
        <v>19223</v>
      </c>
      <c r="J81" s="4">
        <v>30094</v>
      </c>
      <c r="K81" s="4">
        <v>15739</v>
      </c>
      <c r="L81" s="4">
        <v>23847</v>
      </c>
      <c r="M81" s="4">
        <v>29013</v>
      </c>
      <c r="N81" s="4">
        <v>30602</v>
      </c>
      <c r="O81" s="4">
        <v>31825</v>
      </c>
      <c r="P81" s="14">
        <f t="shared" ref="P81:P83" si="25">SUM(D81:O81)</f>
        <v>303928</v>
      </c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2">
        <v>2011</v>
      </c>
      <c r="C82" s="3" t="s">
        <v>16</v>
      </c>
      <c r="D82" s="4">
        <f>49632-42194</f>
        <v>7438</v>
      </c>
      <c r="E82" s="4">
        <f>26098-18484</f>
        <v>7614</v>
      </c>
      <c r="F82" s="4">
        <f>32255-23369</f>
        <v>8886</v>
      </c>
      <c r="G82" s="4">
        <f>28800-22380</f>
        <v>6420</v>
      </c>
      <c r="H82" s="4">
        <f>22643-17158</f>
        <v>5485</v>
      </c>
      <c r="I82" s="4">
        <f t="shared" ref="I82:J82" si="26">I83-I81</f>
        <v>4471</v>
      </c>
      <c r="J82" s="4">
        <f t="shared" si="26"/>
        <v>7679</v>
      </c>
      <c r="K82" s="4">
        <f>22702-15739</f>
        <v>6963</v>
      </c>
      <c r="L82" s="4">
        <f>30809-23847</f>
        <v>6962</v>
      </c>
      <c r="M82" s="4">
        <f>35823-29013</f>
        <v>6810</v>
      </c>
      <c r="N82" s="4">
        <f>37663-30602</f>
        <v>7061</v>
      </c>
      <c r="O82" s="4">
        <f>37668-31825</f>
        <v>5843</v>
      </c>
      <c r="P82" s="14">
        <f t="shared" si="25"/>
        <v>81632</v>
      </c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2"/>
      <c r="C83" s="3" t="s">
        <v>14</v>
      </c>
      <c r="D83" s="5">
        <f t="shared" ref="D83:H83" si="27">SUM(D81:D82)</f>
        <v>49632</v>
      </c>
      <c r="E83" s="5">
        <f t="shared" si="27"/>
        <v>26098</v>
      </c>
      <c r="F83" s="5">
        <f t="shared" si="27"/>
        <v>32255</v>
      </c>
      <c r="G83" s="5">
        <f t="shared" si="27"/>
        <v>28800</v>
      </c>
      <c r="H83" s="5">
        <f t="shared" si="27"/>
        <v>22643</v>
      </c>
      <c r="I83" s="5">
        <v>23694</v>
      </c>
      <c r="J83" s="5">
        <v>37773</v>
      </c>
      <c r="K83" s="5">
        <f t="shared" ref="K83:O83" si="28">SUM(K81:K82)</f>
        <v>22702</v>
      </c>
      <c r="L83" s="5">
        <f t="shared" si="28"/>
        <v>30809</v>
      </c>
      <c r="M83" s="5">
        <f t="shared" si="28"/>
        <v>35823</v>
      </c>
      <c r="N83" s="5">
        <f t="shared" si="28"/>
        <v>37663</v>
      </c>
      <c r="O83" s="5">
        <f t="shared" si="28"/>
        <v>37668</v>
      </c>
      <c r="P83" s="16">
        <f t="shared" si="25"/>
        <v>385560</v>
      </c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2" t="s">
        <v>0</v>
      </c>
      <c r="C90" s="2" t="s">
        <v>1</v>
      </c>
      <c r="D90" s="2" t="s">
        <v>2</v>
      </c>
      <c r="E90" s="2" t="s">
        <v>3</v>
      </c>
      <c r="F90" s="2" t="s">
        <v>4</v>
      </c>
      <c r="G90" s="2" t="s">
        <v>5</v>
      </c>
      <c r="H90" s="2" t="s">
        <v>6</v>
      </c>
      <c r="I90" s="2" t="s">
        <v>7</v>
      </c>
      <c r="J90" s="2" t="s">
        <v>8</v>
      </c>
      <c r="K90" s="2" t="s">
        <v>9</v>
      </c>
      <c r="L90" s="2" t="s">
        <v>20</v>
      </c>
      <c r="M90" s="2" t="s">
        <v>11</v>
      </c>
      <c r="N90" s="2" t="s">
        <v>12</v>
      </c>
      <c r="O90" s="2" t="s">
        <v>13</v>
      </c>
      <c r="P90" s="2" t="s">
        <v>14</v>
      </c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3"/>
      <c r="C91" s="3" t="s">
        <v>15</v>
      </c>
      <c r="D91" s="4">
        <v>50284</v>
      </c>
      <c r="E91" s="4">
        <v>27891</v>
      </c>
      <c r="F91" s="4">
        <v>25199</v>
      </c>
      <c r="G91" s="4">
        <v>31600</v>
      </c>
      <c r="H91" s="4">
        <v>24845</v>
      </c>
      <c r="I91" s="4">
        <v>31568</v>
      </c>
      <c r="J91" s="4">
        <v>46911</v>
      </c>
      <c r="K91" s="4">
        <v>29600</v>
      </c>
      <c r="L91" s="4">
        <v>41987</v>
      </c>
      <c r="M91" s="4">
        <v>41259</v>
      </c>
      <c r="N91" s="4">
        <v>50053</v>
      </c>
      <c r="O91" s="4">
        <v>44756</v>
      </c>
      <c r="P91" s="14">
        <f t="shared" ref="P91:P92" si="29">SUM(D91:O91)</f>
        <v>445953</v>
      </c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2">
        <v>2012</v>
      </c>
      <c r="C92" s="3" t="s">
        <v>16</v>
      </c>
      <c r="D92" s="4">
        <f>58341-50284</f>
        <v>8057</v>
      </c>
      <c r="E92" s="4">
        <v>8751</v>
      </c>
      <c r="F92" s="4">
        <v>6770</v>
      </c>
      <c r="G92" s="4">
        <v>7852</v>
      </c>
      <c r="H92" s="4">
        <v>5684</v>
      </c>
      <c r="I92" s="4">
        <v>4771</v>
      </c>
      <c r="J92" s="4">
        <v>8568</v>
      </c>
      <c r="K92" s="4">
        <v>7564</v>
      </c>
      <c r="L92" s="4">
        <v>5888</v>
      </c>
      <c r="M92" s="4">
        <v>6934</v>
      </c>
      <c r="N92" s="4">
        <v>7135</v>
      </c>
      <c r="O92" s="4">
        <f>50564-44756</f>
        <v>5808</v>
      </c>
      <c r="P92" s="14">
        <f t="shared" si="29"/>
        <v>83782</v>
      </c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2"/>
      <c r="C93" s="3" t="s">
        <v>14</v>
      </c>
      <c r="D93" s="5">
        <f>SUM(D91:D92)</f>
        <v>58341</v>
      </c>
      <c r="E93" s="5">
        <v>36642</v>
      </c>
      <c r="F93" s="5">
        <v>31969</v>
      </c>
      <c r="G93" s="5">
        <v>39452</v>
      </c>
      <c r="H93" s="5">
        <v>30529</v>
      </c>
      <c r="I93" s="5">
        <v>36339</v>
      </c>
      <c r="J93" s="5">
        <v>55479</v>
      </c>
      <c r="K93" s="5">
        <v>37164</v>
      </c>
      <c r="L93" s="5">
        <v>47875</v>
      </c>
      <c r="M93" s="5">
        <v>48193</v>
      </c>
      <c r="N93" s="5">
        <v>57188</v>
      </c>
      <c r="O93" s="5">
        <v>50564</v>
      </c>
      <c r="P93" s="16">
        <f>SUM(P91:P92)</f>
        <v>529735</v>
      </c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2" t="s">
        <v>0</v>
      </c>
      <c r="C96" s="2" t="s">
        <v>1</v>
      </c>
      <c r="D96" s="2" t="s">
        <v>2</v>
      </c>
      <c r="E96" s="2" t="s">
        <v>3</v>
      </c>
      <c r="F96" s="2" t="s">
        <v>4</v>
      </c>
      <c r="G96" s="2" t="s">
        <v>5</v>
      </c>
      <c r="H96" s="2" t="s">
        <v>6</v>
      </c>
      <c r="I96" s="2" t="s">
        <v>7</v>
      </c>
      <c r="J96" s="2" t="s">
        <v>8</v>
      </c>
      <c r="K96" s="2" t="s">
        <v>9</v>
      </c>
      <c r="L96" s="2" t="s">
        <v>20</v>
      </c>
      <c r="M96" s="2" t="s">
        <v>11</v>
      </c>
      <c r="N96" s="2" t="s">
        <v>12</v>
      </c>
      <c r="O96" s="2" t="s">
        <v>13</v>
      </c>
      <c r="P96" s="2" t="s">
        <v>14</v>
      </c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3"/>
      <c r="C97" s="3" t="s">
        <v>15</v>
      </c>
      <c r="D97" s="4">
        <v>54177</v>
      </c>
      <c r="E97" s="4">
        <v>28030</v>
      </c>
      <c r="F97" s="4">
        <v>26361</v>
      </c>
      <c r="G97" s="4">
        <v>30964</v>
      </c>
      <c r="H97" s="4">
        <v>31126</v>
      </c>
      <c r="I97" s="4">
        <v>27214</v>
      </c>
      <c r="J97" s="4">
        <v>71440</v>
      </c>
      <c r="K97" s="4">
        <v>45983</v>
      </c>
      <c r="L97" s="4">
        <v>52137</v>
      </c>
      <c r="M97" s="4">
        <v>66241</v>
      </c>
      <c r="N97" s="4">
        <v>62710</v>
      </c>
      <c r="O97" s="4">
        <v>49771</v>
      </c>
      <c r="P97" s="4">
        <f t="shared" ref="P97:P99" si="30">SUM(D97:O97)</f>
        <v>546154</v>
      </c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2">
        <v>2013</v>
      </c>
      <c r="C98" s="3" t="s">
        <v>16</v>
      </c>
      <c r="D98" s="4">
        <f t="shared" ref="D98:O98" si="31">D99-D97</f>
        <v>7648</v>
      </c>
      <c r="E98" s="4">
        <f t="shared" si="31"/>
        <v>8170</v>
      </c>
      <c r="F98" s="4">
        <f t="shared" si="31"/>
        <v>7250</v>
      </c>
      <c r="G98" s="4">
        <f t="shared" si="31"/>
        <v>5188</v>
      </c>
      <c r="H98" s="4">
        <f t="shared" si="31"/>
        <v>4198</v>
      </c>
      <c r="I98" s="4">
        <f t="shared" si="31"/>
        <v>3971</v>
      </c>
      <c r="J98" s="4">
        <f t="shared" si="31"/>
        <v>11394</v>
      </c>
      <c r="K98" s="4">
        <f t="shared" si="31"/>
        <v>13070</v>
      </c>
      <c r="L98" s="4">
        <f t="shared" si="31"/>
        <v>10332</v>
      </c>
      <c r="M98" s="4">
        <f t="shared" si="31"/>
        <v>11003</v>
      </c>
      <c r="N98" s="4">
        <f t="shared" si="31"/>
        <v>9129</v>
      </c>
      <c r="O98" s="4">
        <f t="shared" si="31"/>
        <v>5058</v>
      </c>
      <c r="P98" s="4">
        <f t="shared" si="30"/>
        <v>96411</v>
      </c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2"/>
      <c r="C99" s="3" t="s">
        <v>14</v>
      </c>
      <c r="D99" s="5">
        <v>61825</v>
      </c>
      <c r="E99" s="5">
        <v>36200</v>
      </c>
      <c r="F99" s="5">
        <v>33611</v>
      </c>
      <c r="G99" s="5">
        <v>36152</v>
      </c>
      <c r="H99" s="5">
        <v>35324</v>
      </c>
      <c r="I99" s="5">
        <v>31185</v>
      </c>
      <c r="J99" s="5">
        <v>82834</v>
      </c>
      <c r="K99" s="5">
        <v>59053</v>
      </c>
      <c r="L99" s="5">
        <v>62469</v>
      </c>
      <c r="M99" s="5">
        <v>77244</v>
      </c>
      <c r="N99" s="5">
        <v>71839</v>
      </c>
      <c r="O99" s="5">
        <v>54829</v>
      </c>
      <c r="P99" s="5">
        <f t="shared" si="30"/>
        <v>642565</v>
      </c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2" t="s">
        <v>0</v>
      </c>
      <c r="C102" s="2" t="s">
        <v>1</v>
      </c>
      <c r="D102" s="2" t="s">
        <v>2</v>
      </c>
      <c r="E102" s="2" t="s">
        <v>3</v>
      </c>
      <c r="F102" s="2" t="s">
        <v>4</v>
      </c>
      <c r="G102" s="2" t="s">
        <v>5</v>
      </c>
      <c r="H102" s="2" t="s">
        <v>6</v>
      </c>
      <c r="I102" s="2" t="s">
        <v>7</v>
      </c>
      <c r="J102" s="2" t="s">
        <v>8</v>
      </c>
      <c r="K102" s="2" t="s">
        <v>9</v>
      </c>
      <c r="L102" s="2" t="s">
        <v>20</v>
      </c>
      <c r="M102" s="2" t="s">
        <v>11</v>
      </c>
      <c r="N102" s="2" t="s">
        <v>12</v>
      </c>
      <c r="O102" s="2" t="s">
        <v>13</v>
      </c>
      <c r="P102" s="2" t="s">
        <v>14</v>
      </c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3"/>
      <c r="C103" s="3" t="s">
        <v>15</v>
      </c>
      <c r="D103" s="4">
        <v>61018</v>
      </c>
      <c r="E103" s="4">
        <v>21490</v>
      </c>
      <c r="F103" s="4">
        <v>35904</v>
      </c>
      <c r="G103" s="4">
        <v>37694</v>
      </c>
      <c r="H103" s="4">
        <v>35877</v>
      </c>
      <c r="I103" s="4">
        <v>24602</v>
      </c>
      <c r="J103" s="4">
        <v>41168</v>
      </c>
      <c r="K103" s="4">
        <v>34032</v>
      </c>
      <c r="L103" s="4">
        <v>38939</v>
      </c>
      <c r="M103" s="4">
        <v>45945</v>
      </c>
      <c r="N103" s="4">
        <v>47887</v>
      </c>
      <c r="O103" s="4">
        <v>49797</v>
      </c>
      <c r="P103" s="4">
        <f>SUM(D103:O103)</f>
        <v>474353</v>
      </c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2">
        <v>2014</v>
      </c>
      <c r="C104" s="3" t="s">
        <v>16</v>
      </c>
      <c r="D104" s="4">
        <f t="shared" ref="D104:P104" si="32">D105-D103</f>
        <v>5570</v>
      </c>
      <c r="E104" s="4">
        <f t="shared" si="32"/>
        <v>6482</v>
      </c>
      <c r="F104" s="4">
        <f t="shared" si="32"/>
        <v>6936</v>
      </c>
      <c r="G104" s="4">
        <f t="shared" si="32"/>
        <v>5471</v>
      </c>
      <c r="H104" s="4">
        <f t="shared" si="32"/>
        <v>4722</v>
      </c>
      <c r="I104" s="4">
        <f t="shared" si="32"/>
        <v>5462</v>
      </c>
      <c r="J104" s="4">
        <f t="shared" si="32"/>
        <v>6614</v>
      </c>
      <c r="K104" s="4">
        <f t="shared" si="32"/>
        <v>5702</v>
      </c>
      <c r="L104" s="4">
        <f t="shared" si="32"/>
        <v>4552</v>
      </c>
      <c r="M104" s="4">
        <f t="shared" si="32"/>
        <v>6184</v>
      </c>
      <c r="N104" s="4">
        <f t="shared" si="32"/>
        <v>5715</v>
      </c>
      <c r="O104" s="4">
        <f t="shared" si="32"/>
        <v>4629</v>
      </c>
      <c r="P104" s="4">
        <f t="shared" si="32"/>
        <v>68039</v>
      </c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2"/>
      <c r="C105" s="3" t="s">
        <v>14</v>
      </c>
      <c r="D105" s="5">
        <v>66588</v>
      </c>
      <c r="E105" s="5">
        <v>27972</v>
      </c>
      <c r="F105" s="5">
        <v>42840</v>
      </c>
      <c r="G105" s="5">
        <v>43165</v>
      </c>
      <c r="H105" s="5">
        <v>40599</v>
      </c>
      <c r="I105" s="5">
        <v>30064</v>
      </c>
      <c r="J105" s="5">
        <v>47782</v>
      </c>
      <c r="K105" s="5">
        <v>39734</v>
      </c>
      <c r="L105" s="5">
        <v>43491</v>
      </c>
      <c r="M105" s="5">
        <v>52129</v>
      </c>
      <c r="N105" s="5">
        <v>53602</v>
      </c>
      <c r="O105" s="5">
        <v>54426</v>
      </c>
      <c r="P105" s="5">
        <f>SUM(D105:O105)</f>
        <v>542392</v>
      </c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2" t="s">
        <v>0</v>
      </c>
      <c r="C108" s="2" t="s">
        <v>1</v>
      </c>
      <c r="D108" s="2" t="s">
        <v>2</v>
      </c>
      <c r="E108" s="2" t="s">
        <v>3</v>
      </c>
      <c r="F108" s="2" t="s">
        <v>4</v>
      </c>
      <c r="G108" s="2" t="s">
        <v>5</v>
      </c>
      <c r="H108" s="2" t="s">
        <v>6</v>
      </c>
      <c r="I108" s="2" t="s">
        <v>7</v>
      </c>
      <c r="J108" s="2" t="s">
        <v>8</v>
      </c>
      <c r="K108" s="2" t="s">
        <v>9</v>
      </c>
      <c r="L108" s="2" t="s">
        <v>20</v>
      </c>
      <c r="M108" s="2" t="s">
        <v>11</v>
      </c>
      <c r="N108" s="2" t="s">
        <v>12</v>
      </c>
      <c r="O108" s="2" t="s">
        <v>13</v>
      </c>
      <c r="P108" s="2" t="s">
        <v>14</v>
      </c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3"/>
      <c r="C109" s="3" t="s">
        <v>15</v>
      </c>
      <c r="D109" s="4">
        <v>73665</v>
      </c>
      <c r="E109" s="4">
        <v>36378</v>
      </c>
      <c r="F109" s="4">
        <v>25767</v>
      </c>
      <c r="G109" s="4">
        <v>35022</v>
      </c>
      <c r="H109" s="4">
        <v>33338</v>
      </c>
      <c r="I109" s="4">
        <v>29890</v>
      </c>
      <c r="J109" s="4">
        <v>63158</v>
      </c>
      <c r="K109" s="4">
        <v>37253</v>
      </c>
      <c r="L109" s="4">
        <v>27341</v>
      </c>
      <c r="M109" s="4">
        <v>33896</v>
      </c>
      <c r="N109" s="4">
        <v>51451</v>
      </c>
      <c r="O109" s="4">
        <v>58540</v>
      </c>
      <c r="P109" s="4">
        <f t="shared" ref="P109:P111" si="33">SUM(D109:O109)</f>
        <v>505699</v>
      </c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2">
        <v>2015</v>
      </c>
      <c r="C110" s="3" t="s">
        <v>16</v>
      </c>
      <c r="D110" s="4">
        <f>105787-D109</f>
        <v>32122</v>
      </c>
      <c r="E110" s="4">
        <f>60462-E109</f>
        <v>24084</v>
      </c>
      <c r="F110" s="4">
        <f>43076-F109</f>
        <v>17309</v>
      </c>
      <c r="G110" s="4">
        <f>58087-G109</f>
        <v>23065</v>
      </c>
      <c r="H110" s="4">
        <f>49855-H109</f>
        <v>16517</v>
      </c>
      <c r="I110" s="4">
        <f>49497-I109</f>
        <v>19607</v>
      </c>
      <c r="J110" s="4">
        <f>96177-J109</f>
        <v>33019</v>
      </c>
      <c r="K110" s="4">
        <f>68447-K109</f>
        <v>31194</v>
      </c>
      <c r="L110" s="4">
        <f>56069-L109</f>
        <v>28728</v>
      </c>
      <c r="M110" s="4">
        <f>68249-M109</f>
        <v>34353</v>
      </c>
      <c r="N110" s="4">
        <f>83283-N109</f>
        <v>31832</v>
      </c>
      <c r="O110" s="4">
        <f>83993-O109</f>
        <v>25453</v>
      </c>
      <c r="P110" s="4">
        <f t="shared" si="33"/>
        <v>317283</v>
      </c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2"/>
      <c r="C111" s="3" t="s">
        <v>14</v>
      </c>
      <c r="D111" s="5">
        <f t="shared" ref="D111:O111" si="34">SUM(D109:D110)</f>
        <v>105787</v>
      </c>
      <c r="E111" s="5">
        <f t="shared" si="34"/>
        <v>60462</v>
      </c>
      <c r="F111" s="5">
        <f t="shared" si="34"/>
        <v>43076</v>
      </c>
      <c r="G111" s="5">
        <f t="shared" si="34"/>
        <v>58087</v>
      </c>
      <c r="H111" s="5">
        <f t="shared" si="34"/>
        <v>49855</v>
      </c>
      <c r="I111" s="5">
        <f t="shared" si="34"/>
        <v>49497</v>
      </c>
      <c r="J111" s="5">
        <f t="shared" si="34"/>
        <v>96177</v>
      </c>
      <c r="K111" s="5">
        <f t="shared" si="34"/>
        <v>68447</v>
      </c>
      <c r="L111" s="5">
        <f t="shared" si="34"/>
        <v>56069</v>
      </c>
      <c r="M111" s="5">
        <f t="shared" si="34"/>
        <v>68249</v>
      </c>
      <c r="N111" s="5">
        <f t="shared" si="34"/>
        <v>83283</v>
      </c>
      <c r="O111" s="5">
        <f t="shared" si="34"/>
        <v>83993</v>
      </c>
      <c r="P111" s="5">
        <f t="shared" si="33"/>
        <v>822982</v>
      </c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2" t="s">
        <v>0</v>
      </c>
      <c r="C114" s="2" t="s">
        <v>1</v>
      </c>
      <c r="D114" s="2" t="s">
        <v>2</v>
      </c>
      <c r="E114" s="2" t="s">
        <v>3</v>
      </c>
      <c r="F114" s="2" t="s">
        <v>4</v>
      </c>
      <c r="G114" s="2" t="s">
        <v>5</v>
      </c>
      <c r="H114" s="2" t="s">
        <v>6</v>
      </c>
      <c r="I114" s="2" t="s">
        <v>7</v>
      </c>
      <c r="J114" s="2" t="s">
        <v>8</v>
      </c>
      <c r="K114" s="2" t="s">
        <v>9</v>
      </c>
      <c r="L114" s="2" t="s">
        <v>20</v>
      </c>
      <c r="M114" s="2" t="s">
        <v>11</v>
      </c>
      <c r="N114" s="2" t="s">
        <v>12</v>
      </c>
      <c r="O114" s="2" t="s">
        <v>13</v>
      </c>
      <c r="P114" s="2" t="s">
        <v>14</v>
      </c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3"/>
      <c r="C115" s="3" t="s">
        <v>15</v>
      </c>
      <c r="D115" s="4">
        <v>75036</v>
      </c>
      <c r="E115" s="4">
        <v>35185</v>
      </c>
      <c r="F115" s="4">
        <v>29700</v>
      </c>
      <c r="G115" s="4">
        <v>33539</v>
      </c>
      <c r="H115" s="4">
        <v>33236</v>
      </c>
      <c r="I115" s="4">
        <v>28499</v>
      </c>
      <c r="J115" s="4">
        <v>54867</v>
      </c>
      <c r="K115" s="4">
        <v>33766</v>
      </c>
      <c r="L115" s="4">
        <v>43653</v>
      </c>
      <c r="M115" s="4">
        <v>46661</v>
      </c>
      <c r="N115" s="4">
        <v>50133</v>
      </c>
      <c r="O115" s="4">
        <v>53062</v>
      </c>
      <c r="P115" s="4">
        <f t="shared" ref="P115:P116" si="35">SUM(D115:O115)</f>
        <v>517337</v>
      </c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2">
        <v>2016</v>
      </c>
      <c r="C116" s="3" t="s">
        <v>16</v>
      </c>
      <c r="D116" s="4">
        <f t="shared" ref="D116:O116" si="36">D117-D115</f>
        <v>40242</v>
      </c>
      <c r="E116" s="4">
        <f t="shared" si="36"/>
        <v>28319</v>
      </c>
      <c r="F116" s="4">
        <f t="shared" si="36"/>
        <v>28519</v>
      </c>
      <c r="G116" s="4">
        <f t="shared" si="36"/>
        <v>18887</v>
      </c>
      <c r="H116" s="4">
        <f t="shared" si="36"/>
        <v>16738</v>
      </c>
      <c r="I116" s="4">
        <f t="shared" si="36"/>
        <v>24637</v>
      </c>
      <c r="J116" s="4">
        <f t="shared" si="36"/>
        <v>60891</v>
      </c>
      <c r="K116" s="4">
        <f t="shared" si="36"/>
        <v>35118</v>
      </c>
      <c r="L116" s="4">
        <f t="shared" si="36"/>
        <v>49943</v>
      </c>
      <c r="M116" s="4">
        <f t="shared" si="36"/>
        <v>61418</v>
      </c>
      <c r="N116" s="4">
        <f t="shared" si="36"/>
        <v>41639</v>
      </c>
      <c r="O116" s="4">
        <f t="shared" si="36"/>
        <v>26801</v>
      </c>
      <c r="P116" s="4">
        <f t="shared" si="35"/>
        <v>433152</v>
      </c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2"/>
      <c r="C117" s="3" t="s">
        <v>14</v>
      </c>
      <c r="D117" s="5">
        <v>115278</v>
      </c>
      <c r="E117" s="5">
        <v>63504</v>
      </c>
      <c r="F117" s="5">
        <v>58219</v>
      </c>
      <c r="G117" s="5">
        <v>52426</v>
      </c>
      <c r="H117" s="5">
        <v>49974</v>
      </c>
      <c r="I117" s="5">
        <v>53136</v>
      </c>
      <c r="J117" s="5">
        <v>115758</v>
      </c>
      <c r="K117" s="5">
        <v>68884</v>
      </c>
      <c r="L117" s="5">
        <v>93596</v>
      </c>
      <c r="M117" s="5">
        <v>108079</v>
      </c>
      <c r="N117" s="5">
        <v>91772</v>
      </c>
      <c r="O117" s="5">
        <v>79863</v>
      </c>
      <c r="P117" s="5">
        <f>SUM(P115:P116)</f>
        <v>950489</v>
      </c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2" t="s">
        <v>0</v>
      </c>
      <c r="C120" s="2" t="s">
        <v>1</v>
      </c>
      <c r="D120" s="2" t="s">
        <v>2</v>
      </c>
      <c r="E120" s="2" t="s">
        <v>3</v>
      </c>
      <c r="F120" s="2" t="s">
        <v>4</v>
      </c>
      <c r="G120" s="2" t="s">
        <v>5</v>
      </c>
      <c r="H120" s="2" t="s">
        <v>6</v>
      </c>
      <c r="I120" s="2" t="s">
        <v>7</v>
      </c>
      <c r="J120" s="2" t="s">
        <v>8</v>
      </c>
      <c r="K120" s="2" t="s">
        <v>9</v>
      </c>
      <c r="L120" s="2" t="s">
        <v>20</v>
      </c>
      <c r="M120" s="2" t="s">
        <v>11</v>
      </c>
      <c r="N120" s="2" t="s">
        <v>12</v>
      </c>
      <c r="O120" s="2" t="s">
        <v>13</v>
      </c>
      <c r="P120" s="2" t="s">
        <v>14</v>
      </c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3"/>
      <c r="C121" s="3" t="s">
        <v>15</v>
      </c>
      <c r="D121" s="4">
        <v>74732</v>
      </c>
      <c r="E121" s="4">
        <v>35744</v>
      </c>
      <c r="F121" s="4">
        <v>30381</v>
      </c>
      <c r="G121" s="4">
        <v>40704</v>
      </c>
      <c r="H121" s="4">
        <v>33493</v>
      </c>
      <c r="I121" s="4">
        <v>38150</v>
      </c>
      <c r="J121" s="4">
        <v>72653</v>
      </c>
      <c r="K121" s="4">
        <v>36080</v>
      </c>
      <c r="L121" s="4">
        <v>49785</v>
      </c>
      <c r="M121" s="4">
        <v>53593</v>
      </c>
      <c r="N121" s="4">
        <v>56308</v>
      </c>
      <c r="O121" s="4">
        <v>63771</v>
      </c>
      <c r="P121" s="4">
        <f t="shared" ref="P121:P122" si="37">SUM(D121:O121)</f>
        <v>585394</v>
      </c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2">
        <v>2017</v>
      </c>
      <c r="C122" s="3" t="s">
        <v>16</v>
      </c>
      <c r="D122" s="4">
        <f t="shared" ref="D122:O122" si="38">D123-D121</f>
        <v>41110</v>
      </c>
      <c r="E122" s="4">
        <f t="shared" si="38"/>
        <v>24368</v>
      </c>
      <c r="F122" s="4">
        <f t="shared" si="38"/>
        <v>17437</v>
      </c>
      <c r="G122" s="4">
        <f t="shared" si="38"/>
        <v>26212</v>
      </c>
      <c r="H122" s="4">
        <f t="shared" si="38"/>
        <v>17940</v>
      </c>
      <c r="I122" s="4">
        <f t="shared" si="38"/>
        <v>21667</v>
      </c>
      <c r="J122" s="4">
        <f t="shared" si="38"/>
        <v>46457</v>
      </c>
      <c r="K122" s="4">
        <f t="shared" si="38"/>
        <v>34972</v>
      </c>
      <c r="L122" s="4">
        <f t="shared" si="38"/>
        <v>49817</v>
      </c>
      <c r="M122" s="4">
        <f t="shared" si="38"/>
        <v>43293</v>
      </c>
      <c r="N122" s="4">
        <f t="shared" si="38"/>
        <v>39239</v>
      </c>
      <c r="O122" s="4">
        <f t="shared" si="38"/>
        <v>32040</v>
      </c>
      <c r="P122" s="4">
        <f t="shared" si="37"/>
        <v>394552</v>
      </c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2"/>
      <c r="C123" s="3" t="s">
        <v>14</v>
      </c>
      <c r="D123" s="5">
        <v>115842</v>
      </c>
      <c r="E123" s="5">
        <v>60112</v>
      </c>
      <c r="F123" s="4">
        <v>47818</v>
      </c>
      <c r="G123" s="4">
        <v>66916</v>
      </c>
      <c r="H123" s="4">
        <v>51433</v>
      </c>
      <c r="I123" s="5">
        <v>59817</v>
      </c>
      <c r="J123" s="5">
        <v>119110</v>
      </c>
      <c r="K123" s="5">
        <v>71052</v>
      </c>
      <c r="L123" s="5">
        <v>99602</v>
      </c>
      <c r="M123" s="5">
        <v>96886</v>
      </c>
      <c r="N123" s="5">
        <v>95547</v>
      </c>
      <c r="O123" s="5">
        <v>95811</v>
      </c>
      <c r="P123" s="5">
        <f>SUM(P121:P122)</f>
        <v>979946</v>
      </c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1"/>
      <c r="I126" s="1"/>
      <c r="J126" s="1"/>
      <c r="K126" s="1"/>
      <c r="L126" s="1"/>
      <c r="M126" s="1"/>
      <c r="N126" s="1"/>
      <c r="O126" s="1" t="s">
        <v>21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3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2" t="s">
        <v>0</v>
      </c>
      <c r="C129" s="2" t="s">
        <v>1</v>
      </c>
      <c r="D129" s="2" t="s">
        <v>2</v>
      </c>
      <c r="E129" s="2" t="s">
        <v>3</v>
      </c>
      <c r="F129" s="2" t="s">
        <v>4</v>
      </c>
      <c r="G129" s="2" t="s">
        <v>5</v>
      </c>
      <c r="H129" s="2" t="s">
        <v>6</v>
      </c>
      <c r="I129" s="2" t="s">
        <v>7</v>
      </c>
      <c r="J129" s="2" t="s">
        <v>8</v>
      </c>
      <c r="K129" s="2" t="s">
        <v>9</v>
      </c>
      <c r="L129" s="2" t="s">
        <v>20</v>
      </c>
      <c r="M129" s="2" t="s">
        <v>11</v>
      </c>
      <c r="N129" s="2" t="s">
        <v>12</v>
      </c>
      <c r="O129" s="2" t="s">
        <v>13</v>
      </c>
      <c r="P129" s="2" t="s">
        <v>14</v>
      </c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3"/>
      <c r="C130" s="3" t="s">
        <v>15</v>
      </c>
      <c r="D130" s="4">
        <v>85621</v>
      </c>
      <c r="E130" s="4">
        <v>39980</v>
      </c>
      <c r="F130" s="4">
        <v>35987</v>
      </c>
      <c r="G130" s="4">
        <v>40710</v>
      </c>
      <c r="H130" s="4">
        <v>39336</v>
      </c>
      <c r="I130" s="4">
        <v>35170</v>
      </c>
      <c r="J130" s="4">
        <v>75757</v>
      </c>
      <c r="K130" s="4">
        <v>39761</v>
      </c>
      <c r="L130" s="4">
        <v>55661</v>
      </c>
      <c r="M130" s="4">
        <v>54703</v>
      </c>
      <c r="N130" s="4">
        <v>69785</v>
      </c>
      <c r="O130" s="4">
        <v>76457</v>
      </c>
      <c r="P130" s="4">
        <f t="shared" ref="P130:P132" si="39">SUM(D130:O130)</f>
        <v>648928</v>
      </c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2">
        <v>2018</v>
      </c>
      <c r="C131" s="3" t="s">
        <v>16</v>
      </c>
      <c r="D131" s="4">
        <v>42153</v>
      </c>
      <c r="E131" s="4">
        <v>29924</v>
      </c>
      <c r="F131" s="4">
        <v>25593</v>
      </c>
      <c r="G131" s="4">
        <v>17652</v>
      </c>
      <c r="H131" s="4">
        <v>20905</v>
      </c>
      <c r="I131" s="4">
        <v>18394</v>
      </c>
      <c r="J131" s="4">
        <v>40360</v>
      </c>
      <c r="K131" s="4">
        <v>32236</v>
      </c>
      <c r="L131" s="4">
        <v>37155</v>
      </c>
      <c r="M131" s="4">
        <v>46696</v>
      </c>
      <c r="N131" s="4">
        <v>35292</v>
      </c>
      <c r="O131" s="4">
        <v>29379</v>
      </c>
      <c r="P131" s="4">
        <f t="shared" si="39"/>
        <v>375739</v>
      </c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2"/>
      <c r="C132" s="3" t="s">
        <v>14</v>
      </c>
      <c r="D132" s="5">
        <f t="shared" ref="D132:O132" si="40">SUM(D130:D131)</f>
        <v>127774</v>
      </c>
      <c r="E132" s="5">
        <f t="shared" si="40"/>
        <v>69904</v>
      </c>
      <c r="F132" s="5">
        <f t="shared" si="40"/>
        <v>61580</v>
      </c>
      <c r="G132" s="5">
        <f t="shared" si="40"/>
        <v>58362</v>
      </c>
      <c r="H132" s="5">
        <f t="shared" si="40"/>
        <v>60241</v>
      </c>
      <c r="I132" s="5">
        <f t="shared" si="40"/>
        <v>53564</v>
      </c>
      <c r="J132" s="5">
        <f t="shared" si="40"/>
        <v>116117</v>
      </c>
      <c r="K132" s="5">
        <f t="shared" si="40"/>
        <v>71997</v>
      </c>
      <c r="L132" s="5">
        <f t="shared" si="40"/>
        <v>92816</v>
      </c>
      <c r="M132" s="5">
        <f t="shared" si="40"/>
        <v>101399</v>
      </c>
      <c r="N132" s="5">
        <f t="shared" si="40"/>
        <v>105077</v>
      </c>
      <c r="O132" s="5">
        <f t="shared" si="40"/>
        <v>105836</v>
      </c>
      <c r="P132" s="22">
        <f t="shared" si="39"/>
        <v>1024667</v>
      </c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2" t="s">
        <v>0</v>
      </c>
      <c r="C135" s="2" t="s">
        <v>1</v>
      </c>
      <c r="D135" s="2" t="s">
        <v>2</v>
      </c>
      <c r="E135" s="2" t="s">
        <v>3</v>
      </c>
      <c r="F135" s="2" t="s">
        <v>4</v>
      </c>
      <c r="G135" s="2" t="s">
        <v>5</v>
      </c>
      <c r="H135" s="2" t="s">
        <v>6</v>
      </c>
      <c r="I135" s="2" t="s">
        <v>7</v>
      </c>
      <c r="J135" s="2" t="s">
        <v>8</v>
      </c>
      <c r="K135" s="2" t="s">
        <v>9</v>
      </c>
      <c r="L135" s="2" t="s">
        <v>20</v>
      </c>
      <c r="M135" s="2" t="s">
        <v>11</v>
      </c>
      <c r="N135" s="2" t="s">
        <v>12</v>
      </c>
      <c r="O135" s="2" t="s">
        <v>13</v>
      </c>
      <c r="P135" s="2" t="s">
        <v>14</v>
      </c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3"/>
      <c r="C136" s="3" t="s">
        <v>15</v>
      </c>
      <c r="D136" s="4">
        <v>91276</v>
      </c>
      <c r="E136" s="4">
        <v>32913</v>
      </c>
      <c r="F136" s="4">
        <v>51009</v>
      </c>
      <c r="G136" s="4">
        <v>42845</v>
      </c>
      <c r="H136" s="4">
        <v>36046</v>
      </c>
      <c r="I136" s="4">
        <v>42979</v>
      </c>
      <c r="J136" s="4">
        <v>80133</v>
      </c>
      <c r="K136" s="4">
        <v>43631</v>
      </c>
      <c r="L136" s="4">
        <v>55028</v>
      </c>
      <c r="M136" s="4">
        <v>57787</v>
      </c>
      <c r="N136" s="4">
        <v>56978</v>
      </c>
      <c r="O136" s="4">
        <v>64942</v>
      </c>
      <c r="P136" s="4">
        <f t="shared" ref="P136:P138" si="41">SUM(D136:O136)</f>
        <v>655567</v>
      </c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2">
        <v>2019</v>
      </c>
      <c r="C137" s="3" t="s">
        <v>16</v>
      </c>
      <c r="D137" s="4">
        <v>37564</v>
      </c>
      <c r="E137" s="4">
        <v>22276</v>
      </c>
      <c r="F137" s="4">
        <v>17656</v>
      </c>
      <c r="G137" s="4">
        <v>22855</v>
      </c>
      <c r="H137" s="4">
        <v>19671</v>
      </c>
      <c r="I137" s="4">
        <v>28591</v>
      </c>
      <c r="J137" s="4">
        <v>37897</v>
      </c>
      <c r="K137" s="4">
        <v>32225</v>
      </c>
      <c r="L137" s="4">
        <v>33839</v>
      </c>
      <c r="M137" s="4">
        <v>48978</v>
      </c>
      <c r="N137" s="4">
        <v>37593</v>
      </c>
      <c r="O137" s="4">
        <v>27157</v>
      </c>
      <c r="P137" s="4">
        <f t="shared" si="41"/>
        <v>366302</v>
      </c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2"/>
      <c r="C138" s="3" t="s">
        <v>14</v>
      </c>
      <c r="D138" s="5">
        <f t="shared" ref="D138:O138" si="42">SUM(D136:D137)</f>
        <v>128840</v>
      </c>
      <c r="E138" s="5">
        <f t="shared" si="42"/>
        <v>55189</v>
      </c>
      <c r="F138" s="5">
        <f t="shared" si="42"/>
        <v>68665</v>
      </c>
      <c r="G138" s="5">
        <f t="shared" si="42"/>
        <v>65700</v>
      </c>
      <c r="H138" s="5">
        <f t="shared" si="42"/>
        <v>55717</v>
      </c>
      <c r="I138" s="5">
        <f t="shared" si="42"/>
        <v>71570</v>
      </c>
      <c r="J138" s="5">
        <f t="shared" si="42"/>
        <v>118030</v>
      </c>
      <c r="K138" s="5">
        <f t="shared" si="42"/>
        <v>75856</v>
      </c>
      <c r="L138" s="5">
        <f t="shared" si="42"/>
        <v>88867</v>
      </c>
      <c r="M138" s="5">
        <f t="shared" si="42"/>
        <v>106765</v>
      </c>
      <c r="N138" s="5">
        <f t="shared" si="42"/>
        <v>94571</v>
      </c>
      <c r="O138" s="5">
        <f t="shared" si="42"/>
        <v>92099</v>
      </c>
      <c r="P138" s="23">
        <f t="shared" si="41"/>
        <v>1021869</v>
      </c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2" t="s">
        <v>0</v>
      </c>
      <c r="C141" s="2" t="s">
        <v>1</v>
      </c>
      <c r="D141" s="2" t="s">
        <v>2</v>
      </c>
      <c r="E141" s="2" t="s">
        <v>3</v>
      </c>
      <c r="F141" s="2" t="s">
        <v>4</v>
      </c>
      <c r="G141" s="2" t="s">
        <v>5</v>
      </c>
      <c r="H141" s="2" t="s">
        <v>6</v>
      </c>
      <c r="I141" s="2" t="s">
        <v>7</v>
      </c>
      <c r="J141" s="2" t="s">
        <v>8</v>
      </c>
      <c r="K141" s="2" t="s">
        <v>9</v>
      </c>
      <c r="L141" s="2" t="s">
        <v>20</v>
      </c>
      <c r="M141" s="2" t="s">
        <v>11</v>
      </c>
      <c r="N141" s="2" t="s">
        <v>12</v>
      </c>
      <c r="O141" s="2" t="s">
        <v>13</v>
      </c>
      <c r="P141" s="2" t="s">
        <v>14</v>
      </c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3"/>
      <c r="C142" s="3" t="s">
        <v>15</v>
      </c>
      <c r="D142" s="4">
        <v>91180</v>
      </c>
      <c r="E142" s="4">
        <v>42133</v>
      </c>
      <c r="F142" s="4">
        <v>19533</v>
      </c>
      <c r="G142" s="4">
        <v>0</v>
      </c>
      <c r="H142" s="4">
        <v>0</v>
      </c>
      <c r="I142" s="12">
        <v>917</v>
      </c>
      <c r="J142" s="4">
        <v>579</v>
      </c>
      <c r="K142" s="4">
        <v>2463</v>
      </c>
      <c r="L142" s="4">
        <v>9981</v>
      </c>
      <c r="M142" s="4">
        <v>16167</v>
      </c>
      <c r="N142" s="4">
        <v>20028</v>
      </c>
      <c r="O142" s="4">
        <v>24083</v>
      </c>
      <c r="P142" s="4">
        <f t="shared" ref="P142:P144" si="43">SUM(D142:O142)</f>
        <v>227064</v>
      </c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2">
        <v>2020</v>
      </c>
      <c r="C143" s="3" t="s">
        <v>16</v>
      </c>
      <c r="D143" s="4">
        <v>34248</v>
      </c>
      <c r="E143" s="4">
        <v>24856</v>
      </c>
      <c r="F143" s="4">
        <f>25153-F142</f>
        <v>5620</v>
      </c>
      <c r="G143" s="4">
        <v>0</v>
      </c>
      <c r="H143" s="4">
        <v>0</v>
      </c>
      <c r="I143" s="12">
        <f>I144-I142</f>
        <v>6</v>
      </c>
      <c r="J143" s="4">
        <v>0</v>
      </c>
      <c r="K143" s="4">
        <f>2486-K142</f>
        <v>23</v>
      </c>
      <c r="L143" s="4">
        <f>10038-L142</f>
        <v>57</v>
      </c>
      <c r="M143" s="4">
        <v>76</v>
      </c>
      <c r="N143" s="4">
        <v>857</v>
      </c>
      <c r="O143" s="4">
        <v>957</v>
      </c>
      <c r="P143" s="4">
        <f t="shared" si="43"/>
        <v>66700</v>
      </c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2"/>
      <c r="C144" s="3" t="s">
        <v>14</v>
      </c>
      <c r="D144" s="5">
        <f t="shared" ref="D144:H144" si="44">SUM(D142:D143)</f>
        <v>125428</v>
      </c>
      <c r="E144" s="5">
        <f t="shared" si="44"/>
        <v>66989</v>
      </c>
      <c r="F144" s="5">
        <f t="shared" si="44"/>
        <v>25153</v>
      </c>
      <c r="G144" s="5">
        <f t="shared" si="44"/>
        <v>0</v>
      </c>
      <c r="H144" s="5">
        <f t="shared" si="44"/>
        <v>0</v>
      </c>
      <c r="I144" s="5">
        <v>923</v>
      </c>
      <c r="J144" s="5">
        <f t="shared" ref="J144:O144" si="45">SUM(J142:J143)</f>
        <v>579</v>
      </c>
      <c r="K144" s="5">
        <f t="shared" si="45"/>
        <v>2486</v>
      </c>
      <c r="L144" s="5">
        <f t="shared" si="45"/>
        <v>10038</v>
      </c>
      <c r="M144" s="5">
        <f t="shared" si="45"/>
        <v>16243</v>
      </c>
      <c r="N144" s="5">
        <f t="shared" si="45"/>
        <v>20885</v>
      </c>
      <c r="O144" s="5">
        <f t="shared" si="45"/>
        <v>25040</v>
      </c>
      <c r="P144" s="23">
        <f t="shared" si="43"/>
        <v>293764</v>
      </c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2" t="s">
        <v>0</v>
      </c>
      <c r="C147" s="28" t="s">
        <v>1</v>
      </c>
      <c r="D147" s="28" t="s">
        <v>2</v>
      </c>
      <c r="E147" s="28" t="s">
        <v>3</v>
      </c>
      <c r="F147" s="28" t="s">
        <v>4</v>
      </c>
      <c r="G147" s="28" t="s">
        <v>5</v>
      </c>
      <c r="H147" s="28" t="s">
        <v>6</v>
      </c>
      <c r="I147" s="28" t="s">
        <v>7</v>
      </c>
      <c r="J147" s="28" t="s">
        <v>8</v>
      </c>
      <c r="K147" s="28" t="s">
        <v>9</v>
      </c>
      <c r="L147" s="28" t="s">
        <v>20</v>
      </c>
      <c r="M147" s="28" t="s">
        <v>11</v>
      </c>
      <c r="N147" s="28" t="s">
        <v>12</v>
      </c>
      <c r="O147" s="28" t="s">
        <v>13</v>
      </c>
      <c r="P147" s="28" t="s">
        <v>14</v>
      </c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29"/>
      <c r="C148" s="30" t="s">
        <v>15</v>
      </c>
      <c r="D148" s="31">
        <v>32545</v>
      </c>
      <c r="E148" s="31">
        <v>19301</v>
      </c>
      <c r="F148" s="31">
        <v>7813</v>
      </c>
      <c r="G148" s="31">
        <v>8935</v>
      </c>
      <c r="H148" s="31">
        <v>12651</v>
      </c>
      <c r="I148" s="32">
        <v>13963</v>
      </c>
      <c r="J148" s="31"/>
      <c r="K148" s="31"/>
      <c r="L148" s="31"/>
      <c r="M148" s="31"/>
      <c r="N148" s="31"/>
      <c r="O148" s="31"/>
      <c r="P148" s="31">
        <f t="shared" ref="P148:P150" si="46">SUM(D148:O148)</f>
        <v>95208</v>
      </c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33">
        <v>2021</v>
      </c>
      <c r="C149" s="30" t="s">
        <v>16</v>
      </c>
      <c r="D149" s="31">
        <v>2372</v>
      </c>
      <c r="E149" s="31">
        <v>2269</v>
      </c>
      <c r="F149" s="31">
        <v>1060</v>
      </c>
      <c r="G149" s="31">
        <v>558</v>
      </c>
      <c r="H149" s="31">
        <v>1097</v>
      </c>
      <c r="I149" s="32">
        <v>750</v>
      </c>
      <c r="J149" s="31"/>
      <c r="K149" s="31"/>
      <c r="L149" s="31"/>
      <c r="M149" s="31"/>
      <c r="N149" s="31"/>
      <c r="O149" s="31"/>
      <c r="P149" s="31">
        <f t="shared" si="46"/>
        <v>8106</v>
      </c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33"/>
      <c r="C150" s="30" t="s">
        <v>14</v>
      </c>
      <c r="D150" s="34">
        <f t="shared" ref="D150:O150" si="47">SUM(D148:D149)</f>
        <v>34917</v>
      </c>
      <c r="E150" s="34">
        <f t="shared" si="47"/>
        <v>21570</v>
      </c>
      <c r="F150" s="34">
        <f t="shared" si="47"/>
        <v>8873</v>
      </c>
      <c r="G150" s="34">
        <f t="shared" si="47"/>
        <v>9493</v>
      </c>
      <c r="H150" s="34">
        <f t="shared" si="47"/>
        <v>13748</v>
      </c>
      <c r="I150" s="34">
        <f t="shared" si="47"/>
        <v>14713</v>
      </c>
      <c r="J150" s="34">
        <f t="shared" si="47"/>
        <v>0</v>
      </c>
      <c r="K150" s="34">
        <f t="shared" si="47"/>
        <v>0</v>
      </c>
      <c r="L150" s="34">
        <f t="shared" si="47"/>
        <v>0</v>
      </c>
      <c r="M150" s="34">
        <f t="shared" si="47"/>
        <v>0</v>
      </c>
      <c r="N150" s="34">
        <f t="shared" si="47"/>
        <v>0</v>
      </c>
      <c r="O150" s="34">
        <f t="shared" si="47"/>
        <v>0</v>
      </c>
      <c r="P150" s="35">
        <f t="shared" si="46"/>
        <v>103314</v>
      </c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999"/>
  <sheetViews>
    <sheetView workbookViewId="0"/>
  </sheetViews>
  <sheetFormatPr defaultColWidth="14.42578125" defaultRowHeight="15" customHeight="1"/>
  <cols>
    <col min="1" max="1" width="31" customWidth="1"/>
    <col min="2" max="6" width="8" customWidth="1"/>
    <col min="7" max="7" width="10.140625" customWidth="1"/>
    <col min="8" max="26" width="8" customWidth="1"/>
  </cols>
  <sheetData>
    <row r="1" spans="1:26" ht="15.75" customHeight="1">
      <c r="A1" s="2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24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2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24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>
      <c r="A5" s="2" t="s">
        <v>22</v>
      </c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20</v>
      </c>
      <c r="K5" s="2" t="s">
        <v>11</v>
      </c>
      <c r="L5" s="2" t="s">
        <v>12</v>
      </c>
      <c r="M5" s="2" t="s">
        <v>13</v>
      </c>
      <c r="N5" s="2" t="s">
        <v>14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>
      <c r="A6" s="3" t="s">
        <v>23</v>
      </c>
      <c r="B6" s="4">
        <f>12472+4131+2216+1915</f>
        <v>20734</v>
      </c>
      <c r="C6" s="37">
        <f>5779+1612+1127+528</f>
        <v>9046</v>
      </c>
      <c r="D6" s="37">
        <f>5573+1366+1643+345</f>
        <v>8927</v>
      </c>
      <c r="E6" s="4">
        <f>7373+1953+1682+691</f>
        <v>11699</v>
      </c>
      <c r="F6" s="4">
        <f>5404+1572+1559+325</f>
        <v>8860</v>
      </c>
      <c r="G6" s="4">
        <f>15633+2405+1804+872</f>
        <v>20714</v>
      </c>
      <c r="H6" s="4"/>
      <c r="I6" s="4">
        <f>8084+3291+2262+463</f>
        <v>14100</v>
      </c>
      <c r="J6" s="4">
        <f>12191+4211+3258+675</f>
        <v>20335</v>
      </c>
      <c r="K6" s="4">
        <f>10857+4817+3632+971</f>
        <v>20277</v>
      </c>
      <c r="L6" s="4">
        <f>11792+4569+4913+927</f>
        <v>22201</v>
      </c>
      <c r="M6" s="4">
        <f>15052+4737+2724+3354</f>
        <v>25867</v>
      </c>
      <c r="N6" s="4">
        <f t="shared" ref="N6:N10" si="0">SUM(B6:M6)</f>
        <v>182760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A7" s="3" t="s">
        <v>24</v>
      </c>
      <c r="B7" s="4">
        <f>937+126</f>
        <v>1063</v>
      </c>
      <c r="C7" s="37">
        <f>655+102</f>
        <v>757</v>
      </c>
      <c r="D7" s="37">
        <f>403+26</f>
        <v>429</v>
      </c>
      <c r="E7" s="4">
        <f>719+109</f>
        <v>828</v>
      </c>
      <c r="F7" s="4">
        <f>379+29</f>
        <v>408</v>
      </c>
      <c r="G7" s="4">
        <f>364+22</f>
        <v>386</v>
      </c>
      <c r="H7" s="4"/>
      <c r="I7" s="4">
        <f>621+73</f>
        <v>694</v>
      </c>
      <c r="J7" s="4">
        <f>633+83</f>
        <v>716</v>
      </c>
      <c r="K7" s="4">
        <f>574+51</f>
        <v>625</v>
      </c>
      <c r="L7" s="4">
        <f>437+10</f>
        <v>447</v>
      </c>
      <c r="M7" s="4">
        <f>464+35</f>
        <v>499</v>
      </c>
      <c r="N7" s="4">
        <f t="shared" si="0"/>
        <v>6852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3" t="s">
        <v>16</v>
      </c>
      <c r="B8" s="4">
        <f>1105+34</f>
        <v>1139</v>
      </c>
      <c r="C8" s="37">
        <f>1145+56</f>
        <v>1201</v>
      </c>
      <c r="D8" s="37">
        <f>1076+29</f>
        <v>1105</v>
      </c>
      <c r="E8" s="4">
        <f>856+26</f>
        <v>882</v>
      </c>
      <c r="F8" s="4">
        <f>820+12</f>
        <v>832</v>
      </c>
      <c r="G8" s="4">
        <f>714+16</f>
        <v>730</v>
      </c>
      <c r="H8" s="4"/>
      <c r="I8" s="4">
        <f>1399+41</f>
        <v>1440</v>
      </c>
      <c r="J8" s="4">
        <f>1012+25</f>
        <v>1037</v>
      </c>
      <c r="K8" s="4">
        <f>1317+20</f>
        <v>1337</v>
      </c>
      <c r="L8" s="4">
        <f>1190+22</f>
        <v>1212</v>
      </c>
      <c r="M8" s="4">
        <f>1468+39</f>
        <v>1507</v>
      </c>
      <c r="N8" s="4">
        <f t="shared" si="0"/>
        <v>12422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3" t="s">
        <v>25</v>
      </c>
      <c r="B9" s="4">
        <f>11715+860+1759</f>
        <v>14334</v>
      </c>
      <c r="C9" s="37">
        <f>3857+263+562</f>
        <v>4682</v>
      </c>
      <c r="D9" s="37">
        <f>3124+259+401</f>
        <v>3784</v>
      </c>
      <c r="E9" s="4">
        <f>3393+270+476</f>
        <v>4139</v>
      </c>
      <c r="F9" s="4">
        <f>2635+197+322</f>
        <v>3154</v>
      </c>
      <c r="G9" s="4">
        <f>3201+222+410</f>
        <v>3833</v>
      </c>
      <c r="H9" s="4"/>
      <c r="I9" s="4">
        <f>2839+260+337</f>
        <v>3436</v>
      </c>
      <c r="J9" s="4">
        <f>3930+291+579</f>
        <v>4800</v>
      </c>
      <c r="K9" s="4">
        <f>2928+255+382</f>
        <v>3565</v>
      </c>
      <c r="L9" s="4">
        <f>3986+285+550</f>
        <v>4821</v>
      </c>
      <c r="M9" s="4">
        <f>4458+390+620</f>
        <v>5468</v>
      </c>
      <c r="N9" s="4">
        <f t="shared" si="0"/>
        <v>56016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3" t="s">
        <v>14</v>
      </c>
      <c r="B10" s="5">
        <f t="shared" ref="B10:M10" si="1">SUM(B6:B9)</f>
        <v>37270</v>
      </c>
      <c r="C10" s="5">
        <f t="shared" si="1"/>
        <v>15686</v>
      </c>
      <c r="D10" s="5">
        <f t="shared" si="1"/>
        <v>14245</v>
      </c>
      <c r="E10" s="5">
        <f t="shared" si="1"/>
        <v>17548</v>
      </c>
      <c r="F10" s="5">
        <f t="shared" si="1"/>
        <v>13254</v>
      </c>
      <c r="G10" s="5">
        <f t="shared" si="1"/>
        <v>25663</v>
      </c>
      <c r="H10" s="5">
        <f t="shared" si="1"/>
        <v>0</v>
      </c>
      <c r="I10" s="5">
        <f t="shared" si="1"/>
        <v>19670</v>
      </c>
      <c r="J10" s="5">
        <f t="shared" si="1"/>
        <v>26888</v>
      </c>
      <c r="K10" s="5">
        <f t="shared" si="1"/>
        <v>25804</v>
      </c>
      <c r="L10" s="5">
        <f t="shared" si="1"/>
        <v>28681</v>
      </c>
      <c r="M10" s="5">
        <f t="shared" si="1"/>
        <v>33341</v>
      </c>
      <c r="N10" s="5">
        <f t="shared" si="0"/>
        <v>258050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>
      <c r="A13" s="2" t="s">
        <v>26</v>
      </c>
      <c r="B13" s="2" t="s">
        <v>2</v>
      </c>
      <c r="C13" s="2" t="s">
        <v>3</v>
      </c>
      <c r="D13" s="2" t="s">
        <v>4</v>
      </c>
      <c r="E13" s="2" t="s">
        <v>5</v>
      </c>
      <c r="F13" s="2" t="s">
        <v>6</v>
      </c>
      <c r="G13" s="2" t="s">
        <v>7</v>
      </c>
      <c r="H13" s="2" t="s">
        <v>8</v>
      </c>
      <c r="I13" s="2" t="s">
        <v>9</v>
      </c>
      <c r="J13" s="2" t="s">
        <v>20</v>
      </c>
      <c r="K13" s="2" t="s">
        <v>11</v>
      </c>
      <c r="L13" s="2" t="s">
        <v>12</v>
      </c>
      <c r="M13" s="2" t="s">
        <v>13</v>
      </c>
      <c r="N13" s="2" t="s">
        <v>14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>
      <c r="A14" s="3" t="s">
        <v>23</v>
      </c>
      <c r="B14" s="4">
        <f>21412+6727+3617+5659</f>
        <v>37415</v>
      </c>
      <c r="C14" s="37">
        <f>12431+3397+2349+2694</f>
        <v>20871</v>
      </c>
      <c r="D14" s="37">
        <f>10513+2093+2022+530</f>
        <v>15158</v>
      </c>
      <c r="E14" s="4">
        <v>17511</v>
      </c>
      <c r="F14" s="4">
        <f>9353+2947+2582+921</f>
        <v>15803</v>
      </c>
      <c r="G14" s="4">
        <f>14289+2912+1995+1244</f>
        <v>20440</v>
      </c>
      <c r="H14" s="4">
        <f>23002+9735+3514+4567</f>
        <v>40818</v>
      </c>
      <c r="I14" s="4">
        <v>20227</v>
      </c>
      <c r="J14" s="4">
        <v>24852</v>
      </c>
      <c r="K14" s="4">
        <v>25475</v>
      </c>
      <c r="L14" s="4">
        <v>31082</v>
      </c>
      <c r="M14" s="4">
        <v>33820</v>
      </c>
      <c r="N14" s="4">
        <f t="shared" ref="N14:N17" si="2">SUM(B14:M14)</f>
        <v>303472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>
      <c r="A15" s="3" t="s">
        <v>24</v>
      </c>
      <c r="B15" s="4">
        <f>1160+158</f>
        <v>1318</v>
      </c>
      <c r="C15" s="37">
        <f>1386+199</f>
        <v>1585</v>
      </c>
      <c r="D15" s="37">
        <f>1069+125</f>
        <v>1194</v>
      </c>
      <c r="E15" s="4">
        <v>871</v>
      </c>
      <c r="F15" s="4">
        <f>714+52</f>
        <v>766</v>
      </c>
      <c r="G15" s="4">
        <f>729+37</f>
        <v>766</v>
      </c>
      <c r="H15" s="4">
        <f>2097+374</f>
        <v>2471</v>
      </c>
      <c r="I15" s="4">
        <v>890</v>
      </c>
      <c r="J15" s="4">
        <v>843</v>
      </c>
      <c r="K15" s="4">
        <v>741</v>
      </c>
      <c r="L15" s="4">
        <v>746</v>
      </c>
      <c r="M15" s="4">
        <v>1029</v>
      </c>
      <c r="N15" s="4">
        <f t="shared" si="2"/>
        <v>13220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3" t="s">
        <v>16</v>
      </c>
      <c r="B16" s="4">
        <f>1534+64</f>
        <v>1598</v>
      </c>
      <c r="C16" s="37">
        <f>1807+55</f>
        <v>1862</v>
      </c>
      <c r="D16" s="37">
        <f>1503+44</f>
        <v>1547</v>
      </c>
      <c r="E16" s="4">
        <f>1429+27</f>
        <v>1456</v>
      </c>
      <c r="F16" s="4">
        <f>1182+32</f>
        <v>1214</v>
      </c>
      <c r="G16" s="4">
        <f>1102+6</f>
        <v>1108</v>
      </c>
      <c r="H16" s="4">
        <f>1459+81</f>
        <v>1540</v>
      </c>
      <c r="I16" s="4">
        <v>2037</v>
      </c>
      <c r="J16" s="4">
        <v>1694</v>
      </c>
      <c r="K16" s="4">
        <v>1890</v>
      </c>
      <c r="L16" s="4">
        <v>1931</v>
      </c>
      <c r="M16" s="4">
        <v>2205</v>
      </c>
      <c r="N16" s="4">
        <f t="shared" si="2"/>
        <v>20082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3" t="s">
        <v>25</v>
      </c>
      <c r="B17" s="4">
        <f>7189+559+1059</f>
        <v>8807</v>
      </c>
      <c r="C17" s="37">
        <f>9058+645+1199</f>
        <v>10902</v>
      </c>
      <c r="D17" s="37">
        <f>2427+229+318</f>
        <v>2974</v>
      </c>
      <c r="E17" s="4">
        <f>3411+265+539</f>
        <v>4215</v>
      </c>
      <c r="F17" s="4">
        <f>2948+216+333</f>
        <v>3497</v>
      </c>
      <c r="G17" s="4">
        <f>36+1998+110+201</f>
        <v>2345</v>
      </c>
      <c r="H17" s="4">
        <f>7695+455+1600</f>
        <v>9750</v>
      </c>
      <c r="I17" s="4">
        <v>4608</v>
      </c>
      <c r="J17" s="4">
        <v>4886</v>
      </c>
      <c r="K17" s="4">
        <v>5254</v>
      </c>
      <c r="L17" s="4">
        <v>6449</v>
      </c>
      <c r="M17" s="4">
        <v>7370</v>
      </c>
      <c r="N17" s="4">
        <f t="shared" si="2"/>
        <v>71057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3" t="s">
        <v>27</v>
      </c>
      <c r="B18" s="4">
        <v>0</v>
      </c>
      <c r="C18" s="37">
        <v>944</v>
      </c>
      <c r="D18" s="37">
        <v>916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f>SUM(C18:M18)</f>
        <v>1860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3" t="s">
        <v>14</v>
      </c>
      <c r="B19" s="5">
        <f>SUM(B14:B17)</f>
        <v>49138</v>
      </c>
      <c r="C19" s="5">
        <f t="shared" ref="C19:N19" si="3">SUM(C14:C18)</f>
        <v>36164</v>
      </c>
      <c r="D19" s="5">
        <f t="shared" si="3"/>
        <v>21789</v>
      </c>
      <c r="E19" s="5">
        <f t="shared" si="3"/>
        <v>24053</v>
      </c>
      <c r="F19" s="5">
        <f t="shared" si="3"/>
        <v>21280</v>
      </c>
      <c r="G19" s="5">
        <f t="shared" si="3"/>
        <v>24659</v>
      </c>
      <c r="H19" s="5">
        <f t="shared" si="3"/>
        <v>54579</v>
      </c>
      <c r="I19" s="5">
        <f t="shared" si="3"/>
        <v>27762</v>
      </c>
      <c r="J19" s="5">
        <f t="shared" si="3"/>
        <v>32275</v>
      </c>
      <c r="K19" s="5">
        <f t="shared" si="3"/>
        <v>33360</v>
      </c>
      <c r="L19" s="5">
        <f t="shared" si="3"/>
        <v>40208</v>
      </c>
      <c r="M19" s="5">
        <f t="shared" si="3"/>
        <v>44424</v>
      </c>
      <c r="N19" s="5">
        <f t="shared" si="3"/>
        <v>409691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2" t="s">
        <v>28</v>
      </c>
      <c r="B22" s="2" t="s">
        <v>2</v>
      </c>
      <c r="C22" s="2" t="s">
        <v>3</v>
      </c>
      <c r="D22" s="2" t="s">
        <v>4</v>
      </c>
      <c r="E22" s="2" t="s">
        <v>5</v>
      </c>
      <c r="F22" s="2" t="s">
        <v>6</v>
      </c>
      <c r="G22" s="2" t="s">
        <v>7</v>
      </c>
      <c r="H22" s="2" t="s">
        <v>8</v>
      </c>
      <c r="I22" s="2" t="s">
        <v>9</v>
      </c>
      <c r="J22" s="2" t="s">
        <v>20</v>
      </c>
      <c r="K22" s="2" t="s">
        <v>11</v>
      </c>
      <c r="L22" s="2" t="s">
        <v>12</v>
      </c>
      <c r="M22" s="2" t="s">
        <v>13</v>
      </c>
      <c r="N22" s="2" t="s">
        <v>14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3" t="s">
        <v>23</v>
      </c>
      <c r="B23" s="4">
        <v>50072</v>
      </c>
      <c r="C23" s="37">
        <v>16818</v>
      </c>
      <c r="D23" s="37">
        <v>28060</v>
      </c>
      <c r="E23" s="4">
        <v>22339</v>
      </c>
      <c r="F23" s="4">
        <v>18801</v>
      </c>
      <c r="G23" s="4">
        <v>25076</v>
      </c>
      <c r="H23" s="4">
        <v>44190</v>
      </c>
      <c r="I23" s="4">
        <v>23555</v>
      </c>
      <c r="J23" s="4">
        <v>25826</v>
      </c>
      <c r="K23" s="4">
        <v>32362</v>
      </c>
      <c r="L23" s="4">
        <v>32302</v>
      </c>
      <c r="M23" s="4">
        <v>37386</v>
      </c>
      <c r="N23" s="4">
        <f t="shared" ref="N23:N28" si="4">SUM(B23:M23)</f>
        <v>356787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3" t="s">
        <v>24</v>
      </c>
      <c r="B24" s="4">
        <v>1782</v>
      </c>
      <c r="C24" s="37">
        <v>1306</v>
      </c>
      <c r="D24" s="37">
        <v>1173</v>
      </c>
      <c r="E24" s="4">
        <v>1534</v>
      </c>
      <c r="F24" s="4">
        <v>916</v>
      </c>
      <c r="G24" s="4">
        <v>1188</v>
      </c>
      <c r="H24" s="4">
        <v>2269</v>
      </c>
      <c r="I24" s="4">
        <v>1134</v>
      </c>
      <c r="J24" s="4">
        <v>1029</v>
      </c>
      <c r="K24" s="4">
        <v>716</v>
      </c>
      <c r="L24" s="4">
        <v>620</v>
      </c>
      <c r="M24" s="4">
        <v>637</v>
      </c>
      <c r="N24" s="4">
        <f t="shared" si="4"/>
        <v>14304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3" t="s">
        <v>16</v>
      </c>
      <c r="B25" s="4">
        <v>2328</v>
      </c>
      <c r="C25" s="37">
        <v>2266</v>
      </c>
      <c r="D25" s="37">
        <v>2029</v>
      </c>
      <c r="E25" s="4">
        <v>2103</v>
      </c>
      <c r="F25" s="4">
        <v>1732</v>
      </c>
      <c r="G25" s="4">
        <v>1687</v>
      </c>
      <c r="H25" s="4">
        <v>2189</v>
      </c>
      <c r="I25" s="4">
        <v>2205</v>
      </c>
      <c r="J25" s="4">
        <v>1708</v>
      </c>
      <c r="K25" s="4">
        <v>1758</v>
      </c>
      <c r="L25" s="4">
        <v>1915</v>
      </c>
      <c r="M25" s="4">
        <v>2236</v>
      </c>
      <c r="N25" s="4">
        <f t="shared" si="4"/>
        <v>24156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3" t="s">
        <v>25</v>
      </c>
      <c r="B26" s="4">
        <v>8595</v>
      </c>
      <c r="C26" s="37">
        <v>3437</v>
      </c>
      <c r="D26" s="37">
        <v>4467</v>
      </c>
      <c r="E26" s="4">
        <v>3249</v>
      </c>
      <c r="F26" s="4">
        <v>3083</v>
      </c>
      <c r="G26" s="4">
        <v>5374</v>
      </c>
      <c r="H26" s="4">
        <v>4545</v>
      </c>
      <c r="I26" s="4">
        <v>5209</v>
      </c>
      <c r="J26" s="4">
        <v>4678</v>
      </c>
      <c r="K26" s="4">
        <v>5017</v>
      </c>
      <c r="L26" s="4">
        <v>4450</v>
      </c>
      <c r="M26" s="4">
        <v>6095</v>
      </c>
      <c r="N26" s="4">
        <f t="shared" si="4"/>
        <v>58199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3" t="s">
        <v>27</v>
      </c>
      <c r="B27" s="4">
        <v>0</v>
      </c>
      <c r="C27" s="37">
        <v>0</v>
      </c>
      <c r="D27" s="37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f t="shared" si="4"/>
        <v>0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3" t="s">
        <v>14</v>
      </c>
      <c r="B28" s="5">
        <f t="shared" ref="B28:M28" si="5">SUM(B23:B27)</f>
        <v>62777</v>
      </c>
      <c r="C28" s="5">
        <f t="shared" si="5"/>
        <v>23827</v>
      </c>
      <c r="D28" s="5">
        <f t="shared" si="5"/>
        <v>35729</v>
      </c>
      <c r="E28" s="5">
        <f t="shared" si="5"/>
        <v>29225</v>
      </c>
      <c r="F28" s="5">
        <f t="shared" si="5"/>
        <v>24532</v>
      </c>
      <c r="G28" s="5">
        <f t="shared" si="5"/>
        <v>33325</v>
      </c>
      <c r="H28" s="5">
        <f t="shared" si="5"/>
        <v>53193</v>
      </c>
      <c r="I28" s="5">
        <f t="shared" si="5"/>
        <v>32103</v>
      </c>
      <c r="J28" s="5">
        <f t="shared" si="5"/>
        <v>33241</v>
      </c>
      <c r="K28" s="5">
        <f t="shared" si="5"/>
        <v>39853</v>
      </c>
      <c r="L28" s="5">
        <f t="shared" si="5"/>
        <v>39287</v>
      </c>
      <c r="M28" s="5">
        <f t="shared" si="5"/>
        <v>46354</v>
      </c>
      <c r="N28" s="5">
        <f t="shared" si="4"/>
        <v>453446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2" t="s">
        <v>29</v>
      </c>
      <c r="B31" s="2" t="s">
        <v>2</v>
      </c>
      <c r="C31" s="2" t="s">
        <v>3</v>
      </c>
      <c r="D31" s="2" t="s">
        <v>4</v>
      </c>
      <c r="E31" s="2" t="s">
        <v>5</v>
      </c>
      <c r="F31" s="2" t="s">
        <v>6</v>
      </c>
      <c r="G31" s="2" t="s">
        <v>7</v>
      </c>
      <c r="H31" s="2" t="s">
        <v>8</v>
      </c>
      <c r="I31" s="2" t="s">
        <v>9</v>
      </c>
      <c r="J31" s="2" t="s">
        <v>20</v>
      </c>
      <c r="K31" s="2" t="s">
        <v>11</v>
      </c>
      <c r="L31" s="2" t="s">
        <v>12</v>
      </c>
      <c r="M31" s="2" t="s">
        <v>13</v>
      </c>
      <c r="N31" s="2" t="s">
        <v>14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3" t="s">
        <v>23</v>
      </c>
      <c r="B32" s="4">
        <f>54178</f>
        <v>54178</v>
      </c>
      <c r="C32" s="38">
        <v>26230</v>
      </c>
      <c r="D32" s="38">
        <v>13289</v>
      </c>
      <c r="E32" s="4">
        <v>0</v>
      </c>
      <c r="F32" s="4">
        <v>0</v>
      </c>
      <c r="G32" s="25">
        <v>585</v>
      </c>
      <c r="H32" s="4">
        <v>0</v>
      </c>
      <c r="I32" s="4">
        <v>2084</v>
      </c>
      <c r="J32" s="4">
        <v>6658</v>
      </c>
      <c r="K32" s="4">
        <v>14458</v>
      </c>
      <c r="L32" s="4">
        <v>18211</v>
      </c>
      <c r="M32" s="4">
        <v>19456</v>
      </c>
      <c r="N32" s="4">
        <f t="shared" ref="N32:N36" si="6">SUM(B32:M32)</f>
        <v>155149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3" t="s">
        <v>24</v>
      </c>
      <c r="B33" s="4">
        <v>1251</v>
      </c>
      <c r="C33" s="38">
        <v>882</v>
      </c>
      <c r="D33" s="38">
        <v>236</v>
      </c>
      <c r="E33" s="4">
        <v>0</v>
      </c>
      <c r="F33" s="4">
        <v>0</v>
      </c>
      <c r="G33" s="25">
        <v>2</v>
      </c>
      <c r="H33" s="4">
        <v>0</v>
      </c>
      <c r="I33" s="4">
        <v>5</v>
      </c>
      <c r="J33" s="4">
        <v>4</v>
      </c>
      <c r="K33" s="4">
        <v>48</v>
      </c>
      <c r="L33" s="4">
        <v>142</v>
      </c>
      <c r="M33" s="4">
        <v>179</v>
      </c>
      <c r="N33" s="4">
        <f t="shared" si="6"/>
        <v>2749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3" t="s">
        <v>16</v>
      </c>
      <c r="B34" s="4">
        <v>3241</v>
      </c>
      <c r="C34" s="38">
        <v>2975</v>
      </c>
      <c r="D34" s="38">
        <v>1327</v>
      </c>
      <c r="E34" s="4">
        <v>0</v>
      </c>
      <c r="F34" s="4">
        <v>0</v>
      </c>
      <c r="G34" s="25">
        <v>7</v>
      </c>
      <c r="H34" s="4">
        <v>0</v>
      </c>
      <c r="I34" s="4">
        <v>13</v>
      </c>
      <c r="J34" s="4">
        <v>66</v>
      </c>
      <c r="K34" s="4">
        <v>76</v>
      </c>
      <c r="L34" s="4">
        <v>165</v>
      </c>
      <c r="M34" s="4">
        <v>244</v>
      </c>
      <c r="N34" s="4">
        <f t="shared" si="6"/>
        <v>8114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3" t="s">
        <v>30</v>
      </c>
      <c r="B35" s="4">
        <v>6450</v>
      </c>
      <c r="C35" s="38">
        <v>3837</v>
      </c>
      <c r="D35" s="38">
        <v>1929</v>
      </c>
      <c r="E35" s="4">
        <v>0</v>
      </c>
      <c r="F35" s="4">
        <v>0</v>
      </c>
      <c r="G35" s="25">
        <v>1086</v>
      </c>
      <c r="H35" s="4">
        <v>0</v>
      </c>
      <c r="I35" s="4">
        <v>2368</v>
      </c>
      <c r="J35" s="4">
        <v>3235</v>
      </c>
      <c r="K35" s="4">
        <v>3704</v>
      </c>
      <c r="L35" s="4">
        <v>3276</v>
      </c>
      <c r="M35" s="4">
        <v>3050</v>
      </c>
      <c r="N35" s="4">
        <f t="shared" si="6"/>
        <v>28935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3" t="s">
        <v>14</v>
      </c>
      <c r="B36" s="5">
        <f t="shared" ref="B36:D36" si="7">SUM(B32:B35)</f>
        <v>65120</v>
      </c>
      <c r="C36" s="5">
        <f t="shared" si="7"/>
        <v>33924</v>
      </c>
      <c r="D36" s="5">
        <f t="shared" si="7"/>
        <v>16781</v>
      </c>
      <c r="E36" s="5">
        <v>0</v>
      </c>
      <c r="F36" s="5">
        <v>0</v>
      </c>
      <c r="G36" s="5">
        <f>SUM(G32:G35)</f>
        <v>1680</v>
      </c>
      <c r="H36" s="4">
        <v>0</v>
      </c>
      <c r="I36" s="5">
        <f t="shared" ref="I36:M36" si="8">SUM(I32:I35)</f>
        <v>4470</v>
      </c>
      <c r="J36" s="5">
        <f t="shared" si="8"/>
        <v>9963</v>
      </c>
      <c r="K36" s="5">
        <f t="shared" si="8"/>
        <v>18286</v>
      </c>
      <c r="L36" s="5">
        <f t="shared" si="8"/>
        <v>21794</v>
      </c>
      <c r="M36" s="5">
        <f t="shared" si="8"/>
        <v>22929</v>
      </c>
      <c r="N36" s="5">
        <f t="shared" si="6"/>
        <v>194947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2" t="s">
        <v>31</v>
      </c>
      <c r="B39" s="2" t="s">
        <v>2</v>
      </c>
      <c r="C39" s="2" t="s">
        <v>3</v>
      </c>
      <c r="D39" s="2" t="s">
        <v>4</v>
      </c>
      <c r="E39" s="2" t="s">
        <v>5</v>
      </c>
      <c r="F39" s="2" t="s">
        <v>6</v>
      </c>
      <c r="G39" s="2" t="s">
        <v>7</v>
      </c>
      <c r="H39" s="2" t="s">
        <v>8</v>
      </c>
      <c r="I39" s="2" t="s">
        <v>9</v>
      </c>
      <c r="J39" s="2" t="s">
        <v>20</v>
      </c>
      <c r="K39" s="2" t="s">
        <v>11</v>
      </c>
      <c r="L39" s="2" t="s">
        <v>12</v>
      </c>
      <c r="M39" s="2" t="s">
        <v>13</v>
      </c>
      <c r="N39" s="2" t="s">
        <v>14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3" t="s">
        <v>23</v>
      </c>
      <c r="B40" s="4">
        <v>24947</v>
      </c>
      <c r="C40" s="38">
        <v>14048</v>
      </c>
      <c r="D40" s="38">
        <v>5678</v>
      </c>
      <c r="E40" s="4">
        <v>6019</v>
      </c>
      <c r="F40" s="4">
        <v>8852</v>
      </c>
      <c r="G40" s="25">
        <v>11966</v>
      </c>
      <c r="H40" s="4"/>
      <c r="I40" s="4"/>
      <c r="J40" s="4"/>
      <c r="K40" s="4"/>
      <c r="L40" s="4"/>
      <c r="M40" s="4"/>
      <c r="N40" s="4">
        <f t="shared" ref="N40:N44" si="9">SUM(B40:M40)</f>
        <v>71510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3" t="s">
        <v>24</v>
      </c>
      <c r="B41" s="4">
        <v>305</v>
      </c>
      <c r="C41" s="38">
        <v>288</v>
      </c>
      <c r="D41" s="38">
        <v>16</v>
      </c>
      <c r="E41" s="4">
        <v>32</v>
      </c>
      <c r="F41" s="4">
        <v>123</v>
      </c>
      <c r="G41" s="25">
        <v>34</v>
      </c>
      <c r="H41" s="4"/>
      <c r="I41" s="4"/>
      <c r="J41" s="4"/>
      <c r="K41" s="4"/>
      <c r="L41" s="4"/>
      <c r="M41" s="4"/>
      <c r="N41" s="4">
        <f t="shared" si="9"/>
        <v>798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3" t="s">
        <v>16</v>
      </c>
      <c r="B42" s="4">
        <v>313</v>
      </c>
      <c r="C42" s="38">
        <v>170</v>
      </c>
      <c r="D42" s="38">
        <v>124</v>
      </c>
      <c r="E42" s="4">
        <v>136</v>
      </c>
      <c r="F42" s="4">
        <v>158</v>
      </c>
      <c r="G42" s="25">
        <v>124</v>
      </c>
      <c r="H42" s="4"/>
      <c r="I42" s="4"/>
      <c r="J42" s="4"/>
      <c r="K42" s="4"/>
      <c r="L42" s="4"/>
      <c r="M42" s="4"/>
      <c r="N42" s="4">
        <f t="shared" si="9"/>
        <v>1025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3" t="s">
        <v>30</v>
      </c>
      <c r="B43" s="4">
        <v>4249</v>
      </c>
      <c r="C43" s="38">
        <v>3344</v>
      </c>
      <c r="D43" s="38">
        <v>981</v>
      </c>
      <c r="E43" s="4">
        <v>2672</v>
      </c>
      <c r="F43" s="4">
        <v>2198</v>
      </c>
      <c r="G43" s="25">
        <v>2371</v>
      </c>
      <c r="H43" s="4"/>
      <c r="I43" s="4"/>
      <c r="J43" s="4"/>
      <c r="K43" s="4"/>
      <c r="L43" s="4"/>
      <c r="M43" s="4"/>
      <c r="N43" s="4">
        <f t="shared" si="9"/>
        <v>15815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3" t="s">
        <v>14</v>
      </c>
      <c r="B44" s="5">
        <f t="shared" ref="B44:G44" si="10">SUM(B40:B43)</f>
        <v>29814</v>
      </c>
      <c r="C44" s="5">
        <f t="shared" si="10"/>
        <v>17850</v>
      </c>
      <c r="D44" s="5">
        <f t="shared" si="10"/>
        <v>6799</v>
      </c>
      <c r="E44" s="5">
        <f t="shared" si="10"/>
        <v>8859</v>
      </c>
      <c r="F44" s="5">
        <f t="shared" si="10"/>
        <v>11331</v>
      </c>
      <c r="G44" s="5">
        <f t="shared" si="10"/>
        <v>14495</v>
      </c>
      <c r="H44" s="4">
        <v>0</v>
      </c>
      <c r="I44" s="5">
        <f t="shared" ref="I44:M44" si="11">SUM(I40:I43)</f>
        <v>0</v>
      </c>
      <c r="J44" s="5">
        <f t="shared" si="11"/>
        <v>0</v>
      </c>
      <c r="K44" s="5">
        <f t="shared" si="11"/>
        <v>0</v>
      </c>
      <c r="L44" s="5">
        <f t="shared" si="11"/>
        <v>0</v>
      </c>
      <c r="M44" s="5">
        <f t="shared" si="11"/>
        <v>0</v>
      </c>
      <c r="N44" s="5">
        <f t="shared" si="9"/>
        <v>89148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N1"/>
    <mergeCell ref="A2:N2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1000"/>
  <sheetViews>
    <sheetView tabSelected="1" workbookViewId="0"/>
  </sheetViews>
  <sheetFormatPr defaultColWidth="14.42578125" defaultRowHeight="15" customHeight="1"/>
  <cols>
    <col min="1" max="1" width="6.140625" customWidth="1"/>
    <col min="2" max="2" width="19.140625" customWidth="1"/>
    <col min="3" max="11" width="7.7109375" customWidth="1"/>
    <col min="12" max="12" width="9" customWidth="1"/>
    <col min="13" max="14" width="7.7109375" customWidth="1"/>
    <col min="15" max="15" width="8.7109375" customWidth="1"/>
    <col min="16" max="26" width="8" customWidth="1"/>
  </cols>
  <sheetData>
    <row r="1" spans="1:26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2.75" customHeight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2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2" t="s">
        <v>0</v>
      </c>
      <c r="B9" s="2" t="s">
        <v>1</v>
      </c>
      <c r="C9" s="2" t="s">
        <v>2</v>
      </c>
      <c r="D9" s="2" t="s">
        <v>3</v>
      </c>
      <c r="E9" s="2" t="s">
        <v>4</v>
      </c>
      <c r="F9" s="2" t="s">
        <v>5</v>
      </c>
      <c r="G9" s="2" t="s">
        <v>6</v>
      </c>
      <c r="H9" s="2" t="s">
        <v>7</v>
      </c>
      <c r="I9" s="2" t="s">
        <v>8</v>
      </c>
      <c r="J9" s="2" t="s">
        <v>9</v>
      </c>
      <c r="K9" s="2" t="s">
        <v>20</v>
      </c>
      <c r="L9" s="2" t="s">
        <v>11</v>
      </c>
      <c r="M9" s="2" t="s">
        <v>12</v>
      </c>
      <c r="N9" s="2" t="s">
        <v>13</v>
      </c>
      <c r="O9" s="2" t="s">
        <v>14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3"/>
      <c r="B10" s="3" t="s">
        <v>15</v>
      </c>
      <c r="C10" s="4">
        <v>5268</v>
      </c>
      <c r="D10" s="4">
        <v>1947</v>
      </c>
      <c r="E10" s="4">
        <v>2559</v>
      </c>
      <c r="F10" s="4">
        <v>2714</v>
      </c>
      <c r="G10" s="4">
        <v>2725</v>
      </c>
      <c r="H10" s="4">
        <v>3884</v>
      </c>
      <c r="I10" s="4">
        <v>4880</v>
      </c>
      <c r="J10" s="4">
        <v>3236</v>
      </c>
      <c r="K10" s="4">
        <v>3950</v>
      </c>
      <c r="L10" s="4">
        <v>5599</v>
      </c>
      <c r="M10" s="4">
        <v>7318</v>
      </c>
      <c r="N10" s="4">
        <v>3916</v>
      </c>
      <c r="O10" s="14">
        <f t="shared" ref="O10:O11" si="0">SUM(C10:N10)</f>
        <v>47996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2">
        <v>2001</v>
      </c>
      <c r="B11" s="3" t="s">
        <v>16</v>
      </c>
      <c r="C11" s="4">
        <v>913</v>
      </c>
      <c r="D11" s="4">
        <v>734</v>
      </c>
      <c r="E11" s="4">
        <v>756</v>
      </c>
      <c r="F11" s="4">
        <v>676</v>
      </c>
      <c r="G11" s="4">
        <v>493</v>
      </c>
      <c r="H11" s="4">
        <v>345</v>
      </c>
      <c r="I11" s="4">
        <v>1122</v>
      </c>
      <c r="J11" s="4">
        <v>1055</v>
      </c>
      <c r="K11" s="4">
        <v>1520</v>
      </c>
      <c r="L11" s="4">
        <v>536</v>
      </c>
      <c r="M11" s="4">
        <v>512</v>
      </c>
      <c r="N11" s="4">
        <v>444</v>
      </c>
      <c r="O11" s="14">
        <f t="shared" si="0"/>
        <v>9106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>
      <c r="A12" s="2"/>
      <c r="B12" s="3" t="s">
        <v>14</v>
      </c>
      <c r="C12" s="5">
        <f t="shared" ref="C12:O12" si="1">SUM(C10:C11)</f>
        <v>6181</v>
      </c>
      <c r="D12" s="5">
        <f t="shared" si="1"/>
        <v>2681</v>
      </c>
      <c r="E12" s="5">
        <f t="shared" si="1"/>
        <v>3315</v>
      </c>
      <c r="F12" s="5">
        <f t="shared" si="1"/>
        <v>3390</v>
      </c>
      <c r="G12" s="5">
        <f t="shared" si="1"/>
        <v>3218</v>
      </c>
      <c r="H12" s="5">
        <f t="shared" si="1"/>
        <v>4229</v>
      </c>
      <c r="I12" s="5">
        <f t="shared" si="1"/>
        <v>6002</v>
      </c>
      <c r="J12" s="5">
        <f t="shared" si="1"/>
        <v>4291</v>
      </c>
      <c r="K12" s="5">
        <f t="shared" si="1"/>
        <v>5470</v>
      </c>
      <c r="L12" s="5">
        <f t="shared" si="1"/>
        <v>6135</v>
      </c>
      <c r="M12" s="5">
        <f t="shared" si="1"/>
        <v>7830</v>
      </c>
      <c r="N12" s="5">
        <f t="shared" si="1"/>
        <v>4360</v>
      </c>
      <c r="O12" s="5">
        <f t="shared" si="1"/>
        <v>57102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>
      <c r="A13" s="20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>
      <c r="A14" s="1"/>
      <c r="B14" s="17"/>
      <c r="C14" s="17"/>
      <c r="D14" s="17"/>
      <c r="E14" s="17"/>
      <c r="F14" s="17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>
      <c r="A15" s="2" t="s">
        <v>0</v>
      </c>
      <c r="B15" s="2" t="s">
        <v>1</v>
      </c>
      <c r="C15" s="2" t="s">
        <v>2</v>
      </c>
      <c r="D15" s="2" t="s">
        <v>32</v>
      </c>
      <c r="E15" s="2" t="s">
        <v>4</v>
      </c>
      <c r="F15" s="2" t="s">
        <v>5</v>
      </c>
      <c r="G15" s="2" t="s">
        <v>33</v>
      </c>
      <c r="H15" s="2" t="s">
        <v>34</v>
      </c>
      <c r="I15" s="2" t="s">
        <v>35</v>
      </c>
      <c r="J15" s="2" t="s">
        <v>36</v>
      </c>
      <c r="K15" s="2" t="s">
        <v>37</v>
      </c>
      <c r="L15" s="2" t="s">
        <v>38</v>
      </c>
      <c r="M15" s="2" t="s">
        <v>39</v>
      </c>
      <c r="N15" s="2" t="s">
        <v>13</v>
      </c>
      <c r="O15" s="2" t="s">
        <v>14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3"/>
      <c r="B16" s="3" t="s">
        <v>15</v>
      </c>
      <c r="C16" s="4">
        <v>4672</v>
      </c>
      <c r="D16" s="4">
        <v>741</v>
      </c>
      <c r="E16" s="4">
        <v>2525</v>
      </c>
      <c r="F16" s="4">
        <v>2038</v>
      </c>
      <c r="G16" s="4">
        <v>2115</v>
      </c>
      <c r="H16" s="4" t="s">
        <v>40</v>
      </c>
      <c r="I16" s="4" t="s">
        <v>40</v>
      </c>
      <c r="J16" s="4" t="s">
        <v>40</v>
      </c>
      <c r="K16" s="5" t="s">
        <v>40</v>
      </c>
      <c r="L16" s="4" t="s">
        <v>40</v>
      </c>
      <c r="M16" s="4" t="s">
        <v>40</v>
      </c>
      <c r="N16" s="4">
        <v>4350</v>
      </c>
      <c r="O16" s="14">
        <f t="shared" ref="O16:O17" si="2">SUM(C16:N16)</f>
        <v>16441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2">
        <v>2002</v>
      </c>
      <c r="B17" s="3" t="s">
        <v>16</v>
      </c>
      <c r="C17" s="4">
        <v>828</v>
      </c>
      <c r="D17" s="4">
        <v>265</v>
      </c>
      <c r="E17" s="4">
        <v>667</v>
      </c>
      <c r="F17" s="4">
        <v>562</v>
      </c>
      <c r="G17" s="4">
        <v>407</v>
      </c>
      <c r="H17" s="4" t="s">
        <v>40</v>
      </c>
      <c r="I17" s="4" t="s">
        <v>40</v>
      </c>
      <c r="J17" s="4" t="s">
        <v>40</v>
      </c>
      <c r="K17" s="5" t="s">
        <v>40</v>
      </c>
      <c r="L17" s="4" t="s">
        <v>40</v>
      </c>
      <c r="M17" s="4" t="s">
        <v>40</v>
      </c>
      <c r="N17" s="4">
        <v>202</v>
      </c>
      <c r="O17" s="14">
        <f t="shared" si="2"/>
        <v>2931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2"/>
      <c r="B18" s="3" t="s">
        <v>14</v>
      </c>
      <c r="C18" s="5">
        <f t="shared" ref="C18:M18" si="3">SUM(C16:C17)</f>
        <v>5500</v>
      </c>
      <c r="D18" s="5">
        <f t="shared" si="3"/>
        <v>1006</v>
      </c>
      <c r="E18" s="5">
        <f t="shared" si="3"/>
        <v>3192</v>
      </c>
      <c r="F18" s="5">
        <f t="shared" si="3"/>
        <v>2600</v>
      </c>
      <c r="G18" s="5">
        <f t="shared" si="3"/>
        <v>2522</v>
      </c>
      <c r="H18" s="5">
        <f t="shared" si="3"/>
        <v>0</v>
      </c>
      <c r="I18" s="5">
        <f t="shared" si="3"/>
        <v>0</v>
      </c>
      <c r="J18" s="5">
        <f t="shared" si="3"/>
        <v>0</v>
      </c>
      <c r="K18" s="5">
        <f t="shared" si="3"/>
        <v>0</v>
      </c>
      <c r="L18" s="5">
        <f t="shared" si="3"/>
        <v>0</v>
      </c>
      <c r="M18" s="5">
        <f t="shared" si="3"/>
        <v>0</v>
      </c>
      <c r="N18" s="5">
        <v>4552</v>
      </c>
      <c r="O18" s="5">
        <f>SUM(O16:O17)</f>
        <v>19372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7"/>
      <c r="B19" s="8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7"/>
      <c r="B20" s="8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2" t="s">
        <v>0</v>
      </c>
      <c r="B21" s="2" t="s">
        <v>1</v>
      </c>
      <c r="C21" s="2" t="s">
        <v>2</v>
      </c>
      <c r="D21" s="2" t="s">
        <v>41</v>
      </c>
      <c r="E21" s="2" t="s">
        <v>4</v>
      </c>
      <c r="F21" s="2" t="s">
        <v>5</v>
      </c>
      <c r="G21" s="2" t="s">
        <v>6</v>
      </c>
      <c r="H21" s="2" t="s">
        <v>7</v>
      </c>
      <c r="I21" s="2" t="s">
        <v>8</v>
      </c>
      <c r="J21" s="2" t="s">
        <v>42</v>
      </c>
      <c r="K21" s="2" t="s">
        <v>20</v>
      </c>
      <c r="L21" s="2" t="s">
        <v>11</v>
      </c>
      <c r="M21" s="2" t="s">
        <v>12</v>
      </c>
      <c r="N21" s="2" t="s">
        <v>13</v>
      </c>
      <c r="O21" s="2" t="s">
        <v>14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3"/>
      <c r="B22" s="3" t="s">
        <v>15</v>
      </c>
      <c r="C22" s="4">
        <v>7110</v>
      </c>
      <c r="D22" s="4">
        <v>3232</v>
      </c>
      <c r="E22" s="4">
        <v>4181</v>
      </c>
      <c r="F22" s="4">
        <v>6927</v>
      </c>
      <c r="G22" s="4">
        <v>5974</v>
      </c>
      <c r="H22" s="4">
        <v>6075</v>
      </c>
      <c r="I22" s="4">
        <v>8617</v>
      </c>
      <c r="J22" s="4">
        <v>6705</v>
      </c>
      <c r="K22" s="15">
        <v>7914</v>
      </c>
      <c r="L22" s="14">
        <v>9953</v>
      </c>
      <c r="M22" s="14">
        <v>8015</v>
      </c>
      <c r="N22" s="14">
        <v>7494</v>
      </c>
      <c r="O22" s="14">
        <f t="shared" ref="O22:O23" si="4">SUM(C22:N22)</f>
        <v>82197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2">
        <v>2003</v>
      </c>
      <c r="B23" s="3" t="s">
        <v>16</v>
      </c>
      <c r="C23" s="4">
        <v>624</v>
      </c>
      <c r="D23" s="4">
        <v>794</v>
      </c>
      <c r="E23" s="4">
        <v>514</v>
      </c>
      <c r="F23" s="4">
        <v>649</v>
      </c>
      <c r="G23" s="4">
        <v>699</v>
      </c>
      <c r="H23" s="4">
        <v>804</v>
      </c>
      <c r="I23" s="4">
        <v>2117</v>
      </c>
      <c r="J23" s="4">
        <v>1600</v>
      </c>
      <c r="K23" s="14">
        <v>1229</v>
      </c>
      <c r="L23" s="14">
        <v>1273</v>
      </c>
      <c r="M23" s="14">
        <v>1200</v>
      </c>
      <c r="N23" s="14">
        <v>831</v>
      </c>
      <c r="O23" s="14">
        <f t="shared" si="4"/>
        <v>12334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2"/>
      <c r="B24" s="3" t="s">
        <v>14</v>
      </c>
      <c r="C24" s="5">
        <f t="shared" ref="C24:O24" si="5">SUM(C22:C23)</f>
        <v>7734</v>
      </c>
      <c r="D24" s="5">
        <f t="shared" si="5"/>
        <v>4026</v>
      </c>
      <c r="E24" s="5">
        <f t="shared" si="5"/>
        <v>4695</v>
      </c>
      <c r="F24" s="5">
        <f t="shared" si="5"/>
        <v>7576</v>
      </c>
      <c r="G24" s="5">
        <f t="shared" si="5"/>
        <v>6673</v>
      </c>
      <c r="H24" s="5">
        <f t="shared" si="5"/>
        <v>6879</v>
      </c>
      <c r="I24" s="5">
        <f t="shared" si="5"/>
        <v>10734</v>
      </c>
      <c r="J24" s="5">
        <f t="shared" si="5"/>
        <v>8305</v>
      </c>
      <c r="K24" s="5">
        <f t="shared" si="5"/>
        <v>9143</v>
      </c>
      <c r="L24" s="5">
        <f t="shared" si="5"/>
        <v>11226</v>
      </c>
      <c r="M24" s="5">
        <f t="shared" si="5"/>
        <v>9215</v>
      </c>
      <c r="N24" s="5">
        <f t="shared" si="5"/>
        <v>8325</v>
      </c>
      <c r="O24" s="5">
        <f t="shared" si="5"/>
        <v>94531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7"/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1"/>
      <c r="B26" s="17"/>
      <c r="C26" s="1"/>
      <c r="D26" s="17"/>
      <c r="E26" s="1"/>
      <c r="F26" s="17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2" t="s">
        <v>0</v>
      </c>
      <c r="B27" s="2" t="s">
        <v>1</v>
      </c>
      <c r="C27" s="2" t="s">
        <v>2</v>
      </c>
      <c r="D27" s="2" t="s">
        <v>41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42</v>
      </c>
      <c r="K27" s="2" t="s">
        <v>20</v>
      </c>
      <c r="L27" s="2" t="s">
        <v>11</v>
      </c>
      <c r="M27" s="2" t="s">
        <v>12</v>
      </c>
      <c r="N27" s="2" t="s">
        <v>13</v>
      </c>
      <c r="O27" s="2" t="s">
        <v>14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3"/>
      <c r="B28" s="3" t="s">
        <v>15</v>
      </c>
      <c r="C28" s="4">
        <v>3765</v>
      </c>
      <c r="D28" s="4">
        <v>9816</v>
      </c>
      <c r="E28" s="4">
        <v>5501</v>
      </c>
      <c r="F28" s="4">
        <v>6291</v>
      </c>
      <c r="G28" s="4">
        <v>4707</v>
      </c>
      <c r="H28" s="4">
        <v>5738</v>
      </c>
      <c r="I28" s="4">
        <v>8422</v>
      </c>
      <c r="J28" s="4">
        <v>9224</v>
      </c>
      <c r="K28" s="15">
        <v>7502</v>
      </c>
      <c r="L28" s="14">
        <v>7733</v>
      </c>
      <c r="M28" s="14">
        <v>8990</v>
      </c>
      <c r="N28" s="14">
        <v>7908</v>
      </c>
      <c r="O28" s="14">
        <f t="shared" ref="O28:O29" si="6">SUM(C28:N28)</f>
        <v>85597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2">
        <v>2004</v>
      </c>
      <c r="B29" s="3" t="s">
        <v>16</v>
      </c>
      <c r="C29" s="4">
        <v>1524</v>
      </c>
      <c r="D29" s="4">
        <v>1713</v>
      </c>
      <c r="E29" s="4">
        <v>1075</v>
      </c>
      <c r="F29" s="4">
        <v>1115</v>
      </c>
      <c r="G29" s="4">
        <v>836</v>
      </c>
      <c r="H29" s="4">
        <v>941</v>
      </c>
      <c r="I29" s="4">
        <v>2689</v>
      </c>
      <c r="J29" s="4">
        <v>1686</v>
      </c>
      <c r="K29" s="14">
        <v>1700</v>
      </c>
      <c r="L29" s="14">
        <v>1371</v>
      </c>
      <c r="M29" s="14">
        <v>1318</v>
      </c>
      <c r="N29" s="14">
        <v>1677</v>
      </c>
      <c r="O29" s="14">
        <f t="shared" si="6"/>
        <v>17645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2"/>
      <c r="B30" s="3" t="s">
        <v>14</v>
      </c>
      <c r="C30" s="5">
        <f t="shared" ref="C30:O30" si="7">SUM(C28:C29)</f>
        <v>5289</v>
      </c>
      <c r="D30" s="5">
        <f t="shared" si="7"/>
        <v>11529</v>
      </c>
      <c r="E30" s="5">
        <f t="shared" si="7"/>
        <v>6576</v>
      </c>
      <c r="F30" s="5">
        <f t="shared" si="7"/>
        <v>7406</v>
      </c>
      <c r="G30" s="5">
        <f t="shared" si="7"/>
        <v>5543</v>
      </c>
      <c r="H30" s="5">
        <f t="shared" si="7"/>
        <v>6679</v>
      </c>
      <c r="I30" s="5">
        <f t="shared" si="7"/>
        <v>11111</v>
      </c>
      <c r="J30" s="5">
        <f t="shared" si="7"/>
        <v>10910</v>
      </c>
      <c r="K30" s="5">
        <f t="shared" si="7"/>
        <v>9202</v>
      </c>
      <c r="L30" s="5">
        <f t="shared" si="7"/>
        <v>9104</v>
      </c>
      <c r="M30" s="5">
        <f t="shared" si="7"/>
        <v>10308</v>
      </c>
      <c r="N30" s="5">
        <f t="shared" si="7"/>
        <v>9585</v>
      </c>
      <c r="O30" s="5">
        <f t="shared" si="7"/>
        <v>103242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7"/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7"/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2" t="s">
        <v>0</v>
      </c>
      <c r="B33" s="2" t="s">
        <v>1</v>
      </c>
      <c r="C33" s="2" t="s">
        <v>2</v>
      </c>
      <c r="D33" s="2" t="s">
        <v>41</v>
      </c>
      <c r="E33" s="2" t="s">
        <v>4</v>
      </c>
      <c r="F33" s="2" t="s">
        <v>5</v>
      </c>
      <c r="G33" s="2" t="s">
        <v>6</v>
      </c>
      <c r="H33" s="2" t="s">
        <v>7</v>
      </c>
      <c r="I33" s="2" t="s">
        <v>8</v>
      </c>
      <c r="J33" s="2" t="s">
        <v>42</v>
      </c>
      <c r="K33" s="2" t="s">
        <v>20</v>
      </c>
      <c r="L33" s="2" t="s">
        <v>11</v>
      </c>
      <c r="M33" s="2" t="s">
        <v>12</v>
      </c>
      <c r="N33" s="2" t="s">
        <v>13</v>
      </c>
      <c r="O33" s="2" t="s">
        <v>14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3"/>
      <c r="B34" s="3" t="s">
        <v>15</v>
      </c>
      <c r="C34" s="4">
        <v>8912</v>
      </c>
      <c r="D34" s="4">
        <v>4257</v>
      </c>
      <c r="E34" s="4">
        <v>4308</v>
      </c>
      <c r="F34" s="4">
        <v>4784</v>
      </c>
      <c r="G34" s="4">
        <v>4166</v>
      </c>
      <c r="H34" s="4">
        <v>9382</v>
      </c>
      <c r="I34" s="4">
        <v>7627</v>
      </c>
      <c r="J34" s="4">
        <v>6756</v>
      </c>
      <c r="K34" s="4">
        <v>5437</v>
      </c>
      <c r="L34" s="14">
        <v>8774</v>
      </c>
      <c r="M34" s="14">
        <v>8057</v>
      </c>
      <c r="N34" s="14">
        <v>8182</v>
      </c>
      <c r="O34" s="14">
        <f t="shared" ref="O34:O35" si="8">SUM(C34:N34)</f>
        <v>80642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2">
        <v>2005</v>
      </c>
      <c r="B35" s="3" t="s">
        <v>16</v>
      </c>
      <c r="C35" s="4">
        <v>1555</v>
      </c>
      <c r="D35" s="4">
        <v>1585</v>
      </c>
      <c r="E35" s="4">
        <v>1457</v>
      </c>
      <c r="F35" s="4">
        <v>989</v>
      </c>
      <c r="G35" s="4">
        <v>653</v>
      </c>
      <c r="H35" s="4">
        <v>786</v>
      </c>
      <c r="I35" s="4">
        <v>2446</v>
      </c>
      <c r="J35" s="4">
        <v>1618</v>
      </c>
      <c r="K35" s="4">
        <v>1476</v>
      </c>
      <c r="L35" s="14">
        <v>1511</v>
      </c>
      <c r="M35" s="14">
        <v>1838</v>
      </c>
      <c r="N35" s="14">
        <v>998</v>
      </c>
      <c r="O35" s="14">
        <f t="shared" si="8"/>
        <v>16912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2"/>
      <c r="B36" s="3" t="s">
        <v>14</v>
      </c>
      <c r="C36" s="5">
        <f t="shared" ref="C36:K36" si="9">SUM(C34:C35)</f>
        <v>10467</v>
      </c>
      <c r="D36" s="5">
        <f t="shared" si="9"/>
        <v>5842</v>
      </c>
      <c r="E36" s="5">
        <f t="shared" si="9"/>
        <v>5765</v>
      </c>
      <c r="F36" s="5">
        <f t="shared" si="9"/>
        <v>5773</v>
      </c>
      <c r="G36" s="5">
        <f t="shared" si="9"/>
        <v>4819</v>
      </c>
      <c r="H36" s="5">
        <f t="shared" si="9"/>
        <v>10168</v>
      </c>
      <c r="I36" s="5">
        <f t="shared" si="9"/>
        <v>10073</v>
      </c>
      <c r="J36" s="5">
        <f t="shared" si="9"/>
        <v>8374</v>
      </c>
      <c r="K36" s="5">
        <f t="shared" si="9"/>
        <v>6913</v>
      </c>
      <c r="L36" s="5">
        <v>10285</v>
      </c>
      <c r="M36" s="5">
        <f t="shared" ref="M36:O36" si="10">SUM(M34:M35)</f>
        <v>9895</v>
      </c>
      <c r="N36" s="5">
        <f t="shared" si="10"/>
        <v>9180</v>
      </c>
      <c r="O36" s="5">
        <f t="shared" si="10"/>
        <v>97554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7"/>
      <c r="B37" s="8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7"/>
      <c r="B38" s="8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8"/>
      <c r="B39" s="8"/>
      <c r="C39" s="17"/>
      <c r="D39" s="17"/>
      <c r="E39" s="17"/>
      <c r="F39" s="17"/>
      <c r="G39" s="17"/>
      <c r="H39" s="17"/>
      <c r="I39" s="17"/>
      <c r="J39" s="17"/>
      <c r="K39" s="18"/>
      <c r="L39" s="17"/>
      <c r="M39" s="17"/>
      <c r="N39" s="17"/>
      <c r="O39" s="17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7"/>
      <c r="B40" s="8"/>
      <c r="C40" s="17"/>
      <c r="D40" s="17"/>
      <c r="E40" s="17"/>
      <c r="F40" s="17"/>
      <c r="G40" s="17"/>
      <c r="H40" s="17"/>
      <c r="I40" s="17"/>
      <c r="J40" s="17"/>
      <c r="K40" s="19"/>
      <c r="L40" s="17"/>
      <c r="M40" s="17"/>
      <c r="N40" s="17"/>
      <c r="O40" s="17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7"/>
      <c r="B41" s="8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2" t="s">
        <v>0</v>
      </c>
      <c r="B49" s="2" t="s">
        <v>1</v>
      </c>
      <c r="C49" s="2" t="s">
        <v>2</v>
      </c>
      <c r="D49" s="2" t="s">
        <v>41</v>
      </c>
      <c r="E49" s="2" t="s">
        <v>4</v>
      </c>
      <c r="F49" s="2" t="s">
        <v>5</v>
      </c>
      <c r="G49" s="2" t="s">
        <v>6</v>
      </c>
      <c r="H49" s="2" t="s">
        <v>7</v>
      </c>
      <c r="I49" s="2" t="s">
        <v>8</v>
      </c>
      <c r="J49" s="2" t="s">
        <v>42</v>
      </c>
      <c r="K49" s="2" t="s">
        <v>20</v>
      </c>
      <c r="L49" s="2" t="s">
        <v>11</v>
      </c>
      <c r="M49" s="2" t="s">
        <v>12</v>
      </c>
      <c r="N49" s="2" t="s">
        <v>13</v>
      </c>
      <c r="O49" s="2" t="s">
        <v>14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3"/>
      <c r="B50" s="3" t="s">
        <v>15</v>
      </c>
      <c r="C50" s="4">
        <v>7246</v>
      </c>
      <c r="D50" s="4">
        <v>3352</v>
      </c>
      <c r="E50" s="4">
        <v>3827</v>
      </c>
      <c r="F50" s="4">
        <v>4513</v>
      </c>
      <c r="G50" s="4">
        <v>4040</v>
      </c>
      <c r="H50" s="4">
        <v>3205</v>
      </c>
      <c r="I50" s="4">
        <v>2874</v>
      </c>
      <c r="J50" s="4">
        <v>3330</v>
      </c>
      <c r="K50" s="4">
        <v>6734</v>
      </c>
      <c r="L50" s="4">
        <v>5794</v>
      </c>
      <c r="M50" s="4">
        <v>8298</v>
      </c>
      <c r="N50" s="4">
        <v>7274</v>
      </c>
      <c r="O50" s="4">
        <f t="shared" ref="O50:O52" si="11">SUM(C50:N50)</f>
        <v>60487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2">
        <v>2006</v>
      </c>
      <c r="B51" s="3" t="s">
        <v>16</v>
      </c>
      <c r="C51" s="4">
        <v>1271</v>
      </c>
      <c r="D51" s="4">
        <v>1439</v>
      </c>
      <c r="E51" s="4">
        <v>1549</v>
      </c>
      <c r="F51" s="4">
        <v>1197</v>
      </c>
      <c r="G51" s="4">
        <v>1451</v>
      </c>
      <c r="H51" s="4">
        <v>963</v>
      </c>
      <c r="I51" s="4">
        <v>2222</v>
      </c>
      <c r="J51" s="4">
        <v>1101</v>
      </c>
      <c r="K51" s="4">
        <v>1310</v>
      </c>
      <c r="L51" s="4">
        <v>997</v>
      </c>
      <c r="M51" s="4">
        <v>979</v>
      </c>
      <c r="N51" s="4">
        <v>874</v>
      </c>
      <c r="O51" s="4">
        <f t="shared" si="11"/>
        <v>15353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2"/>
      <c r="B52" s="3" t="s">
        <v>14</v>
      </c>
      <c r="C52" s="5">
        <f>SUM(C50:C51)</f>
        <v>8517</v>
      </c>
      <c r="D52" s="5">
        <v>4791</v>
      </c>
      <c r="E52" s="5">
        <v>5376</v>
      </c>
      <c r="F52" s="5">
        <v>5710</v>
      </c>
      <c r="G52" s="5">
        <v>5491</v>
      </c>
      <c r="H52" s="5">
        <v>4168</v>
      </c>
      <c r="I52" s="5">
        <v>5096</v>
      </c>
      <c r="J52" s="5">
        <f t="shared" ref="J52:K52" si="12">SUM(J50:J51)</f>
        <v>4431</v>
      </c>
      <c r="K52" s="5">
        <f t="shared" si="12"/>
        <v>8044</v>
      </c>
      <c r="L52" s="5">
        <v>6791</v>
      </c>
      <c r="M52" s="5">
        <v>9276</v>
      </c>
      <c r="N52" s="5">
        <v>8148</v>
      </c>
      <c r="O52" s="5">
        <f t="shared" si="11"/>
        <v>75839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7"/>
      <c r="B53" s="8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7"/>
      <c r="B54" s="8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2" t="s">
        <v>0</v>
      </c>
      <c r="B55" s="2" t="s">
        <v>1</v>
      </c>
      <c r="C55" s="2" t="s">
        <v>2</v>
      </c>
      <c r="D55" s="2" t="s">
        <v>41</v>
      </c>
      <c r="E55" s="2" t="s">
        <v>4</v>
      </c>
      <c r="F55" s="2" t="s">
        <v>5</v>
      </c>
      <c r="G55" s="2" t="s">
        <v>6</v>
      </c>
      <c r="H55" s="2" t="s">
        <v>7</v>
      </c>
      <c r="I55" s="2" t="s">
        <v>8</v>
      </c>
      <c r="J55" s="2" t="s">
        <v>42</v>
      </c>
      <c r="K55" s="2" t="s">
        <v>20</v>
      </c>
      <c r="L55" s="2" t="s">
        <v>11</v>
      </c>
      <c r="M55" s="2" t="s">
        <v>12</v>
      </c>
      <c r="N55" s="2" t="s">
        <v>13</v>
      </c>
      <c r="O55" s="2" t="s">
        <v>14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3"/>
      <c r="B56" s="3" t="s">
        <v>15</v>
      </c>
      <c r="C56" s="4">
        <v>8422</v>
      </c>
      <c r="D56" s="4">
        <f>3634+1133</f>
        <v>4767</v>
      </c>
      <c r="E56" s="4">
        <f>1422+764</f>
        <v>2186</v>
      </c>
      <c r="F56" s="4">
        <f>1863+1331</f>
        <v>3194</v>
      </c>
      <c r="G56" s="4">
        <f>1457+2468</f>
        <v>3925</v>
      </c>
      <c r="H56" s="4">
        <v>2934</v>
      </c>
      <c r="I56" s="4">
        <f>1340+4030</f>
        <v>5370</v>
      </c>
      <c r="J56" s="4">
        <f>1298+2957</f>
        <v>4255</v>
      </c>
      <c r="K56" s="4">
        <f>1682+3871</f>
        <v>5553</v>
      </c>
      <c r="L56" s="4">
        <f>2137+4571</f>
        <v>6708</v>
      </c>
      <c r="M56" s="4">
        <f>2179+5536</f>
        <v>7715</v>
      </c>
      <c r="N56" s="4">
        <f>1445+4081</f>
        <v>5526</v>
      </c>
      <c r="O56" s="4">
        <f t="shared" ref="O56:O58" si="13">SUM(C56:N56)</f>
        <v>60555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2">
        <v>2007</v>
      </c>
      <c r="B57" s="3" t="s">
        <v>16</v>
      </c>
      <c r="C57" s="4">
        <v>1220</v>
      </c>
      <c r="D57" s="4">
        <v>1256</v>
      </c>
      <c r="E57" s="4">
        <v>920</v>
      </c>
      <c r="F57" s="4">
        <v>1271</v>
      </c>
      <c r="G57" s="4">
        <v>1080</v>
      </c>
      <c r="H57" s="4">
        <v>603</v>
      </c>
      <c r="I57" s="4">
        <v>1479</v>
      </c>
      <c r="J57" s="4">
        <v>1096</v>
      </c>
      <c r="K57" s="4">
        <v>892</v>
      </c>
      <c r="L57" s="4">
        <v>569</v>
      </c>
      <c r="M57" s="4">
        <v>633</v>
      </c>
      <c r="N57" s="4">
        <v>580</v>
      </c>
      <c r="O57" s="4">
        <f t="shared" si="13"/>
        <v>11599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2"/>
      <c r="B58" s="3" t="s">
        <v>14</v>
      </c>
      <c r="C58" s="5">
        <f t="shared" ref="C58:F58" si="14">SUM(C56:C57)</f>
        <v>9642</v>
      </c>
      <c r="D58" s="5">
        <f t="shared" si="14"/>
        <v>6023</v>
      </c>
      <c r="E58" s="5">
        <f t="shared" si="14"/>
        <v>3106</v>
      </c>
      <c r="F58" s="5">
        <f t="shared" si="14"/>
        <v>4465</v>
      </c>
      <c r="G58" s="5">
        <v>5005</v>
      </c>
      <c r="H58" s="5">
        <v>3537</v>
      </c>
      <c r="I58" s="5">
        <v>6849</v>
      </c>
      <c r="J58" s="5">
        <f t="shared" ref="J58:N58" si="15">SUM(J56:J57)</f>
        <v>5351</v>
      </c>
      <c r="K58" s="5">
        <f t="shared" si="15"/>
        <v>6445</v>
      </c>
      <c r="L58" s="5">
        <f t="shared" si="15"/>
        <v>7277</v>
      </c>
      <c r="M58" s="5">
        <f t="shared" si="15"/>
        <v>8348</v>
      </c>
      <c r="N58" s="5">
        <f t="shared" si="15"/>
        <v>6106</v>
      </c>
      <c r="O58" s="5">
        <f t="shared" si="13"/>
        <v>72154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7"/>
      <c r="B59" s="8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7"/>
      <c r="B60" s="8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2" t="s">
        <v>0</v>
      </c>
      <c r="B61" s="2" t="s">
        <v>1</v>
      </c>
      <c r="C61" s="2" t="s">
        <v>2</v>
      </c>
      <c r="D61" s="2" t="s">
        <v>41</v>
      </c>
      <c r="E61" s="2" t="s">
        <v>4</v>
      </c>
      <c r="F61" s="2" t="s">
        <v>5</v>
      </c>
      <c r="G61" s="2" t="s">
        <v>6</v>
      </c>
      <c r="H61" s="2" t="s">
        <v>7</v>
      </c>
      <c r="I61" s="2" t="s">
        <v>8</v>
      </c>
      <c r="J61" s="2" t="s">
        <v>42</v>
      </c>
      <c r="K61" s="2" t="s">
        <v>20</v>
      </c>
      <c r="L61" s="2" t="s">
        <v>11</v>
      </c>
      <c r="M61" s="2" t="s">
        <v>12</v>
      </c>
      <c r="N61" s="2" t="s">
        <v>13</v>
      </c>
      <c r="O61" s="2" t="s">
        <v>14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3"/>
      <c r="B62" s="3" t="s">
        <v>15</v>
      </c>
      <c r="C62" s="4">
        <v>5356</v>
      </c>
      <c r="D62" s="4">
        <v>1240</v>
      </c>
      <c r="E62" s="4">
        <v>1390</v>
      </c>
      <c r="F62" s="4">
        <v>2220</v>
      </c>
      <c r="G62" s="4">
        <v>2853</v>
      </c>
      <c r="H62" s="4">
        <v>1821</v>
      </c>
      <c r="I62" s="4">
        <v>4063</v>
      </c>
      <c r="J62" s="4">
        <v>2845</v>
      </c>
      <c r="K62" s="4">
        <v>4289</v>
      </c>
      <c r="L62" s="4">
        <v>6214</v>
      </c>
      <c r="M62" s="4">
        <v>6027</v>
      </c>
      <c r="N62" s="4">
        <v>3964</v>
      </c>
      <c r="O62" s="4">
        <f t="shared" ref="O62:O64" si="16">SUM(C62:N62)</f>
        <v>42282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2">
        <v>2008</v>
      </c>
      <c r="B63" s="3" t="s">
        <v>16</v>
      </c>
      <c r="C63" s="4">
        <v>2575</v>
      </c>
      <c r="D63" s="4">
        <v>227</v>
      </c>
      <c r="E63" s="4">
        <v>187</v>
      </c>
      <c r="F63" s="4">
        <v>108</v>
      </c>
      <c r="G63" s="4">
        <v>178</v>
      </c>
      <c r="H63" s="4">
        <v>63</v>
      </c>
      <c r="I63" s="4">
        <v>203</v>
      </c>
      <c r="J63" s="4">
        <v>274</v>
      </c>
      <c r="K63" s="4">
        <v>273</v>
      </c>
      <c r="L63" s="4">
        <v>412</v>
      </c>
      <c r="M63" s="4">
        <v>92</v>
      </c>
      <c r="N63" s="4">
        <v>123</v>
      </c>
      <c r="O63" s="4">
        <f t="shared" si="16"/>
        <v>4715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2"/>
      <c r="B64" s="3" t="s">
        <v>14</v>
      </c>
      <c r="C64" s="5">
        <f t="shared" ref="C64:N64" si="17">SUM(C62:C63)</f>
        <v>7931</v>
      </c>
      <c r="D64" s="5">
        <f t="shared" si="17"/>
        <v>1467</v>
      </c>
      <c r="E64" s="5">
        <f t="shared" si="17"/>
        <v>1577</v>
      </c>
      <c r="F64" s="5">
        <f t="shared" si="17"/>
        <v>2328</v>
      </c>
      <c r="G64" s="5">
        <f t="shared" si="17"/>
        <v>3031</v>
      </c>
      <c r="H64" s="5">
        <f t="shared" si="17"/>
        <v>1884</v>
      </c>
      <c r="I64" s="5">
        <f t="shared" si="17"/>
        <v>4266</v>
      </c>
      <c r="J64" s="5">
        <f t="shared" si="17"/>
        <v>3119</v>
      </c>
      <c r="K64" s="5">
        <f t="shared" si="17"/>
        <v>4562</v>
      </c>
      <c r="L64" s="5">
        <f t="shared" si="17"/>
        <v>6626</v>
      </c>
      <c r="M64" s="5">
        <f t="shared" si="17"/>
        <v>6119</v>
      </c>
      <c r="N64" s="5">
        <f t="shared" si="17"/>
        <v>4087</v>
      </c>
      <c r="O64" s="5">
        <f t="shared" si="16"/>
        <v>46997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27" t="s">
        <v>43</v>
      </c>
      <c r="B65" s="39"/>
      <c r="C65" s="39"/>
      <c r="D65" s="3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7"/>
      <c r="M67" s="1"/>
      <c r="N67" s="17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2" t="s">
        <v>0</v>
      </c>
      <c r="B68" s="2" t="s">
        <v>1</v>
      </c>
      <c r="C68" s="2" t="s">
        <v>2</v>
      </c>
      <c r="D68" s="2" t="s">
        <v>41</v>
      </c>
      <c r="E68" s="2" t="s">
        <v>4</v>
      </c>
      <c r="F68" s="2" t="s">
        <v>5</v>
      </c>
      <c r="G68" s="2" t="s">
        <v>6</v>
      </c>
      <c r="H68" s="2" t="s">
        <v>7</v>
      </c>
      <c r="I68" s="2" t="s">
        <v>8</v>
      </c>
      <c r="J68" s="2" t="s">
        <v>42</v>
      </c>
      <c r="K68" s="2" t="s">
        <v>20</v>
      </c>
      <c r="L68" s="2" t="s">
        <v>11</v>
      </c>
      <c r="M68" s="2" t="s">
        <v>12</v>
      </c>
      <c r="N68" s="2" t="s">
        <v>13</v>
      </c>
      <c r="O68" s="2" t="s">
        <v>14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3"/>
      <c r="B69" s="3" t="s">
        <v>15</v>
      </c>
      <c r="C69" s="4">
        <v>3591</v>
      </c>
      <c r="D69" s="4">
        <v>1438</v>
      </c>
      <c r="E69" s="4">
        <v>1432</v>
      </c>
      <c r="F69" s="4">
        <v>2117</v>
      </c>
      <c r="G69" s="4">
        <v>2428</v>
      </c>
      <c r="H69" s="4">
        <v>1882</v>
      </c>
      <c r="I69" s="4">
        <v>1841</v>
      </c>
      <c r="J69" s="4">
        <v>620</v>
      </c>
      <c r="K69" s="4">
        <v>1594</v>
      </c>
      <c r="L69" s="4">
        <v>3817</v>
      </c>
      <c r="M69" s="4">
        <v>5929</v>
      </c>
      <c r="N69" s="4">
        <v>2587</v>
      </c>
      <c r="O69" s="4">
        <f t="shared" ref="O69:O71" si="18">SUM(C69:N69)</f>
        <v>29276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2">
        <v>2009</v>
      </c>
      <c r="B70" s="3" t="s">
        <v>16</v>
      </c>
      <c r="C70" s="4">
        <v>231</v>
      </c>
      <c r="D70" s="4">
        <v>126</v>
      </c>
      <c r="E70" s="4">
        <v>140</v>
      </c>
      <c r="F70" s="4">
        <v>84</v>
      </c>
      <c r="G70" s="4">
        <v>142</v>
      </c>
      <c r="H70" s="4">
        <v>86</v>
      </c>
      <c r="I70" s="4">
        <v>136</v>
      </c>
      <c r="J70" s="4">
        <v>96</v>
      </c>
      <c r="K70" s="4">
        <v>256</v>
      </c>
      <c r="L70" s="4">
        <v>248</v>
      </c>
      <c r="M70" s="4">
        <v>132</v>
      </c>
      <c r="N70" s="4">
        <v>52</v>
      </c>
      <c r="O70" s="4">
        <f t="shared" si="18"/>
        <v>1729</v>
      </c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2"/>
      <c r="B71" s="3" t="s">
        <v>14</v>
      </c>
      <c r="C71" s="5">
        <f t="shared" ref="C71:D71" si="19">SUM(C69:C70)</f>
        <v>3822</v>
      </c>
      <c r="D71" s="5">
        <f t="shared" si="19"/>
        <v>1564</v>
      </c>
      <c r="E71" s="5">
        <v>1572</v>
      </c>
      <c r="F71" s="5">
        <f t="shared" ref="F71:N71" si="20">SUM(F69:F70)</f>
        <v>2201</v>
      </c>
      <c r="G71" s="5">
        <f t="shared" si="20"/>
        <v>2570</v>
      </c>
      <c r="H71" s="5">
        <f t="shared" si="20"/>
        <v>1968</v>
      </c>
      <c r="I71" s="5">
        <f t="shared" si="20"/>
        <v>1977</v>
      </c>
      <c r="J71" s="5">
        <f t="shared" si="20"/>
        <v>716</v>
      </c>
      <c r="K71" s="5">
        <f t="shared" si="20"/>
        <v>1850</v>
      </c>
      <c r="L71" s="5">
        <f t="shared" si="20"/>
        <v>4065</v>
      </c>
      <c r="M71" s="5">
        <f t="shared" si="20"/>
        <v>6061</v>
      </c>
      <c r="N71" s="5">
        <f t="shared" si="20"/>
        <v>2639</v>
      </c>
      <c r="O71" s="5">
        <f t="shared" si="18"/>
        <v>31005</v>
      </c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21" t="s">
        <v>44</v>
      </c>
      <c r="B72" s="2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2" t="s">
        <v>0</v>
      </c>
      <c r="B75" s="2" t="s">
        <v>1</v>
      </c>
      <c r="C75" s="2" t="s">
        <v>2</v>
      </c>
      <c r="D75" s="2" t="s">
        <v>41</v>
      </c>
      <c r="E75" s="2" t="s">
        <v>4</v>
      </c>
      <c r="F75" s="2" t="s">
        <v>5</v>
      </c>
      <c r="G75" s="2" t="s">
        <v>6</v>
      </c>
      <c r="H75" s="2" t="s">
        <v>7</v>
      </c>
      <c r="I75" s="2" t="s">
        <v>8</v>
      </c>
      <c r="J75" s="2" t="s">
        <v>42</v>
      </c>
      <c r="K75" s="2" t="s">
        <v>20</v>
      </c>
      <c r="L75" s="2" t="s">
        <v>11</v>
      </c>
      <c r="M75" s="2" t="s">
        <v>12</v>
      </c>
      <c r="N75" s="2" t="s">
        <v>13</v>
      </c>
      <c r="O75" s="2" t="s">
        <v>14</v>
      </c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3"/>
      <c r="B76" s="3" t="s">
        <v>15</v>
      </c>
      <c r="C76" s="4">
        <v>2569</v>
      </c>
      <c r="D76" s="4">
        <v>982</v>
      </c>
      <c r="E76" s="4">
        <v>1700</v>
      </c>
      <c r="F76" s="4" t="s">
        <v>40</v>
      </c>
      <c r="G76" s="4" t="s">
        <v>40</v>
      </c>
      <c r="H76" s="4" t="s">
        <v>40</v>
      </c>
      <c r="I76" s="4" t="s">
        <v>40</v>
      </c>
      <c r="J76" s="4" t="s">
        <v>40</v>
      </c>
      <c r="K76" s="4" t="s">
        <v>40</v>
      </c>
      <c r="L76" s="4" t="s">
        <v>40</v>
      </c>
      <c r="M76" s="4" t="s">
        <v>40</v>
      </c>
      <c r="N76" s="4" t="s">
        <v>40</v>
      </c>
      <c r="O76" s="4">
        <f t="shared" ref="O76:O78" si="21">SUM(C76:N76)</f>
        <v>5251</v>
      </c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2">
        <v>2010</v>
      </c>
      <c r="B77" s="3" t="s">
        <v>16</v>
      </c>
      <c r="C77" s="4">
        <v>122</v>
      </c>
      <c r="D77" s="4">
        <v>126</v>
      </c>
      <c r="E77" s="4">
        <v>83</v>
      </c>
      <c r="F77" s="4" t="s">
        <v>40</v>
      </c>
      <c r="G77" s="4" t="s">
        <v>40</v>
      </c>
      <c r="H77" s="4" t="s">
        <v>40</v>
      </c>
      <c r="I77" s="4" t="s">
        <v>40</v>
      </c>
      <c r="J77" s="4" t="s">
        <v>40</v>
      </c>
      <c r="K77" s="4" t="s">
        <v>40</v>
      </c>
      <c r="L77" s="4" t="s">
        <v>40</v>
      </c>
      <c r="M77" s="4" t="s">
        <v>40</v>
      </c>
      <c r="N77" s="4" t="s">
        <v>40</v>
      </c>
      <c r="O77" s="4">
        <f t="shared" si="21"/>
        <v>331</v>
      </c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2"/>
      <c r="B78" s="3" t="s">
        <v>14</v>
      </c>
      <c r="C78" s="5">
        <f t="shared" ref="C78:N78" si="22">SUM(C76:C77)</f>
        <v>2691</v>
      </c>
      <c r="D78" s="5">
        <f t="shared" si="22"/>
        <v>1108</v>
      </c>
      <c r="E78" s="5">
        <f t="shared" si="22"/>
        <v>1783</v>
      </c>
      <c r="F78" s="5">
        <f t="shared" si="22"/>
        <v>0</v>
      </c>
      <c r="G78" s="5">
        <f t="shared" si="22"/>
        <v>0</v>
      </c>
      <c r="H78" s="5">
        <f t="shared" si="22"/>
        <v>0</v>
      </c>
      <c r="I78" s="5">
        <f t="shared" si="22"/>
        <v>0</v>
      </c>
      <c r="J78" s="5">
        <f t="shared" si="22"/>
        <v>0</v>
      </c>
      <c r="K78" s="5">
        <f t="shared" si="22"/>
        <v>0</v>
      </c>
      <c r="L78" s="5">
        <f t="shared" si="22"/>
        <v>0</v>
      </c>
      <c r="M78" s="5">
        <f t="shared" si="22"/>
        <v>0</v>
      </c>
      <c r="N78" s="5">
        <f t="shared" si="22"/>
        <v>0</v>
      </c>
      <c r="O78" s="5">
        <f t="shared" si="21"/>
        <v>5582</v>
      </c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21" t="s">
        <v>44</v>
      </c>
      <c r="B79" s="2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21" t="s">
        <v>45</v>
      </c>
      <c r="B80" s="2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A65:D65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SMTR</dc:creator>
  <cp:keywords/>
  <dc:description/>
  <cp:lastModifiedBy>Larissa Daiana de Almeida Barbado</cp:lastModifiedBy>
  <cp:revision/>
  <dcterms:created xsi:type="dcterms:W3CDTF">2002-07-01T13:05:21Z</dcterms:created>
  <dcterms:modified xsi:type="dcterms:W3CDTF">2021-11-04T21:51:41Z</dcterms:modified>
  <cp:category/>
  <cp:contentStatus/>
</cp:coreProperties>
</file>