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8.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9.xml" ContentType="application/vnd.openxmlformats-officedocument.drawing+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3.xml" ContentType="application/vnd.ms-excel.person+xml"/>
  <Override PartName="/xl/persons/person1.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https://d.docs.live.net/115aaa1727fef139/Desktop/"/>
    </mc:Choice>
  </mc:AlternateContent>
  <xr:revisionPtr revIDLastSave="100" documentId="8_{6B22FAB9-8AD2-46CC-9105-DFF62FF55C27}" xr6:coauthVersionLast="47" xr6:coauthVersionMax="47" xr10:uidLastSave="{A2A6046A-5B24-4750-B705-98EF35F69104}"/>
  <bookViews>
    <workbookView xWindow="1152" yWindow="1152" windowWidth="17280" windowHeight="8880" xr2:uid="{55B31250-FC62-4DD7-94C7-09CC5B44EC99}"/>
  </bookViews>
  <sheets>
    <sheet name="P. 1" sheetId="1" r:id="rId1"/>
    <sheet name="p.2" sheetId="2" r:id="rId2"/>
    <sheet name="p.3" sheetId="3" r:id="rId3"/>
    <sheet name="p.4" sheetId="4" r:id="rId4"/>
    <sheet name="p.5" sheetId="5" r:id="rId5"/>
    <sheet name="P.6" sheetId="6" r:id="rId6"/>
    <sheet name="p.7" sheetId="7" r:id="rId7"/>
    <sheet name="p.8" sheetId="8" r:id="rId8"/>
    <sheet name="p.9" sheetId="9" r:id="rId9"/>
  </sheets>
  <definedNames>
    <definedName name="_xlnm._FilterDatabase" localSheetId="0" hidden="1">'P. 1'!$A$1:$F$21</definedName>
    <definedName name="_xlchart.v1.0" hidden="1">p.2!$A$1</definedName>
    <definedName name="_xlchart.v1.1" hidden="1">p.2!$A$2:$A$101</definedName>
  </definedNames>
  <calcPr calcId="181029"/>
  <pivotCaches>
    <pivotCache cacheId="7" r:id="rId10"/>
    <pivotCache cacheId="1" r:id="rId1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8" l="1"/>
  <c r="E6" i="8"/>
  <c r="E4" i="8"/>
  <c r="N4" i="7"/>
  <c r="F29" i="3"/>
  <c r="F27" i="3"/>
  <c r="F26" i="3"/>
  <c r="N24" i="3"/>
  <c r="N25" i="3"/>
  <c r="N26" i="3"/>
  <c r="N27" i="3"/>
  <c r="N28" i="3"/>
  <c r="N23" i="3"/>
  <c r="E7" i="8"/>
  <c r="E3" i="8"/>
  <c r="D22" i="8"/>
  <c r="M80" i="2"/>
  <c r="M78" i="2"/>
  <c r="M79" i="2" l="1"/>
  <c r="J83" i="2"/>
  <c r="M82" i="2" l="1"/>
  <c r="K84" i="2"/>
  <c r="J84" i="2"/>
  <c r="K78" i="2"/>
  <c r="K79" i="2"/>
  <c r="K80" i="2"/>
  <c r="K81" i="2"/>
  <c r="K82" i="2"/>
  <c r="K83" i="2"/>
  <c r="K77" i="2"/>
  <c r="J78" i="2"/>
  <c r="J79" i="2"/>
  <c r="J80" i="2"/>
  <c r="J81" i="2"/>
  <c r="J82" i="2"/>
  <c r="J77" i="2"/>
  <c r="I77" i="2"/>
  <c r="F30" i="3"/>
  <c r="J24" i="3"/>
  <c r="J18" i="3"/>
  <c r="E3"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2" i="6"/>
  <c r="E2" i="6"/>
  <c r="I84" i="2"/>
  <c r="I78" i="2"/>
  <c r="I79" i="2"/>
  <c r="I80" i="2"/>
  <c r="I81" i="2"/>
  <c r="I82" i="2"/>
  <c r="I83" i="2"/>
  <c r="M77" i="2"/>
  <c r="G26" i="3"/>
  <c r="N76" i="2"/>
  <c r="J21" i="3"/>
  <c r="J19" i="3"/>
  <c r="J20" i="3"/>
  <c r="J22" i="3"/>
  <c r="J23" i="3"/>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2" i="6"/>
  <c r="B62" i="9"/>
  <c r="D54" i="9"/>
  <c r="C25" i="9" l="1"/>
  <c r="P4" i="8"/>
  <c r="R4" i="8" s="1"/>
  <c r="P5" i="8"/>
  <c r="S5" i="8" s="1"/>
  <c r="P6" i="8"/>
  <c r="P7" i="8"/>
  <c r="P8" i="8"/>
  <c r="P9" i="8"/>
  <c r="P10" i="8"/>
  <c r="P11" i="8"/>
  <c r="R11" i="8" s="1"/>
  <c r="P12" i="8"/>
  <c r="R12" i="8" s="1"/>
  <c r="P13" i="8"/>
  <c r="S13" i="8" s="1"/>
  <c r="P14" i="8"/>
  <c r="P15" i="8"/>
  <c r="P16" i="8"/>
  <c r="P17" i="8"/>
  <c r="P18" i="8"/>
  <c r="P19" i="8"/>
  <c r="R19" i="8" s="1"/>
  <c r="P20" i="8"/>
  <c r="R20" i="8" s="1"/>
  <c r="P21" i="8"/>
  <c r="S21" i="8" s="1"/>
  <c r="P22" i="8"/>
  <c r="P3" i="8"/>
  <c r="R3" i="8" s="1"/>
  <c r="T15" i="8"/>
  <c r="T4" i="8"/>
  <c r="T5" i="8"/>
  <c r="T6" i="8"/>
  <c r="T7" i="8"/>
  <c r="T8" i="8"/>
  <c r="T9" i="8"/>
  <c r="T10" i="8"/>
  <c r="T12" i="8"/>
  <c r="T13" i="8"/>
  <c r="T14" i="8"/>
  <c r="T16" i="8"/>
  <c r="T17" i="8"/>
  <c r="T18" i="8"/>
  <c r="T21" i="8"/>
  <c r="T22" i="8"/>
  <c r="S4" i="8"/>
  <c r="S6" i="8"/>
  <c r="S7" i="8"/>
  <c r="S8" i="8"/>
  <c r="S9" i="8"/>
  <c r="S10" i="8"/>
  <c r="S11" i="8"/>
  <c r="S12" i="8"/>
  <c r="S14" i="8"/>
  <c r="S15" i="8"/>
  <c r="S16" i="8"/>
  <c r="S17" i="8"/>
  <c r="S18" i="8"/>
  <c r="S19" i="8"/>
  <c r="S20" i="8"/>
  <c r="S22" i="8"/>
  <c r="R6" i="8"/>
  <c r="R7" i="8"/>
  <c r="R8" i="8"/>
  <c r="R9" i="8"/>
  <c r="R10" i="8"/>
  <c r="R14" i="8"/>
  <c r="R16" i="8"/>
  <c r="R17" i="8"/>
  <c r="R18" i="8"/>
  <c r="R22" i="8"/>
  <c r="Q5" i="8"/>
  <c r="Q6" i="8"/>
  <c r="Q7" i="8"/>
  <c r="Q8" i="8"/>
  <c r="Q9" i="8"/>
  <c r="Q10" i="8"/>
  <c r="Q13" i="8"/>
  <c r="Q14" i="8"/>
  <c r="Q15" i="8"/>
  <c r="Q16" i="8"/>
  <c r="Q17" i="8"/>
  <c r="Q18" i="8"/>
  <c r="Q21" i="8"/>
  <c r="Q22" i="8"/>
  <c r="Q3" i="8"/>
  <c r="H22" i="8"/>
  <c r="H21" i="8"/>
  <c r="H20" i="8"/>
  <c r="H19" i="8"/>
  <c r="E8" i="8"/>
  <c r="E9" i="8"/>
  <c r="E10" i="8"/>
  <c r="E11" i="8"/>
  <c r="E12" i="8"/>
  <c r="E13" i="8"/>
  <c r="E14" i="8"/>
  <c r="E15" i="8"/>
  <c r="E16" i="8"/>
  <c r="E17" i="8"/>
  <c r="E18" i="8"/>
  <c r="E19" i="8"/>
  <c r="E20" i="8"/>
  <c r="E21" i="8"/>
  <c r="E2" i="8"/>
  <c r="D3" i="8"/>
  <c r="D4" i="8"/>
  <c r="D5" i="8"/>
  <c r="D6" i="8"/>
  <c r="D7" i="8"/>
  <c r="D8" i="8"/>
  <c r="D9" i="8"/>
  <c r="D10" i="8"/>
  <c r="D11" i="8"/>
  <c r="D12" i="8"/>
  <c r="D13" i="8"/>
  <c r="D14" i="8"/>
  <c r="D15" i="8"/>
  <c r="D16" i="8"/>
  <c r="D17" i="8"/>
  <c r="D18" i="8"/>
  <c r="D19" i="8"/>
  <c r="D20" i="8"/>
  <c r="D21" i="8"/>
  <c r="D2" i="8"/>
  <c r="B23" i="8"/>
  <c r="C22" i="8"/>
  <c r="B22" i="8"/>
  <c r="C3" i="8"/>
  <c r="C4" i="8"/>
  <c r="C5" i="8"/>
  <c r="C6" i="8"/>
  <c r="C7" i="8"/>
  <c r="C8" i="8"/>
  <c r="C9" i="8"/>
  <c r="C10" i="8"/>
  <c r="C11" i="8"/>
  <c r="C12" i="8"/>
  <c r="C13" i="8"/>
  <c r="C14" i="8"/>
  <c r="C15" i="8"/>
  <c r="C16" i="8"/>
  <c r="C17" i="8"/>
  <c r="C18" i="8"/>
  <c r="C19" i="8"/>
  <c r="C20" i="8"/>
  <c r="C21" i="8"/>
  <c r="C2" i="8"/>
  <c r="H22" i="7"/>
  <c r="H21" i="7"/>
  <c r="H20"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M84" i="7"/>
  <c r="M83" i="7"/>
  <c r="M82" i="7"/>
  <c r="M81" i="7"/>
  <c r="M80" i="7"/>
  <c r="M79" i="7"/>
  <c r="M78" i="7"/>
  <c r="M77" i="7"/>
  <c r="M76" i="7"/>
  <c r="M75" i="7"/>
  <c r="M74" i="7"/>
  <c r="M73" i="7"/>
  <c r="M72" i="7"/>
  <c r="M71" i="7"/>
  <c r="M70" i="7"/>
  <c r="M69" i="7"/>
  <c r="M68" i="7"/>
  <c r="M67" i="7"/>
  <c r="M66" i="7"/>
  <c r="M65" i="7"/>
  <c r="M64" i="7"/>
  <c r="M63" i="7"/>
  <c r="M62" i="7"/>
  <c r="M61" i="7"/>
  <c r="M60" i="7"/>
  <c r="M59" i="7"/>
  <c r="M58" i="7"/>
  <c r="M57" i="7"/>
  <c r="M56" i="7"/>
  <c r="M55" i="7"/>
  <c r="M54" i="7"/>
  <c r="M53" i="7"/>
  <c r="M52" i="7"/>
  <c r="M51" i="7"/>
  <c r="M50" i="7"/>
  <c r="M49" i="7"/>
  <c r="M48" i="7"/>
  <c r="M47" i="7"/>
  <c r="M46" i="7"/>
  <c r="M45" i="7"/>
  <c r="M44" i="7"/>
  <c r="M43" i="7"/>
  <c r="M42" i="7"/>
  <c r="M41" i="7"/>
  <c r="M40" i="7"/>
  <c r="M39" i="7"/>
  <c r="M38" i="7"/>
  <c r="M37" i="7"/>
  <c r="M36" i="7"/>
  <c r="M35" i="7"/>
  <c r="M34" i="7"/>
  <c r="M33" i="7"/>
  <c r="M32" i="7"/>
  <c r="M31" i="7"/>
  <c r="M30" i="7"/>
  <c r="M29" i="7"/>
  <c r="M28" i="7"/>
  <c r="M27" i="7"/>
  <c r="M26" i="7"/>
  <c r="M25" i="7"/>
  <c r="M24" i="7"/>
  <c r="M23" i="7"/>
  <c r="M22" i="7"/>
  <c r="M21" i="7"/>
  <c r="M20" i="7"/>
  <c r="M19" i="7"/>
  <c r="M18" i="7"/>
  <c r="M17" i="7"/>
  <c r="M16" i="7"/>
  <c r="M15" i="7"/>
  <c r="M14" i="7"/>
  <c r="M13" i="7"/>
  <c r="M12" i="7"/>
  <c r="M11" i="7"/>
  <c r="M10" i="7"/>
  <c r="M9" i="7"/>
  <c r="M8" i="7"/>
  <c r="M7" i="7"/>
  <c r="M6" i="7"/>
  <c r="M5" i="7"/>
  <c r="M4"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2" i="7"/>
  <c r="Q20" i="8" l="1"/>
  <c r="Q12" i="8"/>
  <c r="Q4" i="8"/>
  <c r="T20" i="8"/>
  <c r="T11" i="8"/>
  <c r="Q19" i="8"/>
  <c r="Q11" i="8"/>
  <c r="Q23" i="8" s="1"/>
  <c r="R13" i="8"/>
  <c r="R5" i="8"/>
  <c r="T19" i="8"/>
  <c r="R21" i="8"/>
  <c r="T3" i="8"/>
  <c r="T23" i="8" s="1"/>
  <c r="S3" i="8"/>
  <c r="S23" i="8" s="1"/>
  <c r="R15" i="8"/>
  <c r="R23" i="8" l="1"/>
  <c r="R26" i="8" s="1"/>
  <c r="R25" i="8" l="1"/>
  <c r="O58" i="5" l="1"/>
  <c r="O57" i="5"/>
  <c r="O54" i="5"/>
  <c r="P54" i="5"/>
  <c r="Q54" i="5"/>
  <c r="R54" i="5"/>
  <c r="N54"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R3" i="5"/>
  <c r="Q3" i="5"/>
  <c r="P3" i="5"/>
  <c r="O3"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4" i="5"/>
  <c r="N5" i="5"/>
  <c r="N6" i="5"/>
  <c r="N7" i="5"/>
  <c r="N8" i="5"/>
  <c r="N9" i="5"/>
  <c r="N10" i="5"/>
  <c r="N11" i="5"/>
  <c r="N12" i="5"/>
  <c r="N13" i="5"/>
  <c r="N14" i="5"/>
  <c r="N15" i="5"/>
  <c r="N16" i="5"/>
  <c r="N17" i="5"/>
  <c r="N18" i="5"/>
  <c r="N19" i="5"/>
  <c r="N20" i="5"/>
  <c r="N21" i="5"/>
  <c r="N22" i="5"/>
  <c r="N23" i="5"/>
  <c r="N24" i="5"/>
  <c r="N3"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E23" i="5"/>
  <c r="E22" i="5"/>
  <c r="E21" i="5"/>
  <c r="E20" i="5"/>
  <c r="B5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2" i="5"/>
  <c r="E8" i="4"/>
  <c r="E7" i="4"/>
  <c r="B9" i="4"/>
  <c r="B8" i="4"/>
  <c r="B7" i="4"/>
  <c r="B6" i="4"/>
  <c r="F28" i="3"/>
  <c r="I24" i="3"/>
  <c r="I19" i="3"/>
  <c r="I20" i="3"/>
  <c r="I21" i="3"/>
  <c r="I22" i="3"/>
  <c r="I23" i="3"/>
  <c r="I18" i="3"/>
  <c r="J5" i="3"/>
  <c r="J6" i="3"/>
  <c r="J7" i="3"/>
  <c r="J8" i="3"/>
  <c r="J9" i="3"/>
  <c r="J4" i="3"/>
  <c r="G18" i="3"/>
  <c r="G20" i="3"/>
  <c r="G21" i="3"/>
  <c r="G22" i="3"/>
  <c r="G23" i="3"/>
  <c r="G19" i="3"/>
  <c r="F24" i="3"/>
  <c r="E15" i="3"/>
  <c r="E14" i="3"/>
  <c r="E13" i="3"/>
  <c r="E12" i="3"/>
  <c r="E11" i="3"/>
  <c r="E5" i="3" a="1"/>
  <c r="E5" i="3" s="1"/>
  <c r="E9" i="3" a="1"/>
  <c r="E9" i="3" s="1"/>
  <c r="E8" i="3"/>
  <c r="E7" i="3"/>
  <c r="E4" i="3"/>
  <c r="E3" i="3"/>
  <c r="H78" i="2"/>
  <c r="H79" i="2"/>
  <c r="H80" i="2"/>
  <c r="H81" i="2"/>
  <c r="H82" i="2"/>
  <c r="H83" i="2"/>
  <c r="H77" i="2"/>
  <c r="E15" i="2"/>
  <c r="E14" i="2"/>
  <c r="E13" i="2"/>
  <c r="E12" i="2"/>
  <c r="E11" i="2"/>
  <c r="E3" i="2"/>
  <c r="E7" i="2"/>
  <c r="E6" i="2"/>
  <c r="E5" i="2"/>
  <c r="E4" i="2"/>
  <c r="J62" i="2" l="1"/>
  <c r="J64" i="2" s="1"/>
  <c r="H84" i="2"/>
  <c r="M76" i="2" s="1"/>
  <c r="J63" i="2"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<sst xmlns="http://schemas.openxmlformats.org/spreadsheetml/2006/main" count="330" uniqueCount="182">
  <si>
    <t>SN</t>
  </si>
  <si>
    <t>Sex</t>
  </si>
  <si>
    <t>Religion</t>
  </si>
  <si>
    <t>Level of Education</t>
  </si>
  <si>
    <t>Female</t>
  </si>
  <si>
    <t>Hindu</t>
  </si>
  <si>
    <t>Graduate</t>
  </si>
  <si>
    <t>Christian</t>
  </si>
  <si>
    <t>Male</t>
  </si>
  <si>
    <t>Muslim</t>
  </si>
  <si>
    <t>Others</t>
  </si>
  <si>
    <t>Higher Secondary</t>
  </si>
  <si>
    <t>Illiterate</t>
  </si>
  <si>
    <t>Primary</t>
  </si>
  <si>
    <t>Secondary</t>
  </si>
  <si>
    <t>Grand Total</t>
  </si>
  <si>
    <t>Count of Religion</t>
  </si>
  <si>
    <t>(i) Frequency Distribution for Religion</t>
  </si>
  <si>
    <t>Count of Level of Education</t>
  </si>
  <si>
    <t xml:space="preserve"> Level of Education</t>
  </si>
  <si>
    <t>(i) Frequency distribution of Level of Education</t>
  </si>
  <si>
    <t>(ii) Pie diagram for the variable “Religion”</t>
  </si>
  <si>
    <t>(iii) Bar diagram for the variable "Level of Education"</t>
  </si>
  <si>
    <t>X</t>
  </si>
  <si>
    <t>Median</t>
  </si>
  <si>
    <t>Mode</t>
  </si>
  <si>
    <t>Variance</t>
  </si>
  <si>
    <t>Mean</t>
  </si>
  <si>
    <t>Standard deviation</t>
  </si>
  <si>
    <t>(i)</t>
  </si>
  <si>
    <t>Minimum</t>
  </si>
  <si>
    <t>1st Quartile</t>
  </si>
  <si>
    <t>2nd Quartile</t>
  </si>
  <si>
    <t>3rd Quartile</t>
  </si>
  <si>
    <t>Maximum</t>
  </si>
  <si>
    <t>(ii) The five number summaries</t>
  </si>
  <si>
    <t>Class limits</t>
  </si>
  <si>
    <t>Bin</t>
  </si>
  <si>
    <t>12 -.24</t>
  </si>
  <si>
    <t>24 - 36</t>
  </si>
  <si>
    <t>36 - 48</t>
  </si>
  <si>
    <t>48 - 60</t>
  </si>
  <si>
    <t>60 - 72</t>
  </si>
  <si>
    <t>72 - 84</t>
  </si>
  <si>
    <t>84 - 96</t>
  </si>
  <si>
    <t>Frequency</t>
  </si>
  <si>
    <t>Total</t>
  </si>
  <si>
    <t>Mid</t>
  </si>
  <si>
    <t>96 - 108</t>
  </si>
  <si>
    <t>0 - 12</t>
  </si>
  <si>
    <t>Class Boundaries</t>
  </si>
  <si>
    <t>More than type</t>
  </si>
  <si>
    <t>Less than type</t>
  </si>
  <si>
    <t>Mid(xi)</t>
  </si>
  <si>
    <t>Frequency(fi)</t>
  </si>
  <si>
    <t>CF</t>
  </si>
  <si>
    <t>fixi</t>
  </si>
  <si>
    <t>diference upore pre modal class, nice oytar sathe difference of post modal class jog hobe</t>
  </si>
  <si>
    <t>Mean:</t>
  </si>
  <si>
    <t>Mode:</t>
  </si>
  <si>
    <t>Median:</t>
  </si>
  <si>
    <t>Correleted X</t>
  </si>
  <si>
    <t>Minimum:</t>
  </si>
  <si>
    <t>Maximum:</t>
  </si>
  <si>
    <t>Range:</t>
  </si>
  <si>
    <t>K</t>
  </si>
  <si>
    <t>equivalent</t>
  </si>
  <si>
    <t xml:space="preserve">Class Width: </t>
  </si>
  <si>
    <t>(ii)</t>
  </si>
  <si>
    <t>(iii)</t>
  </si>
  <si>
    <t>35 - 44</t>
  </si>
  <si>
    <t>44 - 53</t>
  </si>
  <si>
    <t>53 - 62</t>
  </si>
  <si>
    <t>62 - 71</t>
  </si>
  <si>
    <t>71 - 80</t>
  </si>
  <si>
    <t>80 - 89</t>
  </si>
  <si>
    <t>More</t>
  </si>
  <si>
    <t>RF</t>
  </si>
  <si>
    <t>(iv)</t>
  </si>
  <si>
    <t>fx</t>
  </si>
  <si>
    <t>Student</t>
  </si>
  <si>
    <t>GPA in semesters</t>
  </si>
  <si>
    <t>A</t>
  </si>
  <si>
    <t>B</t>
  </si>
  <si>
    <t>STD of A</t>
  </si>
  <si>
    <t>STD of B</t>
  </si>
  <si>
    <t>Mean of A</t>
  </si>
  <si>
    <t>Mean of B</t>
  </si>
  <si>
    <t>Var of A</t>
  </si>
  <si>
    <t>Var of B</t>
  </si>
  <si>
    <t>A is good</t>
  </si>
  <si>
    <t>P(X)</t>
  </si>
  <si>
    <t xml:space="preserve">P(X = 35) </t>
  </si>
  <si>
    <t>P(X &lt;= 20)</t>
  </si>
  <si>
    <t>P(X &gt; 15)</t>
  </si>
  <si>
    <t>P(20 &lt; X &lt; 45)</t>
  </si>
  <si>
    <t>X.P(X)</t>
  </si>
  <si>
    <t>M1</t>
  </si>
  <si>
    <t>M2</t>
  </si>
  <si>
    <t>M3</t>
  </si>
  <si>
    <t>Skewness, Gumma1</t>
  </si>
  <si>
    <t>Kurtosis, Beta2</t>
  </si>
  <si>
    <t>Platykertic</t>
  </si>
  <si>
    <t>Z</t>
  </si>
  <si>
    <t>P(Z)</t>
  </si>
  <si>
    <t>F(X)</t>
  </si>
  <si>
    <t>P(X = 850)</t>
  </si>
  <si>
    <t>P(X &gt; 1200)</t>
  </si>
  <si>
    <t>P(1000&lt;X &lt;2000)</t>
  </si>
  <si>
    <t>No. of Printing Mistakes</t>
  </si>
  <si>
    <t xml:space="preserve">No. of Pages </t>
  </si>
  <si>
    <t>P(X).R</t>
  </si>
  <si>
    <t>P(X = 15)</t>
  </si>
  <si>
    <t>P(4&lt;X&lt;17)</t>
  </si>
  <si>
    <t>P(X &lt; 10)</t>
  </si>
  <si>
    <t>M4</t>
  </si>
  <si>
    <t>(v)</t>
  </si>
  <si>
    <t>Skewness, Gumma1:</t>
  </si>
  <si>
    <t>Kurtosis, Beta1:</t>
  </si>
  <si>
    <t xml:space="preserve">Y </t>
  </si>
  <si>
    <t>Yes I think there is a linear relation between X and Y. Also I think a linear model is appropriate for this data because there is a linear relationship present in X and Y.</t>
  </si>
  <si>
    <t>Correlation:</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</si>
  <si>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</si>
  <si>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</si>
  <si>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</si>
  <si>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</si>
  <si>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</si>
  <si>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</si>
  <si>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</si>
  <si>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</si>
  <si>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</si>
  <si>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</si>
  <si>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</si>
  <si>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</si>
  <si>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</si>
  <si>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</si>
  <si>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</si>
  <si>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</si>
  <si>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</si>
  <si>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</si>
  <si>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</si>
  <si>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</si>
  <si>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</si>
  <si>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</si>
  <si>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</si>
  <si>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</si>
  <si>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The best fit line for Y on X</t>
  </si>
  <si>
    <t>iv. How do you interpret the intercept and the slope of the regression line?</t>
  </si>
  <si>
    <t>Here intercept 24.4545 indicates tha if the value of Weekly family income(X) is 0 then average weekly family expenditure(Y) is 24.4545</t>
  </si>
  <si>
    <t>Here slope of X 0.509 indicates that if the value of weekly family income(x) goes upto 1 then on average weekly family expenditure(Y) goues up 0.509 unites</t>
  </si>
  <si>
    <t>(vi) Check the goodness of fit of the least squares fit</t>
  </si>
  <si>
    <t>We know that R lies between (-1 &lt; R &lt; 1) and R^2 lies between (0 &lt; R^2 &lt; 1). If the value of R^2 is near 0 then the this goodness is bad fitted. And if the value is near 1 then it is good fitted. Here value is 0.9621, thus this is good fitted</t>
  </si>
  <si>
    <t>Y175 :</t>
  </si>
  <si>
    <t>Binomial P(X)</t>
  </si>
  <si>
    <t>Poission P(X)</t>
  </si>
  <si>
    <t>mean:</t>
  </si>
  <si>
    <t>Binomial e probability of s dhorsi 0.5 r Poission e sample er average take mean dhorsi</t>
  </si>
  <si>
    <t>Here thickness of binomial distribution is greater than poission distribution</t>
  </si>
  <si>
    <t>median r second quartile same</t>
  </si>
  <si>
    <t>Detection of outlier:</t>
  </si>
  <si>
    <t xml:space="preserve">We have: IQR = Q3-Q1 = </t>
  </si>
  <si>
    <t xml:space="preserve">and Q3 + 1.5 *IQR = </t>
  </si>
  <si>
    <t xml:space="preserve">Q1 - 1.5 * IQR = </t>
  </si>
  <si>
    <t>Since the minimum and maximum values of the data set is 12 and 92 respectively. i.e. all the values lies between the range 11.375 to 94.375. So, we can say that there is no outlier in the data set.</t>
  </si>
  <si>
    <t>(iv) Frequency distribution; Class interval 12</t>
  </si>
  <si>
    <t>(v) Construct a histogram and an ogive. Also approximate the median and mode with the help of ogive and histogram respectively</t>
  </si>
  <si>
    <t>(iii)  Display the box plot. Is there any outlier of the data?</t>
  </si>
  <si>
    <t>(vi) The mean, median, mode, skewnwss and kurtosis using the frequency distribution obtained in question (iv)</t>
  </si>
  <si>
    <t xml:space="preserve"> - hole negatively skewed, 0 hole symmetric, + positively skewed</t>
  </si>
  <si>
    <t>3 er soman hole meshokartic, 3 er beshi hole leftokartic, 3 er choto hole platikartic</t>
  </si>
  <si>
    <t>Variance:</t>
  </si>
  <si>
    <t>STD. Dev.</t>
  </si>
  <si>
    <t>Kurtosis:</t>
  </si>
  <si>
    <t>Skewness:</t>
  </si>
  <si>
    <t>&lt;-using formulae</t>
  </si>
  <si>
    <t>f(x-mean)^2</t>
  </si>
  <si>
    <t>&lt;--direct exel formua</t>
  </si>
  <si>
    <t>&lt;--Sum of X.P(X)</t>
  </si>
  <si>
    <t>STDEV</t>
  </si>
  <si>
    <t>f(x-mean)^3</t>
  </si>
  <si>
    <t>f(x-mean)^4</t>
  </si>
  <si>
    <t>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</si>
</sst>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Times New Roman"/>
      <family val="1"/>
    </font>
    <font>
      <b/>
      <sz val="12"/>
      <color theme="1"/>
      <name val="Times New Roman"/>
      <family val="1"/>
    </font>
    <font>
      <b/>
      <i/>
      <sz val="11"/>
      <color theme="1"/>
      <name val="Calibri"/>
      <family val="2"/>
      <scheme val="minor"/>
    </font>
    <font>
      <sz val="8"/>
      <name val="Calibri"/>
      <family val="2"/>
      <scheme val="minor"/>
    </font>
    <font>
      <sz val="11"/>
      <color theme="1"/>
      <name val="Times New Roman"/>
      <family val="1"/>
    </font>
    <font>
      <i/>
      <sz val="11"/>
      <color theme="1"/>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12"/>
      <color theme="0"/>
      <name val="Times New Roman"/>
      <family val="1"/>
    </font>
    <font>
      <sz val="12"/>
      <color rgb="FF000000"/>
      <name val="CIDFont+F2"/>
    </font>
    <font>
      <sz val="12"/>
      <color theme="0"/>
      <name val="CIDFont+F2"/>
    </font>
  </fonts>
  <fills count="9">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C00000"/>
        <bgColor indexed="64"/>
      </patternFill>
    </fill>
    <fill>
      <patternFill patternType="solid">
        <fgColor rgb="FF00B050"/>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0" borderId="0" xfId="0" applyFont="1"/>
    <xf numFmtId="0" fontId="2" fillId="0" borderId="1" xfId="0" applyFont="1" applyBorder="1"/>
    <xf numFmtId="0" fontId="2" fillId="0" borderId="3" xfId="0" applyFont="1" applyBorder="1"/>
    <xf numFmtId="0" fontId="2" fillId="0" borderId="0" xfId="0" applyFont="1"/>
    <xf numFmtId="0" fontId="1" fillId="0" borderId="1" xfId="0" applyFont="1" applyBorder="1"/>
    <xf numFmtId="0" fontId="1" fillId="0" borderId="3" xfId="0" applyFont="1" applyBorder="1"/>
    <xf numFmtId="0" fontId="2" fillId="0" borderId="4" xfId="0" pivotButton="1" applyFont="1" applyBorder="1"/>
    <xf numFmtId="0" fontId="2" fillId="0" borderId="1" xfId="0" applyFont="1" applyBorder="1" applyAlignment="1">
      <alignment horizontal="center" vertical="center"/>
    </xf>
    <xf numFmtId="0" fontId="2" fillId="0" borderId="4" xfId="0" applyFont="1" applyBorder="1" applyAlignment="1">
      <alignment horizontal="left"/>
    </xf>
    <xf numFmtId="0" fontId="2" fillId="0" borderId="1" xfId="0" applyFont="1" applyBorder="1" applyAlignment="1">
      <alignment horizontal="center"/>
    </xf>
    <xf numFmtId="0" fontId="2" fillId="0" borderId="0" xfId="0" applyFont="1" applyAlignment="1">
      <alignment vertical="center"/>
    </xf>
    <xf numFmtId="0" fontId="3" fillId="0" borderId="1" xfId="0" applyFont="1" applyBorder="1" applyAlignment="1">
      <alignment horizontal="center"/>
    </xf>
    <xf numFmtId="16" fontId="1" fillId="0" borderId="1" xfId="0" applyNumberFormat="1" applyFont="1" applyBorder="1"/>
    <xf numFmtId="0" fontId="0" fillId="0" borderId="1"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2" fillId="4" borderId="1" xfId="0" applyFont="1" applyFill="1" applyBorder="1"/>
    <xf numFmtId="0" fontId="5" fillId="0" borderId="1" xfId="0" applyFont="1" applyBorder="1"/>
    <xf numFmtId="0" fontId="6" fillId="0" borderId="1" xfId="0" applyFont="1" applyBorder="1" applyAlignment="1">
      <alignment horizontal="center"/>
    </xf>
    <xf numFmtId="0" fontId="0" fillId="0" borderId="5" xfId="0" applyBorder="1"/>
    <xf numFmtId="0" fontId="0" fillId="0" borderId="6" xfId="0" applyBorder="1"/>
    <xf numFmtId="0" fontId="0" fillId="0" borderId="7" xfId="0" applyBorder="1"/>
    <xf numFmtId="0" fontId="0" fillId="0" borderId="8" xfId="0" applyBorder="1"/>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2" fillId="5" borderId="1" xfId="0" applyFont="1" applyFill="1" applyBorder="1"/>
    <xf numFmtId="0" fontId="0" fillId="5" borderId="1" xfId="0" applyFill="1" applyBorder="1"/>
    <xf numFmtId="0" fontId="7" fillId="5" borderId="1" xfId="0" applyFont="1" applyFill="1" applyBorder="1"/>
    <xf numFmtId="0" fontId="9" fillId="0" borderId="1" xfId="0" applyFont="1" applyBorder="1"/>
    <xf numFmtId="0" fontId="0" fillId="0" borderId="0" xfId="0" applyAlignment="1">
      <alignment horizontal="left"/>
    </xf>
    <xf numFmtId="0" fontId="0" fillId="0" borderId="15" xfId="0" applyBorder="1"/>
    <xf numFmtId="0" fontId="6" fillId="0" borderId="16" xfId="0" applyFont="1" applyBorder="1" applyAlignment="1">
      <alignment horizontal="center"/>
    </xf>
    <xf numFmtId="0" fontId="6" fillId="0" borderId="16" xfId="0" applyFont="1" applyBorder="1" applyAlignment="1">
      <alignment horizontal="centerContinuous"/>
    </xf>
    <xf numFmtId="0" fontId="6" fillId="0" borderId="0" xfId="0" applyFont="1" applyAlignment="1">
      <alignment horizontal="centerContinuous"/>
    </xf>
    <xf numFmtId="0" fontId="0" fillId="5" borderId="0" xfId="0" applyFill="1"/>
    <xf numFmtId="0" fontId="9" fillId="5" borderId="1" xfId="0" applyFont="1" applyFill="1" applyBorder="1"/>
    <xf numFmtId="0" fontId="0" fillId="0" borderId="0" xfId="0" applyAlignment="1">
      <alignment horizontal="right"/>
    </xf>
    <xf numFmtId="0" fontId="7" fillId="5" borderId="0" xfId="0" applyFont="1" applyFill="1"/>
    <xf numFmtId="0" fontId="10" fillId="6" borderId="0" xfId="0" applyFont="1" applyFill="1"/>
    <xf numFmtId="0" fontId="11" fillId="0" borderId="0" xfId="0" applyFont="1"/>
    <xf numFmtId="0" fontId="0" fillId="0" borderId="17" xfId="0" applyBorder="1"/>
    <xf numFmtId="0" fontId="1" fillId="8" borderId="0" xfId="0" applyFont="1" applyFill="1"/>
    <xf numFmtId="0" fontId="2" fillId="0" borderId="0" xfId="0" applyFont="1" applyAlignment="1">
      <alignment horizontal="center" vertical="center"/>
    </xf>
    <xf numFmtId="0" fontId="2" fillId="0" borderId="2" xfId="0" applyFont="1" applyBorder="1" applyAlignment="1">
      <alignment horizontal="center" vertical="center"/>
    </xf>
    <xf numFmtId="0" fontId="10" fillId="7" borderId="0" xfId="0" applyFont="1" applyFill="1" applyAlignment="1">
      <alignment horizontal="center"/>
    </xf>
    <xf numFmtId="0" fontId="0" fillId="7" borderId="0" xfId="0" applyFill="1" applyAlignment="1">
      <alignment horizontal="left"/>
    </xf>
    <xf numFmtId="0" fontId="12" fillId="7" borderId="0" xfId="0" applyFont="1" applyFill="1" applyAlignment="1">
      <alignment horizontal="left"/>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1" fillId="0" borderId="1"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6" borderId="0" xfId="0" applyFont="1" applyFill="1" applyAlignment="1">
      <alignment horizontal="center"/>
    </xf>
    <xf numFmtId="0" fontId="0" fillId="5" borderId="0" xfId="0" applyFill="1" applyAlignment="1">
      <alignment horizontal="left" vertical="top" wrapText="1"/>
    </xf>
    <xf numFmtId="0" fontId="0" fillId="0" borderId="0" xfId="0" applyAlignment="1">
      <alignment horizontal="left"/>
    </xf>
    <xf numFmtId="0" fontId="0" fillId="5" borderId="0" xfId="0" applyFill="1" applyAlignment="1">
      <alignment horizontal="left"/>
    </xf>
    <xf numFmtId="0" fontId="0" fillId="0" borderId="0" xfId="0" applyAlignment="1">
      <alignment horizontal="left" wrapText="1"/>
    </xf>
    <xf numFmtId="0" fontId="0" fillId="0" borderId="0" xfId="0" applyFill="1" applyBorder="1" applyAlignment="1"/>
    <xf numFmtId="0" fontId="0" fillId="0" borderId="15" xfId="0" applyFill="1" applyBorder="1" applyAlignment="1"/>
    <xf numFmtId="0" fontId="6" fillId="0" borderId="16" xfId="0" applyFont="1" applyFill="1" applyBorder="1" applyAlignment="1">
      <alignment horizontal="center"/>
    </xf>
    <xf numFmtId="0" fontId="0" fillId="0" borderId="0" xfId="0" applyBorder="1"/>
    <xf numFmtId="0" fontId="6" fillId="0" borderId="0" xfId="0" applyFont="1" applyFill="1" applyBorder="1" applyAlignment="1">
      <alignment horizontal="centerContinuous"/>
    </xf>
    <xf numFmtId="0" fontId="6" fillId="0" borderId="0" xfId="0" applyFont="1" applyFill="1" applyBorder="1" applyAlignment="1">
      <alignment horizontal="center"/>
    </xf>
  </cellXfs>
  <cellStyles count="1">
    <cellStyle name="Normal" xfId="0" builtinId="0"/>
  </cellStyles>
  <dxfs count="55">
    <dxf>
      <font>
        <sz val="12"/>
      </font>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font>
        <sz val="12"/>
      </font>
    </dxf>
    <dxf>
      <font>
        <sz val="12"/>
      </font>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vertical="center"/>
    </dxf>
    <dxf>
      <font>
        <sz val="12"/>
      </font>
    </dxf>
    <dxf>
      <font>
        <sz val="12"/>
      </font>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0.xml"/><Relationship Id="rId3" Type="http://schemas.openxmlformats.org/officeDocument/2006/relationships/worksheet" Target="worksheets/sheet3.xml"/><Relationship Id="rId21" Type="http://schemas.microsoft.com/office/2017/10/relationships/person" Target="persons/person2.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19" Type="http://schemas.microsoft.com/office/2017/10/relationships/person" Target="persons/pers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[Stat.xlsx]P. 1!PivotTable1</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Count</a:t>
            </a:r>
            <a:r>
              <a:rPr lang="en-US" baseline="0"/>
              <a:t> of Religion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 1'!$G$3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AE0-499D-A222-178F541C596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AE0-499D-A222-178F541C596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AE0-499D-A222-178F541C596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AE0-499D-A222-178F541C596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 1'!$F$4:$F$8</c:f>
              <c:strCache>
                <c:ptCount val="4"/>
                <c:pt idx="0">
                  <c:v>Christian</c:v>
                </c:pt>
                <c:pt idx="1">
                  <c:v>Hindu</c:v>
                </c:pt>
                <c:pt idx="2">
                  <c:v>Muslim</c:v>
                </c:pt>
                <c:pt idx="3">
                  <c:v>Others</c:v>
                </c:pt>
              </c:strCache>
            </c:strRef>
          </c:cat>
          <c:val>
            <c:numRef>
              <c:f>'P. 1'!$G$4:$G$8</c:f>
              <c:numCache>
                <c:formatCode>General</c:formatCode>
                <c:ptCount val="4"/>
                <c:pt idx="0">
                  <c:v>3</c:v>
                </c:pt>
                <c:pt idx="1">
                  <c:v>5</c:v>
                </c:pt>
                <c:pt idx="2">
                  <c:v>8</c:v>
                </c:pt>
                <c:pt idx="3">
                  <c:v>4</c:v>
                </c:pt>
              </c:numCache>
            </c:numRef>
          </c:val>
          <c:extLst>
            <c:ext xmlns:c16="http://schemas.microsoft.com/office/drawing/2014/chart" uri="{C3380CC4-5D6E-409C-BE32-E72D297353CC}">
              <c16:uniqueId val="{00000000-3DC2-485F-ACE6-84CCF4E1764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[Stat.xlsx]P. 1!PivotTable2</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Bar Diagram of level of education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 1'!$G$12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 1'!$F$13:$F$19</c:f>
              <c:strCache>
                <c:ptCount val="6"/>
                <c:pt idx="0">
                  <c:v>Graduate</c:v>
                </c:pt>
                <c:pt idx="1">
                  <c:v>Higher Secondary</c:v>
                </c:pt>
                <c:pt idx="2">
                  <c:v>Illiterate</c:v>
                </c:pt>
                <c:pt idx="3">
                  <c:v>Others</c:v>
                </c:pt>
                <c:pt idx="4">
                  <c:v>Primary</c:v>
                </c:pt>
                <c:pt idx="5">
                  <c:v>Secondary</c:v>
                </c:pt>
              </c:strCache>
            </c:strRef>
          </c:cat>
          <c:val>
            <c:numRef>
              <c:f>'P. 1'!$G$13:$G$19</c:f>
              <c:numCache>
                <c:formatCode>General</c:formatCode>
                <c:ptCount val="6"/>
                <c:pt idx="0">
                  <c:v>4</c:v>
                </c:pt>
                <c:pt idx="1">
                  <c:v>3</c:v>
                </c:pt>
                <c:pt idx="2">
                  <c:v>3</c:v>
                </c:pt>
                <c:pt idx="3">
                  <c:v>2</c:v>
                </c:pt>
                <c:pt idx="4">
                  <c:v>5</c:v>
                </c:pt>
                <c:pt idx="5">
                  <c:v>3</c:v>
                </c:pt>
              </c:numCache>
            </c:numRef>
          </c:val>
          <c:extLst>
            <c:ext xmlns:c16="http://schemas.microsoft.com/office/drawing/2014/chart" uri="{C3380CC4-5D6E-409C-BE32-E72D297353CC}">
              <c16:uniqueId val="{00000000-0160-4A92-8844-3C91FB76AF99}"/>
            </c:ext>
          </c:extLst>
        </c:ser>
        <c:dLbls>
          <c:showLegendKey val="0"/>
          <c:showVal val="0"/>
          <c:showCatName val="0"/>
          <c:showSerName val="0"/>
          <c:showPercent val="0"/>
          <c:showBubbleSize val="0"/>
        </c:dLbls>
        <c:gapWidth val="150"/>
        <c:overlap val="100"/>
        <c:axId val="623236927"/>
        <c:axId val="623234015"/>
      </c:barChart>
      <c:catAx>
        <c:axId val="62323692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Level of Education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4015"/>
        <c:crosses val="autoZero"/>
        <c:auto val="1"/>
        <c:lblAlgn val="ctr"/>
        <c:lblOffset val="100"/>
        <c:noMultiLvlLbl val="0"/>
      </c:catAx>
      <c:valAx>
        <c:axId val="623234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No. of Persons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6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p.2!$H$4:$H$10</c:f>
              <c:numCache>
                <c:formatCode>General</c:formatCode>
                <c:ptCount val="7"/>
                <c:pt idx="0">
                  <c:v>24</c:v>
                </c:pt>
                <c:pt idx="1">
                  <c:v>36</c:v>
                </c:pt>
                <c:pt idx="2">
                  <c:v>48</c:v>
                </c:pt>
                <c:pt idx="3">
                  <c:v>60</c:v>
                </c:pt>
                <c:pt idx="4">
                  <c:v>72</c:v>
                </c:pt>
                <c:pt idx="5">
                  <c:v>84</c:v>
                </c:pt>
                <c:pt idx="6">
                  <c:v>96</c:v>
                </c:pt>
              </c:numCache>
            </c:numRef>
          </c:cat>
          <c:val>
            <c:numRef>
              <c:f>p.2!$I$4:$I$10</c:f>
              <c:numCache>
                <c:formatCode>General</c:formatCode>
                <c:ptCount val="7"/>
                <c:pt idx="0">
                  <c:v>2</c:v>
                </c:pt>
                <c:pt idx="1">
                  <c:v>10</c:v>
                </c:pt>
                <c:pt idx="2">
                  <c:v>33</c:v>
                </c:pt>
                <c:pt idx="3">
                  <c:v>25</c:v>
                </c:pt>
                <c:pt idx="4">
                  <c:v>18</c:v>
                </c:pt>
                <c:pt idx="5">
                  <c:v>10</c:v>
                </c:pt>
                <c:pt idx="6">
                  <c:v>2</c:v>
                </c:pt>
              </c:numCache>
            </c:numRef>
          </c:val>
          <c:extLst>
            <c:ext xmlns:c16="http://schemas.microsoft.com/office/drawing/2014/chart" uri="{C3380CC4-5D6E-409C-BE32-E72D297353CC}">
              <c16:uniqueId val="{00000000-AC3C-404E-AC97-AEDE2898A3D6}"/>
            </c:ext>
          </c:extLst>
        </c:ser>
        <c:dLbls>
          <c:showLegendKey val="0"/>
          <c:showVal val="0"/>
          <c:showCatName val="0"/>
          <c:showSerName val="0"/>
          <c:showPercent val="0"/>
          <c:showBubbleSize val="0"/>
        </c:dLbls>
        <c:gapWidth val="0"/>
        <c:axId val="1820834479"/>
        <c:axId val="1820834895"/>
      </c:barChart>
      <c:catAx>
        <c:axId val="1820834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Scores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834895"/>
        <c:crosses val="autoZero"/>
        <c:auto val="1"/>
        <c:lblAlgn val="ctr"/>
        <c:lblOffset val="100"/>
        <c:noMultiLvlLbl val="0"/>
      </c:catAx>
      <c:valAx>
        <c:axId val="18208348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Students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8344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p.2!$H$4:$H$10</c:f>
              <c:numCache>
                <c:formatCode>General</c:formatCode>
                <c:ptCount val="7"/>
                <c:pt idx="0">
                  <c:v>24</c:v>
                </c:pt>
                <c:pt idx="1">
                  <c:v>36</c:v>
                </c:pt>
                <c:pt idx="2">
                  <c:v>48</c:v>
                </c:pt>
                <c:pt idx="3">
                  <c:v>60</c:v>
                </c:pt>
                <c:pt idx="4">
                  <c:v>72</c:v>
                </c:pt>
                <c:pt idx="5">
                  <c:v>84</c:v>
                </c:pt>
                <c:pt idx="6">
                  <c:v>96</c:v>
                </c:pt>
              </c:numCache>
            </c:numRef>
          </c:cat>
          <c:val>
            <c:numRef>
              <c:f>p.2!$I$4:$I$10</c:f>
              <c:numCache>
                <c:formatCode>General</c:formatCode>
                <c:ptCount val="7"/>
                <c:pt idx="0">
                  <c:v>2</c:v>
                </c:pt>
                <c:pt idx="1">
                  <c:v>10</c:v>
                </c:pt>
                <c:pt idx="2">
                  <c:v>33</c:v>
                </c:pt>
                <c:pt idx="3">
                  <c:v>25</c:v>
                </c:pt>
                <c:pt idx="4">
                  <c:v>18</c:v>
                </c:pt>
                <c:pt idx="5">
                  <c:v>10</c:v>
                </c:pt>
                <c:pt idx="6">
                  <c:v>2</c:v>
                </c:pt>
              </c:numCache>
            </c:numRef>
          </c:val>
          <c:extLst>
            <c:ext xmlns:c16="http://schemas.microsoft.com/office/drawing/2014/chart" uri="{C3380CC4-5D6E-409C-BE32-E72D297353CC}">
              <c16:uniqueId val="{00000000-3971-4C11-8F8E-1DAD99C130BE}"/>
            </c:ext>
          </c:extLst>
        </c:ser>
        <c:dLbls>
          <c:showLegendKey val="0"/>
          <c:showVal val="0"/>
          <c:showCatName val="0"/>
          <c:showSerName val="0"/>
          <c:showPercent val="0"/>
          <c:showBubbleSize val="0"/>
        </c:dLbls>
        <c:gapWidth val="0"/>
        <c:axId val="1820834479"/>
        <c:axId val="1820834895"/>
      </c:barChart>
      <c:catAx>
        <c:axId val="1820834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Scores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834895"/>
        <c:crosses val="autoZero"/>
        <c:auto val="1"/>
        <c:lblAlgn val="ctr"/>
        <c:lblOffset val="100"/>
        <c:noMultiLvlLbl val="0"/>
      </c:catAx>
      <c:valAx>
        <c:axId val="18208348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Students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8344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Frequency Polygon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p.2!$G$18</c:f>
              <c:strCache>
                <c:ptCount val="1"/>
                <c:pt idx="0">
                  <c:v>Frequency</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p.2!$F$19:$F$27</c:f>
              <c:numCache>
                <c:formatCode>General</c:formatCode>
                <c:ptCount val="9"/>
                <c:pt idx="0">
                  <c:v>6</c:v>
                </c:pt>
                <c:pt idx="1">
                  <c:v>18</c:v>
                </c:pt>
                <c:pt idx="2">
                  <c:v>30</c:v>
                </c:pt>
                <c:pt idx="3">
                  <c:v>42</c:v>
                </c:pt>
                <c:pt idx="4">
                  <c:v>54</c:v>
                </c:pt>
                <c:pt idx="5">
                  <c:v>66</c:v>
                </c:pt>
                <c:pt idx="6">
                  <c:v>78</c:v>
                </c:pt>
                <c:pt idx="7">
                  <c:v>90</c:v>
                </c:pt>
                <c:pt idx="8">
                  <c:v>102</c:v>
                </c:pt>
              </c:numCache>
            </c:numRef>
          </c:xVal>
          <c:yVal>
            <c:numRef>
              <c:f>p.2!$G$19:$G$27</c:f>
              <c:numCache>
                <c:formatCode>General</c:formatCode>
                <c:ptCount val="9"/>
                <c:pt idx="0">
                  <c:v>0</c:v>
                </c:pt>
                <c:pt idx="1">
                  <c:v>2</c:v>
                </c:pt>
                <c:pt idx="2">
                  <c:v>10</c:v>
                </c:pt>
                <c:pt idx="3">
                  <c:v>33</c:v>
                </c:pt>
                <c:pt idx="4">
                  <c:v>25</c:v>
                </c:pt>
                <c:pt idx="5">
                  <c:v>18</c:v>
                </c:pt>
                <c:pt idx="6">
                  <c:v>10</c:v>
                </c:pt>
                <c:pt idx="7">
                  <c:v>2</c:v>
                </c:pt>
                <c:pt idx="8">
                  <c:v>0</c:v>
                </c:pt>
              </c:numCache>
            </c:numRef>
          </c:yVal>
          <c:smooth val="1"/>
          <c:extLst>
            <c:ext xmlns:c16="http://schemas.microsoft.com/office/drawing/2014/chart" uri="{C3380CC4-5D6E-409C-BE32-E72D297353CC}">
              <c16:uniqueId val="{00000000-46B5-4040-85AD-D6E32F7AD7A6}"/>
            </c:ext>
          </c:extLst>
        </c:ser>
        <c:dLbls>
          <c:dLblPos val="t"/>
          <c:showLegendKey val="0"/>
          <c:showVal val="1"/>
          <c:showCatName val="0"/>
          <c:showSerName val="0"/>
          <c:showPercent val="0"/>
          <c:showBubbleSize val="0"/>
        </c:dLbls>
        <c:axId val="1832712895"/>
        <c:axId val="1832707903"/>
      </c:scatterChart>
      <c:valAx>
        <c:axId val="18327128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Mid</a:t>
                </a:r>
                <a:r>
                  <a:rPr lang="en-US" baseline="0"/>
                  <a:t> values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07903"/>
        <c:crosses val="autoZero"/>
        <c:crossBetween val="midCat"/>
      </c:valAx>
      <c:valAx>
        <c:axId val="183270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128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Ogive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p.2!$F$30</c:f>
              <c:strCache>
                <c:ptCount val="1"/>
                <c:pt idx="0">
                  <c:v>Less than type</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p.2!$E$31:$E$38</c:f>
              <c:numCache>
                <c:formatCode>General</c:formatCode>
                <c:ptCount val="8"/>
                <c:pt idx="0">
                  <c:v>12</c:v>
                </c:pt>
                <c:pt idx="1">
                  <c:v>24</c:v>
                </c:pt>
                <c:pt idx="2">
                  <c:v>36</c:v>
                </c:pt>
                <c:pt idx="3">
                  <c:v>48</c:v>
                </c:pt>
                <c:pt idx="4">
                  <c:v>60</c:v>
                </c:pt>
                <c:pt idx="5">
                  <c:v>72</c:v>
                </c:pt>
                <c:pt idx="6">
                  <c:v>84</c:v>
                </c:pt>
                <c:pt idx="7">
                  <c:v>96</c:v>
                </c:pt>
              </c:numCache>
            </c:numRef>
          </c:xVal>
          <c:yVal>
            <c:numRef>
              <c:f>p.2!$F$31:$F$38</c:f>
              <c:numCache>
                <c:formatCode>General</c:formatCode>
                <c:ptCount val="8"/>
                <c:pt idx="0">
                  <c:v>0</c:v>
                </c:pt>
                <c:pt idx="1">
                  <c:v>2</c:v>
                </c:pt>
                <c:pt idx="2">
                  <c:v>12</c:v>
                </c:pt>
                <c:pt idx="3">
                  <c:v>45</c:v>
                </c:pt>
                <c:pt idx="4">
                  <c:v>70</c:v>
                </c:pt>
                <c:pt idx="5">
                  <c:v>88</c:v>
                </c:pt>
                <c:pt idx="6">
                  <c:v>98</c:v>
                </c:pt>
                <c:pt idx="7">
                  <c:v>100</c:v>
                </c:pt>
              </c:numCache>
            </c:numRef>
          </c:yVal>
          <c:smooth val="1"/>
          <c:extLst>
            <c:ext xmlns:c16="http://schemas.microsoft.com/office/drawing/2014/chart" uri="{C3380CC4-5D6E-409C-BE32-E72D297353CC}">
              <c16:uniqueId val="{00000000-60B9-4FC8-B5B2-FA398628F497}"/>
            </c:ext>
          </c:extLst>
        </c:ser>
        <c:ser>
          <c:idx val="1"/>
          <c:order val="1"/>
          <c:tx>
            <c:strRef>
              <c:f>p.2!$G$30</c:f>
              <c:strCache>
                <c:ptCount val="1"/>
                <c:pt idx="0">
                  <c:v>More than type</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p.2!$E$31:$E$38</c:f>
              <c:numCache>
                <c:formatCode>General</c:formatCode>
                <c:ptCount val="8"/>
                <c:pt idx="0">
                  <c:v>12</c:v>
                </c:pt>
                <c:pt idx="1">
                  <c:v>24</c:v>
                </c:pt>
                <c:pt idx="2">
                  <c:v>36</c:v>
                </c:pt>
                <c:pt idx="3">
                  <c:v>48</c:v>
                </c:pt>
                <c:pt idx="4">
                  <c:v>60</c:v>
                </c:pt>
                <c:pt idx="5">
                  <c:v>72</c:v>
                </c:pt>
                <c:pt idx="6">
                  <c:v>84</c:v>
                </c:pt>
                <c:pt idx="7">
                  <c:v>96</c:v>
                </c:pt>
              </c:numCache>
            </c:numRef>
          </c:xVal>
          <c:yVal>
            <c:numRef>
              <c:f>p.2!$G$31:$G$38</c:f>
              <c:numCache>
                <c:formatCode>General</c:formatCode>
                <c:ptCount val="8"/>
                <c:pt idx="0">
                  <c:v>100</c:v>
                </c:pt>
                <c:pt idx="1">
                  <c:v>98</c:v>
                </c:pt>
                <c:pt idx="2">
                  <c:v>88</c:v>
                </c:pt>
                <c:pt idx="3">
                  <c:v>55</c:v>
                </c:pt>
                <c:pt idx="4">
                  <c:v>30</c:v>
                </c:pt>
                <c:pt idx="5">
                  <c:v>12</c:v>
                </c:pt>
                <c:pt idx="6">
                  <c:v>2</c:v>
                </c:pt>
                <c:pt idx="7">
                  <c:v>0</c:v>
                </c:pt>
              </c:numCache>
            </c:numRef>
          </c:yVal>
          <c:smooth val="1"/>
          <c:extLst>
            <c:ext xmlns:c16="http://schemas.microsoft.com/office/drawing/2014/chart" uri="{C3380CC4-5D6E-409C-BE32-E72D297353CC}">
              <c16:uniqueId val="{00000001-60B9-4FC8-B5B2-FA398628F497}"/>
            </c:ext>
          </c:extLst>
        </c:ser>
        <c:dLbls>
          <c:dLblPos val="t"/>
          <c:showLegendKey val="0"/>
          <c:showVal val="1"/>
          <c:showCatName val="0"/>
          <c:showSerName val="0"/>
          <c:showPercent val="0"/>
          <c:showBubbleSize val="0"/>
        </c:dLbls>
        <c:axId val="1823368511"/>
        <c:axId val="1823371007"/>
      </c:scatterChart>
      <c:valAx>
        <c:axId val="18233685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Class Boundaries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371007"/>
        <c:crosses val="autoZero"/>
        <c:crossBetween val="midCat"/>
      </c:valAx>
      <c:valAx>
        <c:axId val="1823371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3685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p.2!$F$30</c:f>
              <c:strCache>
                <c:ptCount val="1"/>
                <c:pt idx="0">
                  <c:v>Less than type</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p.2!$E$31:$E$38</c:f>
              <c:numCache>
                <c:formatCode>General</c:formatCode>
                <c:ptCount val="8"/>
                <c:pt idx="0">
                  <c:v>12</c:v>
                </c:pt>
                <c:pt idx="1">
                  <c:v>24</c:v>
                </c:pt>
                <c:pt idx="2">
                  <c:v>36</c:v>
                </c:pt>
                <c:pt idx="3">
                  <c:v>48</c:v>
                </c:pt>
                <c:pt idx="4">
                  <c:v>60</c:v>
                </c:pt>
                <c:pt idx="5">
                  <c:v>72</c:v>
                </c:pt>
                <c:pt idx="6">
                  <c:v>84</c:v>
                </c:pt>
                <c:pt idx="7">
                  <c:v>96</c:v>
                </c:pt>
              </c:numCache>
            </c:numRef>
          </c:xVal>
          <c:yVal>
            <c:numRef>
              <c:f>p.2!$F$31:$F$38</c:f>
              <c:numCache>
                <c:formatCode>General</c:formatCode>
                <c:ptCount val="8"/>
                <c:pt idx="0">
                  <c:v>0</c:v>
                </c:pt>
                <c:pt idx="1">
                  <c:v>2</c:v>
                </c:pt>
                <c:pt idx="2">
                  <c:v>12</c:v>
                </c:pt>
                <c:pt idx="3">
                  <c:v>45</c:v>
                </c:pt>
                <c:pt idx="4">
                  <c:v>70</c:v>
                </c:pt>
                <c:pt idx="5">
                  <c:v>88</c:v>
                </c:pt>
                <c:pt idx="6">
                  <c:v>98</c:v>
                </c:pt>
                <c:pt idx="7">
                  <c:v>100</c:v>
                </c:pt>
              </c:numCache>
            </c:numRef>
          </c:yVal>
          <c:smooth val="1"/>
          <c:extLst>
            <c:ext xmlns:c16="http://schemas.microsoft.com/office/drawing/2014/chart" uri="{C3380CC4-5D6E-409C-BE32-E72D297353CC}">
              <c16:uniqueId val="{00000000-E86C-4EDC-A11F-C87F1140EA91}"/>
            </c:ext>
          </c:extLst>
        </c:ser>
        <c:dLbls>
          <c:dLblPos val="t"/>
          <c:showLegendKey val="0"/>
          <c:showVal val="1"/>
          <c:showCatName val="0"/>
          <c:showSerName val="0"/>
          <c:showPercent val="0"/>
          <c:showBubbleSize val="0"/>
        </c:dLbls>
        <c:axId val="1832347039"/>
        <c:axId val="1832332479"/>
      </c:scatterChart>
      <c:valAx>
        <c:axId val="1832347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332479"/>
        <c:crosses val="autoZero"/>
        <c:crossBetween val="midCat"/>
      </c:valAx>
      <c:valAx>
        <c:axId val="1832332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347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p.2!$G$30</c:f>
              <c:strCache>
                <c:ptCount val="1"/>
                <c:pt idx="0">
                  <c:v>More than type</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p.2!$E$31:$E$38</c:f>
              <c:numCache>
                <c:formatCode>General</c:formatCode>
                <c:ptCount val="8"/>
                <c:pt idx="0">
                  <c:v>12</c:v>
                </c:pt>
                <c:pt idx="1">
                  <c:v>24</c:v>
                </c:pt>
                <c:pt idx="2">
                  <c:v>36</c:v>
                </c:pt>
                <c:pt idx="3">
                  <c:v>48</c:v>
                </c:pt>
                <c:pt idx="4">
                  <c:v>60</c:v>
                </c:pt>
                <c:pt idx="5">
                  <c:v>72</c:v>
                </c:pt>
                <c:pt idx="6">
                  <c:v>84</c:v>
                </c:pt>
                <c:pt idx="7">
                  <c:v>96</c:v>
                </c:pt>
              </c:numCache>
            </c:numRef>
          </c:xVal>
          <c:yVal>
            <c:numRef>
              <c:f>p.2!$G$31:$G$38</c:f>
              <c:numCache>
                <c:formatCode>General</c:formatCode>
                <c:ptCount val="8"/>
                <c:pt idx="0">
                  <c:v>100</c:v>
                </c:pt>
                <c:pt idx="1">
                  <c:v>98</c:v>
                </c:pt>
                <c:pt idx="2">
                  <c:v>88</c:v>
                </c:pt>
                <c:pt idx="3">
                  <c:v>55</c:v>
                </c:pt>
                <c:pt idx="4">
                  <c:v>30</c:v>
                </c:pt>
                <c:pt idx="5">
                  <c:v>12</c:v>
                </c:pt>
                <c:pt idx="6">
                  <c:v>2</c:v>
                </c:pt>
                <c:pt idx="7">
                  <c:v>0</c:v>
                </c:pt>
              </c:numCache>
            </c:numRef>
          </c:yVal>
          <c:smooth val="1"/>
          <c:extLst>
            <c:ext xmlns:c16="http://schemas.microsoft.com/office/drawing/2014/chart" uri="{C3380CC4-5D6E-409C-BE32-E72D297353CC}">
              <c16:uniqueId val="{00000000-543F-4074-806D-E5F3F4C871FF}"/>
            </c:ext>
          </c:extLst>
        </c:ser>
        <c:dLbls>
          <c:dLblPos val="t"/>
          <c:showLegendKey val="0"/>
          <c:showVal val="1"/>
          <c:showCatName val="0"/>
          <c:showSerName val="0"/>
          <c:showPercent val="0"/>
          <c:showBubbleSize val="0"/>
        </c:dLbls>
        <c:axId val="1886249967"/>
        <c:axId val="1886248719"/>
      </c:scatterChart>
      <c:valAx>
        <c:axId val="1886249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48719"/>
        <c:crosses val="autoZero"/>
        <c:crossBetween val="midCat"/>
      </c:valAx>
      <c:valAx>
        <c:axId val="188624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499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p.3!$J$3</c:f>
              <c:strCache>
                <c:ptCount val="1"/>
                <c:pt idx="0">
                  <c:v>RF</c:v>
                </c:pt>
              </c:strCache>
            </c:strRef>
          </c:tx>
          <c:spPr>
            <a:solidFill>
              <a:schemeClr val="accent1"/>
            </a:solidFill>
            <a:ln>
              <a:noFill/>
            </a:ln>
            <a:effectLst/>
          </c:spPr>
          <c:invertIfNegative val="0"/>
          <c:cat>
            <c:strRef>
              <c:f>p.3!$I$4:$I$9</c:f>
              <c:strCache>
                <c:ptCount val="6"/>
                <c:pt idx="0">
                  <c:v>35 - 44</c:v>
                </c:pt>
                <c:pt idx="1">
                  <c:v>44 - 53</c:v>
                </c:pt>
                <c:pt idx="2">
                  <c:v>53 - 62</c:v>
                </c:pt>
                <c:pt idx="3">
                  <c:v>62 - 71</c:v>
                </c:pt>
                <c:pt idx="4">
                  <c:v>71 - 80</c:v>
                </c:pt>
                <c:pt idx="5">
                  <c:v>80 - 89</c:v>
                </c:pt>
              </c:strCache>
            </c:strRef>
          </c:cat>
          <c:val>
            <c:numRef>
              <c:f>p.3!$J$4:$J$9</c:f>
              <c:numCache>
                <c:formatCode>General</c:formatCode>
                <c:ptCount val="6"/>
                <c:pt idx="0">
                  <c:v>0.1</c:v>
                </c:pt>
                <c:pt idx="1">
                  <c:v>0.14000000000000001</c:v>
                </c:pt>
                <c:pt idx="2">
                  <c:v>0.18</c:v>
                </c:pt>
                <c:pt idx="3">
                  <c:v>0.2</c:v>
                </c:pt>
                <c:pt idx="4">
                  <c:v>0.18</c:v>
                </c:pt>
                <c:pt idx="5">
                  <c:v>0.2</c:v>
                </c:pt>
              </c:numCache>
            </c:numRef>
          </c:val>
          <c:extLst>
            <c:ext xmlns:c16="http://schemas.microsoft.com/office/drawing/2014/chart" uri="{C3380CC4-5D6E-409C-BE32-E72D297353CC}">
              <c16:uniqueId val="{00000000-5BB4-4DAB-B1EC-A8CCBAB34A19}"/>
            </c:ext>
          </c:extLst>
        </c:ser>
        <c:dLbls>
          <c:showLegendKey val="0"/>
          <c:showVal val="0"/>
          <c:showCatName val="0"/>
          <c:showSerName val="0"/>
          <c:showPercent val="0"/>
          <c:showBubbleSize val="0"/>
        </c:dLbls>
        <c:gapWidth val="0"/>
        <c:axId val="1349028367"/>
        <c:axId val="1076918415"/>
      </c:barChart>
      <c:catAx>
        <c:axId val="134902836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8415"/>
        <c:crosses val="autoZero"/>
        <c:auto val="1"/>
        <c:lblAlgn val="ctr"/>
        <c:lblOffset val="100"/>
        <c:noMultiLvlLbl val="0"/>
      </c:catAx>
      <c:valAx>
        <c:axId val="1076918415"/>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2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p.3!$L$23:$L$28</c:f>
              <c:numCache>
                <c:formatCode>General</c:formatCode>
                <c:ptCount val="6"/>
                <c:pt idx="0">
                  <c:v>44</c:v>
                </c:pt>
                <c:pt idx="1">
                  <c:v>53</c:v>
                </c:pt>
                <c:pt idx="2">
                  <c:v>62</c:v>
                </c:pt>
                <c:pt idx="3">
                  <c:v>71</c:v>
                </c:pt>
                <c:pt idx="4">
                  <c:v>80</c:v>
                </c:pt>
                <c:pt idx="5">
                  <c:v>89</c:v>
                </c:pt>
              </c:numCache>
            </c:numRef>
          </c:cat>
          <c:val>
            <c:numRef>
              <c:f>p.3!$N$23:$N$28</c:f>
              <c:numCache>
                <c:formatCode>General</c:formatCode>
                <c:ptCount val="6"/>
                <c:pt idx="0">
                  <c:v>0.1</c:v>
                </c:pt>
                <c:pt idx="1">
                  <c:v>0.14000000000000001</c:v>
                </c:pt>
                <c:pt idx="2">
                  <c:v>0.18</c:v>
                </c:pt>
                <c:pt idx="3">
                  <c:v>0.2</c:v>
                </c:pt>
                <c:pt idx="4">
                  <c:v>0.18</c:v>
                </c:pt>
                <c:pt idx="5">
                  <c:v>0.2</c:v>
                </c:pt>
              </c:numCache>
            </c:numRef>
          </c:val>
          <c:extLst>
            <c:ext xmlns:c16="http://schemas.microsoft.com/office/drawing/2014/chart" uri="{C3380CC4-5D6E-409C-BE32-E72D297353CC}">
              <c16:uniqueId val="{00000000-656E-4ED4-B173-51E3C215DF76}"/>
            </c:ext>
          </c:extLst>
        </c:ser>
        <c:dLbls>
          <c:showLegendKey val="0"/>
          <c:showVal val="0"/>
          <c:showCatName val="0"/>
          <c:showSerName val="0"/>
          <c:showPercent val="0"/>
          <c:showBubbleSize val="0"/>
        </c:dLbls>
        <c:gapWidth val="0"/>
        <c:axId val="908396704"/>
        <c:axId val="908397120"/>
      </c:barChart>
      <c:catAx>
        <c:axId val="90839670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397120"/>
        <c:crosses val="autoZero"/>
        <c:auto val="1"/>
        <c:lblAlgn val="ctr"/>
        <c:lblOffset val="100"/>
        <c:noMultiLvlLbl val="0"/>
      </c:catAx>
      <c:valAx>
        <c:axId val="908397120"/>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396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Binamial</a:t>
            </a:r>
            <a:r>
              <a:rPr lang="en-US" baseline="0"/>
              <a:t> Probability Distribution</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p.5!$B$1</c:f>
              <c:strCache>
                <c:ptCount val="1"/>
                <c:pt idx="0">
                  <c:v>P(X)</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p.5!$A$2:$A$52</c:f>
              <c:numCache>
                <c:formatCode>General</c:formatCode>
                <c:ptCount val="5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numCache>
            </c:numRef>
          </c:xVal>
          <c:yVal>
            <c:numRef>
              <c:f>p.5!$B$2:$B$52</c:f>
              <c:numCache>
                <c:formatCode>General</c:formatCode>
                <c:ptCount val="51"/>
                <c:pt idx="0">
                  <c:v>1.2676506002282335E-20</c:v>
                </c:pt>
                <c:pt idx="1">
                  <c:v>9.5073795017117106E-19</c:v>
                </c:pt>
                <c:pt idx="2">
                  <c:v>3.4939619668790754E-17</c:v>
                </c:pt>
                <c:pt idx="3">
                  <c:v>8.3855087205096689E-16</c:v>
                </c:pt>
                <c:pt idx="4">
                  <c:v>1.4779459119898525E-14</c:v>
                </c:pt>
                <c:pt idx="5">
                  <c:v>2.0395653585459816E-13</c:v>
                </c:pt>
                <c:pt idx="6">
                  <c:v>2.2945110283642206E-12</c:v>
                </c:pt>
                <c:pt idx="7">
                  <c:v>2.1633961124577119E-11</c:v>
                </c:pt>
                <c:pt idx="8">
                  <c:v>1.744238115669023E-10</c:v>
                </c:pt>
                <c:pt idx="9">
                  <c:v>1.2209666809683165E-9</c:v>
                </c:pt>
                <c:pt idx="10">
                  <c:v>7.5089450879551504E-9</c:v>
                </c:pt>
                <c:pt idx="11">
                  <c:v>4.0957882297937133E-8</c:v>
                </c:pt>
                <c:pt idx="12">
                  <c:v>1.9966967620244384E-7</c:v>
                </c:pt>
                <c:pt idx="13">
                  <c:v>8.7547473411840246E-7</c:v>
                </c:pt>
                <c:pt idx="14">
                  <c:v>3.4706319816836722E-6</c:v>
                </c:pt>
                <c:pt idx="15">
                  <c:v>1.2494275134061228E-5</c:v>
                </c:pt>
                <c:pt idx="16">
                  <c:v>4.0996840283638554E-5</c:v>
                </c:pt>
                <c:pt idx="17">
                  <c:v>1.2299052085091563E-4</c:v>
                </c:pt>
                <c:pt idx="18">
                  <c:v>3.3822393234001662E-4</c:v>
                </c:pt>
                <c:pt idx="19">
                  <c:v>8.5446046064846428E-4</c:v>
                </c:pt>
                <c:pt idx="20">
                  <c:v>1.986620571007684E-3</c:v>
                </c:pt>
                <c:pt idx="21">
                  <c:v>4.2570440807307413E-3</c:v>
                </c:pt>
                <c:pt idx="22">
                  <c:v>8.4173371596267012E-3</c:v>
                </c:pt>
                <c:pt idx="23">
                  <c:v>1.5370789595840064E-2</c:v>
                </c:pt>
                <c:pt idx="24">
                  <c:v>2.5938207442980088E-2</c:v>
                </c:pt>
                <c:pt idx="25">
                  <c:v>4.0463603611048948E-2</c:v>
                </c:pt>
                <c:pt idx="26">
                  <c:v>5.8360966746705253E-2</c:v>
                </c:pt>
                <c:pt idx="27">
                  <c:v>7.7814622328940292E-2</c:v>
                </c:pt>
                <c:pt idx="28">
                  <c:v>9.5878731083872876E-2</c:v>
                </c:pt>
                <c:pt idx="29">
                  <c:v>0.10910338364716567</c:v>
                </c:pt>
                <c:pt idx="30">
                  <c:v>0.11455855282952399</c:v>
                </c:pt>
                <c:pt idx="31">
                  <c:v>0.11086311564147482</c:v>
                </c:pt>
                <c:pt idx="32">
                  <c:v>9.8737462368188561E-2</c:v>
                </c:pt>
                <c:pt idx="33">
                  <c:v>8.0785196483063329E-2</c:v>
                </c:pt>
                <c:pt idx="34">
                  <c:v>6.0588897362297466E-2</c:v>
                </c:pt>
                <c:pt idx="35">
                  <c:v>4.1546672477004012E-2</c:v>
                </c:pt>
                <c:pt idx="36">
                  <c:v>2.596667029812751E-2</c:v>
                </c:pt>
                <c:pt idx="37">
                  <c:v>1.4737839898937226E-2</c:v>
                </c:pt>
                <c:pt idx="38">
                  <c:v>7.5628388955072626E-3</c:v>
                </c:pt>
                <c:pt idx="39">
                  <c:v>3.4905410286956537E-3</c:v>
                </c:pt>
                <c:pt idx="40">
                  <c:v>1.4398481743369603E-3</c:v>
                </c:pt>
                <c:pt idx="41">
                  <c:v>5.2677372231839988E-4</c:v>
                </c:pt>
                <c:pt idx="42">
                  <c:v>1.6932012503091434E-4</c:v>
                </c:pt>
                <c:pt idx="43">
                  <c:v>4.7252127915604095E-5</c:v>
                </c:pt>
                <c:pt idx="44">
                  <c:v>1.1276075979860058E-5</c:v>
                </c:pt>
                <c:pt idx="45">
                  <c:v>2.2552151959720124E-6</c:v>
                </c:pt>
                <c:pt idx="46">
                  <c:v>3.6769812977804516E-7</c:v>
                </c:pt>
                <c:pt idx="47">
                  <c:v>4.6940186780175838E-8</c:v>
                </c:pt>
                <c:pt idx="48">
                  <c:v>4.4006425106414753E-9</c:v>
                </c:pt>
                <c:pt idx="49">
                  <c:v>2.6942709248825439E-10</c:v>
                </c:pt>
                <c:pt idx="50">
                  <c:v>8.0828127746476279E-12</c:v>
                </c:pt>
              </c:numCache>
            </c:numRef>
          </c:yVal>
          <c:smooth val="1"/>
          <c:extLst>
            <c:ext xmlns:c16="http://schemas.microsoft.com/office/drawing/2014/chart" uri="{C3380CC4-5D6E-409C-BE32-E72D297353CC}">
              <c16:uniqueId val="{00000000-28CF-465F-BB71-980B97E2F3B0}"/>
            </c:ext>
          </c:extLst>
        </c:ser>
        <c:dLbls>
          <c:showLegendKey val="0"/>
          <c:showVal val="0"/>
          <c:showCatName val="0"/>
          <c:showSerName val="0"/>
          <c:showPercent val="0"/>
          <c:showBubbleSize val="0"/>
        </c:dLbls>
        <c:axId val="1643265439"/>
        <c:axId val="1643266271"/>
      </c:scatterChart>
      <c:valAx>
        <c:axId val="1643265439"/>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43266271"/>
        <c:crosses val="autoZero"/>
        <c:crossBetween val="midCat"/>
      </c:valAx>
      <c:valAx>
        <c:axId val="1643266271"/>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P(X)</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43265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P.6!$B$1</c:f>
              <c:strCache>
                <c:ptCount val="1"/>
                <c:pt idx="0">
                  <c:v>Binomial P(X)</c:v>
                </c:pt>
              </c:strCache>
            </c:strRef>
          </c:tx>
          <c:spPr>
            <a:ln w="19050" cap="rnd">
              <a:solidFill>
                <a:schemeClr val="accent1"/>
              </a:solidFill>
              <a:round/>
            </a:ln>
            <a:effectLst/>
          </c:spPr>
          <c:marker>
            <c:symbol val="none"/>
          </c:marker>
          <c:xVal>
            <c:numRef>
              <c:f>P.6!$A$2:$A$152</c:f>
              <c:numCache>
                <c:formatCode>General</c:formatCode>
                <c:ptCount val="15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numCache>
            </c:numRef>
          </c:xVal>
          <c:yVal>
            <c:numRef>
              <c:f>P.6!$B$2:$B$152</c:f>
              <c:numCache>
                <c:formatCode>General</c:formatCode>
                <c:ptCount val="151"/>
                <c:pt idx="0">
                  <c:v>7.006492321624118E-46</c:v>
                </c:pt>
                <c:pt idx="1">
                  <c:v>1.0509738482436228E-43</c:v>
                </c:pt>
                <c:pt idx="2">
                  <c:v>7.8297551694148478E-42</c:v>
                </c:pt>
                <c:pt idx="3">
                  <c:v>3.8626792169114202E-40</c:v>
                </c:pt>
                <c:pt idx="4">
                  <c:v>1.4195346122149142E-38</c:v>
                </c:pt>
                <c:pt idx="5">
                  <c:v>4.1450410676675652E-37</c:v>
                </c:pt>
                <c:pt idx="6">
                  <c:v>1.0017182580196846E-35</c:v>
                </c:pt>
                <c:pt idx="7">
                  <c:v>2.0606775593547322E-34</c:v>
                </c:pt>
                <c:pt idx="8">
                  <c:v>3.6834611373465735E-33</c:v>
                </c:pt>
                <c:pt idx="9">
                  <c:v>5.8116831278135489E-32</c:v>
                </c:pt>
                <c:pt idx="10">
                  <c:v>8.1944732102170624E-31</c:v>
                </c:pt>
                <c:pt idx="11">
                  <c:v>1.0429329540276408E-29</c:v>
                </c:pt>
                <c:pt idx="12">
                  <c:v>1.2080640050819962E-28</c:v>
                </c:pt>
                <c:pt idx="13">
                  <c:v>1.2824064053947353E-27</c:v>
                </c:pt>
                <c:pt idx="14">
                  <c:v>1.2549262681362819E-26</c:v>
                </c:pt>
                <c:pt idx="15">
                  <c:v>1.1377998164435499E-25</c:v>
                </c:pt>
                <c:pt idx="16">
                  <c:v>9.6001859512425543E-25</c:v>
                </c:pt>
                <c:pt idx="17">
                  <c:v>7.5672053968617139E-24</c:v>
                </c:pt>
                <c:pt idx="18">
                  <c:v>5.5913239876811938E-23</c:v>
                </c:pt>
                <c:pt idx="19">
                  <c:v>3.8844987703890734E-22</c:v>
                </c:pt>
                <c:pt idx="20">
                  <c:v>2.5443466946048164E-21</c:v>
                </c:pt>
                <c:pt idx="21">
                  <c:v>1.5750717633267819E-20</c:v>
                </c:pt>
                <c:pt idx="22">
                  <c:v>9.2356480667798307E-20</c:v>
                </c:pt>
                <c:pt idx="23">
                  <c:v>5.1398389241209323E-19</c:v>
                </c:pt>
                <c:pt idx="24">
                  <c:v>2.7198314306807092E-18</c:v>
                </c:pt>
                <c:pt idx="25">
                  <c:v>1.3707950410630521E-17</c:v>
                </c:pt>
                <c:pt idx="26">
                  <c:v>6.5903607743416455E-17</c:v>
                </c:pt>
                <c:pt idx="27">
                  <c:v>3.02668420747544E-16</c:v>
                </c:pt>
                <c:pt idx="28">
                  <c:v>1.3295791339981186E-15</c:v>
                </c:pt>
                <c:pt idx="29">
                  <c:v>5.5934018740610964E-15</c:v>
                </c:pt>
                <c:pt idx="30">
                  <c:v>2.2560054225379517E-14</c:v>
                </c:pt>
                <c:pt idx="31">
                  <c:v>8.7329242162760296E-14</c:v>
                </c:pt>
                <c:pt idx="32">
                  <c:v>3.2475561929276727E-13</c:v>
                </c:pt>
                <c:pt idx="33">
                  <c:v>1.1612473659559358E-12</c:v>
                </c:pt>
                <c:pt idx="34">
                  <c:v>3.9960571122601796E-12</c:v>
                </c:pt>
                <c:pt idx="35">
                  <c:v>1.3244075000633628E-11</c:v>
                </c:pt>
                <c:pt idx="36">
                  <c:v>4.2307461807579658E-11</c:v>
                </c:pt>
                <c:pt idx="37">
                  <c:v>1.3035272016389525E-10</c:v>
                </c:pt>
                <c:pt idx="38">
                  <c:v>3.8762782575052838E-10</c:v>
                </c:pt>
                <c:pt idx="39">
                  <c:v>1.1131876021553637E-9</c:v>
                </c:pt>
                <c:pt idx="40">
                  <c:v>3.0890955959811329E-9</c:v>
                </c:pt>
                <c:pt idx="41">
                  <c:v>8.2878174526323783E-9</c:v>
                </c:pt>
                <c:pt idx="42">
                  <c:v>2.1508859579450411E-8</c:v>
                </c:pt>
                <c:pt idx="43">
                  <c:v>5.4022251966991847E-8</c:v>
                </c:pt>
                <c:pt idx="44">
                  <c:v>1.3137229455609447E-7</c:v>
                </c:pt>
                <c:pt idx="45">
                  <c:v>3.0945473828769134E-7</c:v>
                </c:pt>
                <c:pt idx="46">
                  <c:v>7.0636407652624944E-7</c:v>
                </c:pt>
                <c:pt idx="47">
                  <c:v>1.5630183821006257E-6</c:v>
                </c:pt>
                <c:pt idx="48">
                  <c:v>3.3539769449242648E-6</c:v>
                </c:pt>
                <c:pt idx="49">
                  <c:v>6.9817479261689009E-6</c:v>
                </c:pt>
                <c:pt idx="50">
                  <c:v>1.4103130810861158E-5</c:v>
                </c:pt>
                <c:pt idx="51">
                  <c:v>2.7653197668355155E-5</c:v>
                </c:pt>
                <c:pt idx="52">
                  <c:v>5.264743402244535E-5</c:v>
                </c:pt>
                <c:pt idx="53">
                  <c:v>9.734808555093689E-5</c:v>
                </c:pt>
                <c:pt idx="54">
                  <c:v>1.7486600552668314E-4</c:v>
                </c:pt>
                <c:pt idx="55">
                  <c:v>3.052206641920284E-4</c:v>
                </c:pt>
                <c:pt idx="56">
                  <c:v>5.1778505532576295E-4</c:v>
                </c:pt>
                <c:pt idx="57">
                  <c:v>8.5389114387055323E-4</c:v>
                </c:pt>
                <c:pt idx="58">
                  <c:v>1.3691702824131316E-3</c:v>
                </c:pt>
                <c:pt idx="59">
                  <c:v>2.1349773895255647E-3</c:v>
                </c:pt>
                <c:pt idx="60">
                  <c:v>3.2380490407804413E-3</c:v>
                </c:pt>
                <c:pt idx="61">
                  <c:v>4.7774494044301652E-3</c:v>
                </c:pt>
                <c:pt idx="62">
                  <c:v>6.8579515644239392E-3</c:v>
                </c:pt>
                <c:pt idx="63">
                  <c:v>9.5793609153858022E-3</c:v>
                </c:pt>
                <c:pt idx="64">
                  <c:v>1.3021943744352596E-2</c:v>
                </c:pt>
                <c:pt idx="65">
                  <c:v>1.7229033261758828E-2</c:v>
                </c:pt>
                <c:pt idx="66">
                  <c:v>2.2188906473477259E-2</c:v>
                </c:pt>
                <c:pt idx="67">
                  <c:v>2.7818927518986382E-2</c:v>
                </c:pt>
                <c:pt idx="68">
                  <c:v>3.3955455648174579E-2</c:v>
                </c:pt>
                <c:pt idx="69">
                  <c:v>4.0352860335511803E-2</c:v>
                </c:pt>
                <c:pt idx="70">
                  <c:v>4.6694024102520847E-2</c:v>
                </c:pt>
                <c:pt idx="71">
                  <c:v>5.2612984904248795E-2</c:v>
                </c:pt>
                <c:pt idx="72">
                  <c:v>5.7728136214384142E-2</c:v>
                </c:pt>
                <c:pt idx="73">
                  <c:v>6.16821181468762E-2</c:v>
                </c:pt>
                <c:pt idx="74">
                  <c:v>6.4182744558236027E-2</c:v>
                </c:pt>
                <c:pt idx="75">
                  <c:v>6.5038514485679211E-2</c:v>
                </c:pt>
                <c:pt idx="76">
                  <c:v>6.4182744558236027E-2</c:v>
                </c:pt>
                <c:pt idx="77">
                  <c:v>6.16821181468762E-2</c:v>
                </c:pt>
                <c:pt idx="78">
                  <c:v>5.7728136214384142E-2</c:v>
                </c:pt>
                <c:pt idx="79">
                  <c:v>5.2612984904248795E-2</c:v>
                </c:pt>
                <c:pt idx="80">
                  <c:v>4.6694024102520847E-2</c:v>
                </c:pt>
                <c:pt idx="81">
                  <c:v>4.0352860335511803E-2</c:v>
                </c:pt>
                <c:pt idx="82">
                  <c:v>3.3955455648174579E-2</c:v>
                </c:pt>
                <c:pt idx="83">
                  <c:v>2.7818927518986382E-2</c:v>
                </c:pt>
                <c:pt idx="84">
                  <c:v>2.2188906473477259E-2</c:v>
                </c:pt>
                <c:pt idx="85">
                  <c:v>1.7229033261758828E-2</c:v>
                </c:pt>
                <c:pt idx="86">
                  <c:v>1.3021943744352596E-2</c:v>
                </c:pt>
                <c:pt idx="87">
                  <c:v>9.5793609153858057E-3</c:v>
                </c:pt>
                <c:pt idx="88">
                  <c:v>6.8579515644239392E-3</c:v>
                </c:pt>
                <c:pt idx="89">
                  <c:v>4.7774494044301669E-3</c:v>
                </c:pt>
                <c:pt idx="90">
                  <c:v>3.2380490407804413E-3</c:v>
                </c:pt>
                <c:pt idx="91">
                  <c:v>2.134977389525566E-3</c:v>
                </c:pt>
                <c:pt idx="92">
                  <c:v>1.3691702824131316E-3</c:v>
                </c:pt>
                <c:pt idx="93">
                  <c:v>8.5389114387055323E-4</c:v>
                </c:pt>
                <c:pt idx="94">
                  <c:v>5.1778505532576295E-4</c:v>
                </c:pt>
                <c:pt idx="95">
                  <c:v>3.0522066419202818E-4</c:v>
                </c:pt>
                <c:pt idx="96">
                  <c:v>1.7486600552668314E-4</c:v>
                </c:pt>
                <c:pt idx="97">
                  <c:v>9.734808555093689E-5</c:v>
                </c:pt>
                <c:pt idx="98">
                  <c:v>5.264743402244535E-5</c:v>
                </c:pt>
                <c:pt idx="99">
                  <c:v>2.7653197668355155E-5</c:v>
                </c:pt>
                <c:pt idx="100">
                  <c:v>1.4103130810861158E-5</c:v>
                </c:pt>
                <c:pt idx="101">
                  <c:v>6.9817479261689001E-6</c:v>
                </c:pt>
                <c:pt idx="102">
                  <c:v>3.3539769449242648E-6</c:v>
                </c:pt>
                <c:pt idx="103">
                  <c:v>1.5630183821006257E-6</c:v>
                </c:pt>
                <c:pt idx="104">
                  <c:v>7.0636407652624944E-7</c:v>
                </c:pt>
                <c:pt idx="105">
                  <c:v>3.0945473828769134E-7</c:v>
                </c:pt>
                <c:pt idx="106">
                  <c:v>1.3137229455609447E-7</c:v>
                </c:pt>
                <c:pt idx="107">
                  <c:v>5.4022251966991847E-8</c:v>
                </c:pt>
                <c:pt idx="108">
                  <c:v>2.150885957945045E-8</c:v>
                </c:pt>
                <c:pt idx="109">
                  <c:v>8.287817452632365E-9</c:v>
                </c:pt>
                <c:pt idx="110">
                  <c:v>3.0890955959811437E-9</c:v>
                </c:pt>
                <c:pt idx="111">
                  <c:v>1.1131876021553637E-9</c:v>
                </c:pt>
                <c:pt idx="112">
                  <c:v>3.8762782575052704E-10</c:v>
                </c:pt>
                <c:pt idx="113">
                  <c:v>1.3035272016389572E-10</c:v>
                </c:pt>
                <c:pt idx="114">
                  <c:v>4.2307461807579658E-11</c:v>
                </c:pt>
                <c:pt idx="115">
                  <c:v>1.3244075000633628E-11</c:v>
                </c:pt>
                <c:pt idx="116">
                  <c:v>3.9960571122601796E-12</c:v>
                </c:pt>
                <c:pt idx="117">
                  <c:v>1.16124736595594E-12</c:v>
                </c:pt>
                <c:pt idx="118">
                  <c:v>3.2475561929276727E-13</c:v>
                </c:pt>
                <c:pt idx="119">
                  <c:v>8.7329242162759981E-14</c:v>
                </c:pt>
                <c:pt idx="120">
                  <c:v>2.2560054225379517E-14</c:v>
                </c:pt>
                <c:pt idx="121">
                  <c:v>5.5934018740610964E-15</c:v>
                </c:pt>
                <c:pt idx="122">
                  <c:v>1.3295791339981233E-15</c:v>
                </c:pt>
                <c:pt idx="123">
                  <c:v>3.0266842074754395E-16</c:v>
                </c:pt>
                <c:pt idx="124">
                  <c:v>6.5903607743416455E-17</c:v>
                </c:pt>
                <c:pt idx="125">
                  <c:v>1.3707950410630521E-17</c:v>
                </c:pt>
                <c:pt idx="126">
                  <c:v>2.7198314306807092E-18</c:v>
                </c:pt>
                <c:pt idx="127">
                  <c:v>5.1398389241209323E-19</c:v>
                </c:pt>
                <c:pt idx="128">
                  <c:v>9.2356480667797657E-20</c:v>
                </c:pt>
                <c:pt idx="129">
                  <c:v>1.5750717633267819E-20</c:v>
                </c:pt>
                <c:pt idx="130">
                  <c:v>2.5443466946048164E-21</c:v>
                </c:pt>
                <c:pt idx="131">
                  <c:v>3.8844987703890734E-22</c:v>
                </c:pt>
                <c:pt idx="132">
                  <c:v>5.5913239876811938E-23</c:v>
                </c:pt>
                <c:pt idx="133">
                  <c:v>7.5672053968617139E-24</c:v>
                </c:pt>
                <c:pt idx="134">
                  <c:v>9.6001859512426222E-25</c:v>
                </c:pt>
                <c:pt idx="135">
                  <c:v>1.1377998164435499E-25</c:v>
                </c:pt>
                <c:pt idx="136">
                  <c:v>1.2549262681362819E-26</c:v>
                </c:pt>
                <c:pt idx="137">
                  <c:v>1.2824064053947353E-27</c:v>
                </c:pt>
                <c:pt idx="138">
                  <c:v>1.2080640050819874E-28</c:v>
                </c:pt>
                <c:pt idx="139">
                  <c:v>1.0429329540276408E-29</c:v>
                </c:pt>
                <c:pt idx="140">
                  <c:v>8.1944732102170624E-31</c:v>
                </c:pt>
                <c:pt idx="141">
                  <c:v>5.811683127813631E-32</c:v>
                </c:pt>
                <c:pt idx="142">
                  <c:v>3.6834611373465735E-33</c:v>
                </c:pt>
                <c:pt idx="143">
                  <c:v>2.0606775593547322E-34</c:v>
                </c:pt>
                <c:pt idx="144">
                  <c:v>1.0017182580196846E-35</c:v>
                </c:pt>
                <c:pt idx="145">
                  <c:v>4.1450410676675652E-37</c:v>
                </c:pt>
                <c:pt idx="146">
                  <c:v>1.4195346122149142E-38</c:v>
                </c:pt>
                <c:pt idx="147">
                  <c:v>3.8626792169114202E-40</c:v>
                </c:pt>
                <c:pt idx="148">
                  <c:v>7.8297551694148478E-42</c:v>
                </c:pt>
                <c:pt idx="149">
                  <c:v>1.0509738482436228E-43</c:v>
                </c:pt>
                <c:pt idx="150">
                  <c:v>7.006492321624118E-46</c:v>
                </c:pt>
              </c:numCache>
            </c:numRef>
          </c:yVal>
          <c:smooth val="1"/>
          <c:extLst>
            <c:ext xmlns:c16="http://schemas.microsoft.com/office/drawing/2014/chart" uri="{C3380CC4-5D6E-409C-BE32-E72D297353CC}">
              <c16:uniqueId val="{00000000-EBEE-47AD-87B1-A46957F06083}"/>
            </c:ext>
          </c:extLst>
        </c:ser>
        <c:ser>
          <c:idx val="1"/>
          <c:order val="1"/>
          <c:tx>
            <c:strRef>
              <c:f>P.6!$C$1</c:f>
              <c:strCache>
                <c:ptCount val="1"/>
                <c:pt idx="0">
                  <c:v>Poission P(X)</c:v>
                </c:pt>
              </c:strCache>
            </c:strRef>
          </c:tx>
          <c:spPr>
            <a:ln w="19050" cap="rnd">
              <a:solidFill>
                <a:schemeClr val="accent2"/>
              </a:solidFill>
              <a:round/>
            </a:ln>
            <a:effectLst/>
          </c:spPr>
          <c:marker>
            <c:symbol val="none"/>
          </c:marker>
          <c:xVal>
            <c:numRef>
              <c:f>P.6!$A$2:$A$152</c:f>
              <c:numCache>
                <c:formatCode>General</c:formatCode>
                <c:ptCount val="15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numCache>
            </c:numRef>
          </c:xVal>
          <c:yVal>
            <c:numRef>
              <c:f>P.6!$C$2:$C$152</c:f>
              <c:numCache>
                <c:formatCode>General</c:formatCode>
                <c:ptCount val="151"/>
                <c:pt idx="0">
                  <c:v>2.6786369618080778E-33</c:v>
                </c:pt>
                <c:pt idx="1">
                  <c:v>2.008977721356058E-31</c:v>
                </c:pt>
                <c:pt idx="2">
                  <c:v>7.5336664550852185E-30</c:v>
                </c:pt>
                <c:pt idx="3">
                  <c:v>1.8834166137713108E-28</c:v>
                </c:pt>
                <c:pt idx="4">
                  <c:v>3.5314061508211917E-27</c:v>
                </c:pt>
                <c:pt idx="5">
                  <c:v>5.2971092262318248E-26</c:v>
                </c:pt>
                <c:pt idx="6">
                  <c:v>6.6213865327897471E-25</c:v>
                </c:pt>
                <c:pt idx="7">
                  <c:v>7.0943427137032938E-24</c:v>
                </c:pt>
                <c:pt idx="8">
                  <c:v>6.6509462940968118E-23</c:v>
                </c:pt>
                <c:pt idx="9">
                  <c:v>5.5424552450806907E-22</c:v>
                </c:pt>
                <c:pt idx="10">
                  <c:v>4.1568414338105324E-21</c:v>
                </c:pt>
                <c:pt idx="11">
                  <c:v>2.834210068507171E-20</c:v>
                </c:pt>
                <c:pt idx="12">
                  <c:v>1.771381292816991E-19</c:v>
                </c:pt>
                <c:pt idx="13">
                  <c:v>1.0219507458559482E-18</c:v>
                </c:pt>
                <c:pt idx="14">
                  <c:v>5.4747361385140163E-18</c:v>
                </c:pt>
                <c:pt idx="15">
                  <c:v>2.7373680692570212E-17</c:v>
                </c:pt>
                <c:pt idx="16">
                  <c:v>1.2831412824642278E-16</c:v>
                </c:pt>
                <c:pt idx="17">
                  <c:v>5.6609174226362885E-16</c:v>
                </c:pt>
                <c:pt idx="18">
                  <c:v>2.3587155927651277E-15</c:v>
                </c:pt>
                <c:pt idx="19">
                  <c:v>9.3107194451254424E-15</c:v>
                </c:pt>
                <c:pt idx="20">
                  <c:v>3.4915197919220622E-14</c:v>
                </c:pt>
                <c:pt idx="21">
                  <c:v>1.2469713542578752E-13</c:v>
                </c:pt>
                <c:pt idx="22">
                  <c:v>4.2510387076973089E-13</c:v>
                </c:pt>
                <c:pt idx="23">
                  <c:v>1.3862082742491292E-12</c:v>
                </c:pt>
                <c:pt idx="24">
                  <c:v>4.331900857028505E-12</c:v>
                </c:pt>
                <c:pt idx="25">
                  <c:v>1.2995702571085546E-11</c:v>
                </c:pt>
                <c:pt idx="26">
                  <c:v>3.7487603570439063E-11</c:v>
                </c:pt>
                <c:pt idx="27">
                  <c:v>1.0413223214010841E-10</c:v>
                </c:pt>
                <c:pt idx="28">
                  <c:v>2.7892562180386096E-10</c:v>
                </c:pt>
                <c:pt idx="29">
                  <c:v>7.2135936673412578E-10</c:v>
                </c:pt>
                <c:pt idx="30">
                  <c:v>1.8033984168353112E-9</c:v>
                </c:pt>
                <c:pt idx="31">
                  <c:v>4.3630606858918848E-9</c:v>
                </c:pt>
                <c:pt idx="32">
                  <c:v>1.0225923482559078E-8</c:v>
                </c:pt>
                <c:pt idx="33">
                  <c:v>2.3240735187634359E-8</c:v>
                </c:pt>
                <c:pt idx="34">
                  <c:v>5.1266327619781742E-8</c:v>
                </c:pt>
                <c:pt idx="35">
                  <c:v>1.0985641632810318E-7</c:v>
                </c:pt>
                <c:pt idx="36">
                  <c:v>2.2886753401688196E-7</c:v>
                </c:pt>
                <c:pt idx="37">
                  <c:v>4.639206770612478E-7</c:v>
                </c:pt>
                <c:pt idx="38">
                  <c:v>9.1563291525245874E-7</c:v>
                </c:pt>
                <c:pt idx="39">
                  <c:v>1.7608325293316535E-6</c:v>
                </c:pt>
                <c:pt idx="40">
                  <c:v>3.3015609924968749E-6</c:v>
                </c:pt>
                <c:pt idx="41">
                  <c:v>6.0394408399333098E-6</c:v>
                </c:pt>
                <c:pt idx="42">
                  <c:v>1.0784715785595121E-5</c:v>
                </c:pt>
                <c:pt idx="43">
                  <c:v>1.8810550788828684E-5</c:v>
                </c:pt>
                <c:pt idx="44">
                  <c:v>3.2063438844594481E-5</c:v>
                </c:pt>
                <c:pt idx="45">
                  <c:v>5.3439064740990788E-5</c:v>
                </c:pt>
                <c:pt idx="46">
                  <c:v>8.7128909903789532E-5</c:v>
                </c:pt>
                <c:pt idx="47">
                  <c:v>1.3903549452732287E-4</c:v>
                </c:pt>
                <c:pt idx="48">
                  <c:v>2.172429601989425E-4</c:v>
                </c:pt>
                <c:pt idx="49">
                  <c:v>3.3251473499838091E-4</c:v>
                </c:pt>
                <c:pt idx="50">
                  <c:v>4.9877210249757193E-4</c:v>
                </c:pt>
                <c:pt idx="51">
                  <c:v>7.3348838602584239E-4</c:v>
                </c:pt>
                <c:pt idx="52">
                  <c:v>1.0579159413834235E-3</c:v>
                </c:pt>
                <c:pt idx="53">
                  <c:v>1.4970508604482448E-3</c:v>
                </c:pt>
                <c:pt idx="54">
                  <c:v>2.0792373061781183E-3</c:v>
                </c:pt>
                <c:pt idx="55">
                  <c:v>2.8353235993337973E-3</c:v>
                </c:pt>
                <c:pt idx="56">
                  <c:v>3.797308391964896E-3</c:v>
                </c:pt>
                <c:pt idx="57">
                  <c:v>4.9964584104801278E-3</c:v>
                </c:pt>
                <c:pt idx="58">
                  <c:v>6.4609375997587981E-3</c:v>
                </c:pt>
                <c:pt idx="59">
                  <c:v>8.2130562708798219E-3</c:v>
                </c:pt>
                <c:pt idx="60">
                  <c:v>1.0266320338599788E-2</c:v>
                </c:pt>
                <c:pt idx="61">
                  <c:v>1.2622525006475148E-2</c:v>
                </c:pt>
                <c:pt idx="62">
                  <c:v>1.5269183475574769E-2</c:v>
                </c:pt>
                <c:pt idx="63">
                  <c:v>1.817759937568425E-2</c:v>
                </c:pt>
                <c:pt idx="64">
                  <c:v>2.1301874268379987E-2</c:v>
                </c:pt>
                <c:pt idx="65">
                  <c:v>2.4579085694284634E-2</c:v>
                </c:pt>
                <c:pt idx="66">
                  <c:v>2.7930779198050683E-2</c:v>
                </c:pt>
                <c:pt idx="67">
                  <c:v>3.1265797609758214E-2</c:v>
                </c:pt>
                <c:pt idx="68">
                  <c:v>3.4484335598998057E-2</c:v>
                </c:pt>
                <c:pt idx="69">
                  <c:v>3.7482973477171756E-2</c:v>
                </c:pt>
                <c:pt idx="70">
                  <c:v>4.0160328725541206E-2</c:v>
                </c:pt>
                <c:pt idx="71">
                  <c:v>4.2422882456557585E-2</c:v>
                </c:pt>
                <c:pt idx="72">
                  <c:v>4.4190502558914165E-2</c:v>
                </c:pt>
                <c:pt idx="73">
                  <c:v>4.5401201259158384E-2</c:v>
                </c:pt>
                <c:pt idx="74">
                  <c:v>4.6014731005903774E-2</c:v>
                </c:pt>
                <c:pt idx="75">
                  <c:v>4.6014731005903774E-2</c:v>
                </c:pt>
                <c:pt idx="76">
                  <c:v>4.5409274018983987E-2</c:v>
                </c:pt>
                <c:pt idx="77">
                  <c:v>4.4229812356153239E-2</c:v>
                </c:pt>
                <c:pt idx="78">
                  <c:v>4.2528665727070418E-2</c:v>
                </c:pt>
                <c:pt idx="79">
                  <c:v>4.0375315563674422E-2</c:v>
                </c:pt>
                <c:pt idx="80">
                  <c:v>3.7851858340944788E-2</c:v>
                </c:pt>
                <c:pt idx="81">
                  <c:v>3.5048016982356288E-2</c:v>
                </c:pt>
                <c:pt idx="82">
                  <c:v>3.2056113093618541E-2</c:v>
                </c:pt>
                <c:pt idx="83">
                  <c:v>2.8966367253269752E-2</c:v>
                </c:pt>
                <c:pt idx="84">
                  <c:v>2.5862827904705146E-2</c:v>
                </c:pt>
                <c:pt idx="85">
                  <c:v>2.2820142268857476E-2</c:v>
                </c:pt>
                <c:pt idx="86">
                  <c:v>1.990128686237572E-2</c:v>
                </c:pt>
                <c:pt idx="87">
                  <c:v>1.7156281777910093E-2</c:v>
                </c:pt>
                <c:pt idx="88">
                  <c:v>1.462183106071885E-2</c:v>
                </c:pt>
                <c:pt idx="89">
                  <c:v>1.2321767747796794E-2</c:v>
                </c:pt>
                <c:pt idx="90">
                  <c:v>1.0268139789830644E-2</c:v>
                </c:pt>
                <c:pt idx="91">
                  <c:v>8.462752574036253E-3</c:v>
                </c:pt>
                <c:pt idx="92">
                  <c:v>6.8989830766599709E-3</c:v>
                </c:pt>
                <c:pt idx="93">
                  <c:v>5.5636960295644914E-3</c:v>
                </c:pt>
                <c:pt idx="94">
                  <c:v>4.4391191725248772E-3</c:v>
                </c:pt>
                <c:pt idx="95">
                  <c:v>3.5045677677827823E-3</c:v>
                </c:pt>
                <c:pt idx="96">
                  <c:v>2.7379435685803027E-3</c:v>
                </c:pt>
                <c:pt idx="97">
                  <c:v>2.1169666767373451E-3</c:v>
                </c:pt>
                <c:pt idx="98">
                  <c:v>1.6201275587275621E-3</c:v>
                </c:pt>
                <c:pt idx="99">
                  <c:v>1.2273693626723926E-3</c:v>
                </c:pt>
                <c:pt idx="100">
                  <c:v>9.2052702200429875E-4</c:v>
                </c:pt>
                <c:pt idx="101">
                  <c:v>6.8355966980517425E-4</c:v>
                </c:pt>
                <c:pt idx="102">
                  <c:v>5.0261740426850725E-4</c:v>
                </c:pt>
                <c:pt idx="103">
                  <c:v>3.659835467974572E-4</c:v>
                </c:pt>
                <c:pt idx="104">
                  <c:v>2.6393044240201276E-4</c:v>
                </c:pt>
                <c:pt idx="105">
                  <c:v>1.8852174457286734E-4</c:v>
                </c:pt>
                <c:pt idx="106">
                  <c:v>1.3338802682042405E-4</c:v>
                </c:pt>
                <c:pt idx="107">
                  <c:v>9.3496280481605729E-5</c:v>
                </c:pt>
                <c:pt idx="108">
                  <c:v>6.4927972556670435E-5</c:v>
                </c:pt>
                <c:pt idx="109">
                  <c:v>4.4675210474773374E-5</c:v>
                </c:pt>
                <c:pt idx="110">
                  <c:v>3.0460370778254467E-5</c:v>
                </c:pt>
                <c:pt idx="111">
                  <c:v>2.0581331606928797E-5</c:v>
                </c:pt>
                <c:pt idx="112">
                  <c:v>1.3782141701068379E-5</c:v>
                </c:pt>
                <c:pt idx="113">
                  <c:v>9.1474391821250889E-6</c:v>
                </c:pt>
                <c:pt idx="114">
                  <c:v>6.018052093503278E-6</c:v>
                </c:pt>
                <c:pt idx="115">
                  <c:v>3.9248165827195345E-6</c:v>
                </c:pt>
                <c:pt idx="116">
                  <c:v>2.5375969284824657E-6</c:v>
                </c:pt>
                <c:pt idx="117">
                  <c:v>1.6266646977451588E-6</c:v>
                </c:pt>
                <c:pt idx="118">
                  <c:v>1.0338970536516004E-6</c:v>
                </c:pt>
                <c:pt idx="119">
                  <c:v>6.5161579011654933E-7</c:v>
                </c:pt>
                <c:pt idx="120">
                  <c:v>4.0725986882283957E-7</c:v>
                </c:pt>
                <c:pt idx="121">
                  <c:v>2.5243380298936653E-7</c:v>
                </c:pt>
                <c:pt idx="122">
                  <c:v>1.5518471495247898E-7</c:v>
                </c:pt>
                <c:pt idx="123">
                  <c:v>9.4624826190536454E-8</c:v>
                </c:pt>
                <c:pt idx="124">
                  <c:v>5.7232757776533984E-8</c:v>
                </c:pt>
                <c:pt idx="125">
                  <c:v>3.4339654665920181E-8</c:v>
                </c:pt>
                <c:pt idx="126">
                  <c:v>2.0440270634476577E-8</c:v>
                </c:pt>
                <c:pt idx="127">
                  <c:v>1.2071025965241852E-8</c:v>
                </c:pt>
                <c:pt idx="128">
                  <c:v>7.0728667765089197E-9</c:v>
                </c:pt>
                <c:pt idx="129">
                  <c:v>4.112131846807511E-9</c:v>
                </c:pt>
                <c:pt idx="130">
                  <c:v>2.3723837577735745E-9</c:v>
                </c:pt>
                <c:pt idx="131">
                  <c:v>1.358234975824578E-9</c:v>
                </c:pt>
                <c:pt idx="132">
                  <c:v>7.7172441808213485E-10</c:v>
                </c:pt>
                <c:pt idx="133">
                  <c:v>4.3518294252751965E-10</c:v>
                </c:pt>
                <c:pt idx="134">
                  <c:v>2.4357254245943421E-10</c:v>
                </c:pt>
                <c:pt idx="135">
                  <c:v>1.3531807914412864E-10</c:v>
                </c:pt>
                <c:pt idx="136">
                  <c:v>7.4623940704483577E-11</c:v>
                </c:pt>
                <c:pt idx="137">
                  <c:v>4.0852522283476323E-11</c:v>
                </c:pt>
                <c:pt idx="138">
                  <c:v>2.220245776275868E-11</c:v>
                </c:pt>
                <c:pt idx="139">
                  <c:v>1.1979743397172174E-11</c:v>
                </c:pt>
                <c:pt idx="140">
                  <c:v>6.41771967705643E-12</c:v>
                </c:pt>
                <c:pt idx="141">
                  <c:v>3.4136806792854015E-12</c:v>
                </c:pt>
                <c:pt idx="142">
                  <c:v>1.8030003587774846E-12</c:v>
                </c:pt>
                <c:pt idx="143">
                  <c:v>9.4562955879937532E-13</c:v>
                </c:pt>
                <c:pt idx="144">
                  <c:v>4.9251539520801384E-13</c:v>
                </c:pt>
                <c:pt idx="145">
                  <c:v>2.5474934234896907E-13</c:v>
                </c:pt>
                <c:pt idx="146">
                  <c:v>1.3086438819296305E-13</c:v>
                </c:pt>
                <c:pt idx="147">
                  <c:v>6.6767544996410957E-14</c:v>
                </c:pt>
                <c:pt idx="148">
                  <c:v>3.3834904558991205E-14</c:v>
                </c:pt>
                <c:pt idx="149">
                  <c:v>1.7030992227680428E-14</c:v>
                </c:pt>
                <c:pt idx="150">
                  <c:v>8.5154961138402091E-15</c:v>
                </c:pt>
              </c:numCache>
            </c:numRef>
          </c:yVal>
          <c:smooth val="1"/>
          <c:extLst>
            <c:ext xmlns:c16="http://schemas.microsoft.com/office/drawing/2014/chart" uri="{C3380CC4-5D6E-409C-BE32-E72D297353CC}">
              <c16:uniqueId val="{00000001-EBEE-47AD-87B1-A46957F06083}"/>
            </c:ext>
          </c:extLst>
        </c:ser>
        <c:dLbls>
          <c:showLegendKey val="0"/>
          <c:showVal val="0"/>
          <c:showCatName val="0"/>
          <c:showSerName val="0"/>
          <c:showPercent val="0"/>
          <c:showBubbleSize val="0"/>
        </c:dLbls>
        <c:axId val="862517375"/>
        <c:axId val="862515295"/>
      </c:scatterChart>
      <c:valAx>
        <c:axId val="86251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15295"/>
        <c:crosses val="autoZero"/>
        <c:crossBetween val="midCat"/>
      </c:valAx>
      <c:valAx>
        <c:axId val="86251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173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0" i="0" u="none" strike="noStrike" cap="none" baseline="0">
                <a:effectLst/>
              </a:rPr>
              <a:t>Standard normal curve</a:t>
            </a:r>
            <a:r>
              <a:rPr lang="en-US" sz="1400" b="1" i="0" u="none" strike="noStrike" cap="none" baseline="0"/>
              <a:t>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p.7!$B$1</c:f>
              <c:strCache>
                <c:ptCount val="1"/>
                <c:pt idx="0">
                  <c:v>P(Z)</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p.7!$A$2:$A$82</c:f>
              <c:numCache>
                <c:formatCode>General</c:formatCode>
                <c:ptCount val="81"/>
                <c:pt idx="0">
                  <c:v>-4</c:v>
                </c:pt>
                <c:pt idx="1">
                  <c:v>-3.9</c:v>
                </c:pt>
                <c:pt idx="2">
                  <c:v>-3.8</c:v>
                </c:pt>
                <c:pt idx="3">
                  <c:v>-3.7</c:v>
                </c:pt>
                <c:pt idx="4">
                  <c:v>-3.6</c:v>
                </c:pt>
                <c:pt idx="5">
                  <c:v>-3.5</c:v>
                </c:pt>
                <c:pt idx="6">
                  <c:v>-3.4</c:v>
                </c:pt>
                <c:pt idx="7">
                  <c:v>-3.3</c:v>
                </c:pt>
                <c:pt idx="8">
                  <c:v>-3.2</c:v>
                </c:pt>
                <c:pt idx="9">
                  <c:v>-3.1</c:v>
                </c:pt>
                <c:pt idx="10">
                  <c:v>-3</c:v>
                </c:pt>
                <c:pt idx="11">
                  <c:v>-2.9</c:v>
                </c:pt>
                <c:pt idx="12">
                  <c:v>-2.8</c:v>
                </c:pt>
                <c:pt idx="13">
                  <c:v>-2.7</c:v>
                </c:pt>
                <c:pt idx="14">
                  <c:v>-2.6</c:v>
                </c:pt>
                <c:pt idx="15">
                  <c:v>-2.5</c:v>
                </c:pt>
                <c:pt idx="16">
                  <c:v>-2.4</c:v>
                </c:pt>
                <c:pt idx="17">
                  <c:v>-2.2999999999999998</c:v>
                </c:pt>
                <c:pt idx="18">
                  <c:v>-2.2000000000000002</c:v>
                </c:pt>
                <c:pt idx="19">
                  <c:v>-2.1</c:v>
                </c:pt>
                <c:pt idx="20">
                  <c:v>-2</c:v>
                </c:pt>
                <c:pt idx="21">
                  <c:v>-1.9</c:v>
                </c:pt>
                <c:pt idx="22">
                  <c:v>-1.8</c:v>
                </c:pt>
                <c:pt idx="23">
                  <c:v>-1.7</c:v>
                </c:pt>
                <c:pt idx="24">
                  <c:v>-1.6</c:v>
                </c:pt>
                <c:pt idx="25">
                  <c:v>-1.5</c:v>
                </c:pt>
                <c:pt idx="26">
                  <c:v>-1.4</c:v>
                </c:pt>
                <c:pt idx="27">
                  <c:v>-1.3</c:v>
                </c:pt>
                <c:pt idx="28">
                  <c:v>-1.2</c:v>
                </c:pt>
                <c:pt idx="29">
                  <c:v>-1.1000000000000001</c:v>
                </c:pt>
                <c:pt idx="30">
                  <c:v>-1</c:v>
                </c:pt>
                <c:pt idx="31">
                  <c:v>-0.9</c:v>
                </c:pt>
                <c:pt idx="32">
                  <c:v>-0.8</c:v>
                </c:pt>
                <c:pt idx="33">
                  <c:v>-0.7</c:v>
                </c:pt>
                <c:pt idx="34">
                  <c:v>-0.6</c:v>
                </c:pt>
                <c:pt idx="35">
                  <c:v>-0.5</c:v>
                </c:pt>
                <c:pt idx="36">
                  <c:v>-0.4</c:v>
                </c:pt>
                <c:pt idx="37">
                  <c:v>-0.3</c:v>
                </c:pt>
                <c:pt idx="38">
                  <c:v>-0.2</c:v>
                </c:pt>
                <c:pt idx="39">
                  <c:v>-0.1</c:v>
                </c:pt>
                <c:pt idx="40">
                  <c:v>0</c:v>
                </c:pt>
                <c:pt idx="41">
                  <c:v>9.9999999999999603E-2</c:v>
                </c:pt>
                <c:pt idx="42">
                  <c:v>0.2</c:v>
                </c:pt>
                <c:pt idx="43">
                  <c:v>0.3</c:v>
                </c:pt>
                <c:pt idx="44">
                  <c:v>0.4</c:v>
                </c:pt>
                <c:pt idx="45">
                  <c:v>0.5</c:v>
                </c:pt>
                <c:pt idx="46">
                  <c:v>0.6</c:v>
                </c:pt>
                <c:pt idx="47">
                  <c:v>0.7</c:v>
                </c:pt>
                <c:pt idx="48">
                  <c:v>0.8</c:v>
                </c:pt>
                <c:pt idx="49">
                  <c:v>0.9</c:v>
                </c:pt>
                <c:pt idx="50">
                  <c:v>1</c:v>
                </c:pt>
                <c:pt idx="51">
                  <c:v>1.1000000000000001</c:v>
                </c:pt>
                <c:pt idx="52">
                  <c:v>1.2</c:v>
                </c:pt>
                <c:pt idx="53">
                  <c:v>1.3</c:v>
                </c:pt>
                <c:pt idx="54">
                  <c:v>1.4</c:v>
                </c:pt>
                <c:pt idx="55">
                  <c:v>1.50000000000001</c:v>
                </c:pt>
                <c:pt idx="56">
                  <c:v>1.6</c:v>
                </c:pt>
                <c:pt idx="57">
                  <c:v>1.7</c:v>
                </c:pt>
                <c:pt idx="58">
                  <c:v>1.80000000000001</c:v>
                </c:pt>
                <c:pt idx="59">
                  <c:v>1.9000000000000099</c:v>
                </c:pt>
                <c:pt idx="60">
                  <c:v>2.0000000000000102</c:v>
                </c:pt>
                <c:pt idx="61">
                  <c:v>2.1</c:v>
                </c:pt>
                <c:pt idx="62">
                  <c:v>2.2000000000000099</c:v>
                </c:pt>
                <c:pt idx="63">
                  <c:v>2.30000000000001</c:v>
                </c:pt>
                <c:pt idx="64">
                  <c:v>2.4000000000000101</c:v>
                </c:pt>
                <c:pt idx="65">
                  <c:v>2.5000000000000102</c:v>
                </c:pt>
                <c:pt idx="66">
                  <c:v>2.6000000000000099</c:v>
                </c:pt>
                <c:pt idx="67">
                  <c:v>2.7000000000000099</c:v>
                </c:pt>
                <c:pt idx="68">
                  <c:v>2.80000000000001</c:v>
                </c:pt>
                <c:pt idx="69">
                  <c:v>2.9000000000000101</c:v>
                </c:pt>
                <c:pt idx="70">
                  <c:v>3.0000000000000102</c:v>
                </c:pt>
                <c:pt idx="71">
                  <c:v>3.1000000000000099</c:v>
                </c:pt>
                <c:pt idx="72">
                  <c:v>3.2000000000000099</c:v>
                </c:pt>
                <c:pt idx="73">
                  <c:v>3.30000000000001</c:v>
                </c:pt>
                <c:pt idx="74">
                  <c:v>3.4000000000000101</c:v>
                </c:pt>
                <c:pt idx="75">
                  <c:v>3.5000000000000102</c:v>
                </c:pt>
                <c:pt idx="76">
                  <c:v>3.6000000000000099</c:v>
                </c:pt>
                <c:pt idx="77">
                  <c:v>3.7000000000000099</c:v>
                </c:pt>
                <c:pt idx="78">
                  <c:v>3.80000000000001</c:v>
                </c:pt>
                <c:pt idx="79">
                  <c:v>3.9000000000000101</c:v>
                </c:pt>
                <c:pt idx="80">
                  <c:v>4.0000000000000098</c:v>
                </c:pt>
              </c:numCache>
            </c:numRef>
          </c:xVal>
          <c:yVal>
            <c:numRef>
              <c:f>p.7!$B$2:$B$82</c:f>
              <c:numCache>
                <c:formatCode>General</c:formatCode>
                <c:ptCount val="81"/>
                <c:pt idx="0">
                  <c:v>1.3383022576488537E-4</c:v>
                </c:pt>
                <c:pt idx="1">
                  <c:v>1.9865547139277272E-4</c:v>
                </c:pt>
                <c:pt idx="2">
                  <c:v>2.9194692579146027E-4</c:v>
                </c:pt>
                <c:pt idx="3">
                  <c:v>4.2478027055075143E-4</c:v>
                </c:pt>
                <c:pt idx="4">
                  <c:v>6.119019301137719E-4</c:v>
                </c:pt>
                <c:pt idx="5">
                  <c:v>8.7268269504576015E-4</c:v>
                </c:pt>
                <c:pt idx="6">
                  <c:v>1.2322191684730199E-3</c:v>
                </c:pt>
                <c:pt idx="7">
                  <c:v>1.7225689390536812E-3</c:v>
                </c:pt>
                <c:pt idx="8">
                  <c:v>2.3840882014648404E-3</c:v>
                </c:pt>
                <c:pt idx="9">
                  <c:v>3.2668190561999182E-3</c:v>
                </c:pt>
                <c:pt idx="10">
                  <c:v>4.4318484119380075E-3</c:v>
                </c:pt>
                <c:pt idx="11">
                  <c:v>5.9525324197758538E-3</c:v>
                </c:pt>
                <c:pt idx="12">
                  <c:v>7.9154515829799686E-3</c:v>
                </c:pt>
                <c:pt idx="13">
                  <c:v>1.0420934814422592E-2</c:v>
                </c:pt>
                <c:pt idx="14">
                  <c:v>1.3582969233685613E-2</c:v>
                </c:pt>
                <c:pt idx="15">
                  <c:v>1.752830049356854E-2</c:v>
                </c:pt>
                <c:pt idx="16">
                  <c:v>2.2394530294842899E-2</c:v>
                </c:pt>
                <c:pt idx="17">
                  <c:v>2.8327037741601186E-2</c:v>
                </c:pt>
                <c:pt idx="18">
                  <c:v>3.5474592846231424E-2</c:v>
                </c:pt>
                <c:pt idx="19">
                  <c:v>4.3983595980427191E-2</c:v>
                </c:pt>
                <c:pt idx="20">
                  <c:v>5.3990966513188063E-2</c:v>
                </c:pt>
                <c:pt idx="21">
                  <c:v>6.5615814774676595E-2</c:v>
                </c:pt>
                <c:pt idx="22">
                  <c:v>7.8950158300894149E-2</c:v>
                </c:pt>
                <c:pt idx="23">
                  <c:v>9.4049077376886947E-2</c:v>
                </c:pt>
                <c:pt idx="24">
                  <c:v>0.11092083467945554</c:v>
                </c:pt>
                <c:pt idx="25">
                  <c:v>0.12951759566589174</c:v>
                </c:pt>
                <c:pt idx="26">
                  <c:v>0.14972746563574488</c:v>
                </c:pt>
                <c:pt idx="27">
                  <c:v>0.17136859204780736</c:v>
                </c:pt>
                <c:pt idx="28">
                  <c:v>0.19418605498321295</c:v>
                </c:pt>
                <c:pt idx="29">
                  <c:v>0.21785217703255053</c:v>
                </c:pt>
                <c:pt idx="30">
                  <c:v>0.24197072451914337</c:v>
                </c:pt>
                <c:pt idx="31">
                  <c:v>0.26608524989875482</c:v>
                </c:pt>
                <c:pt idx="32">
                  <c:v>0.28969155276148273</c:v>
                </c:pt>
                <c:pt idx="33">
                  <c:v>0.31225393336676127</c:v>
                </c:pt>
                <c:pt idx="34">
                  <c:v>0.33322460289179967</c:v>
                </c:pt>
                <c:pt idx="35">
                  <c:v>0.35206532676429952</c:v>
                </c:pt>
                <c:pt idx="36">
                  <c:v>0.36827014030332333</c:v>
                </c:pt>
                <c:pt idx="37">
                  <c:v>0.38138781546052414</c:v>
                </c:pt>
                <c:pt idx="38">
                  <c:v>0.39104269397545588</c:v>
                </c:pt>
                <c:pt idx="39">
                  <c:v>0.39695254747701181</c:v>
                </c:pt>
                <c:pt idx="40">
                  <c:v>0.3989422804014327</c:v>
                </c:pt>
                <c:pt idx="41">
                  <c:v>0.39695254747701181</c:v>
                </c:pt>
                <c:pt idx="42">
                  <c:v>0.39104269397545588</c:v>
                </c:pt>
                <c:pt idx="43">
                  <c:v>0.38138781546052414</c:v>
                </c:pt>
                <c:pt idx="44">
                  <c:v>0.36827014030332333</c:v>
                </c:pt>
                <c:pt idx="45">
                  <c:v>0.35206532676429952</c:v>
                </c:pt>
                <c:pt idx="46">
                  <c:v>0.33322460289179967</c:v>
                </c:pt>
                <c:pt idx="47">
                  <c:v>0.31225393336676127</c:v>
                </c:pt>
                <c:pt idx="48">
                  <c:v>0.28969155276148273</c:v>
                </c:pt>
                <c:pt idx="49">
                  <c:v>0.26608524989875482</c:v>
                </c:pt>
                <c:pt idx="50">
                  <c:v>0.24197072451914337</c:v>
                </c:pt>
                <c:pt idx="51">
                  <c:v>0.21785217703255053</c:v>
                </c:pt>
                <c:pt idx="52">
                  <c:v>0.19418605498321295</c:v>
                </c:pt>
                <c:pt idx="53">
                  <c:v>0.17136859204780736</c:v>
                </c:pt>
                <c:pt idx="54">
                  <c:v>0.14972746563574488</c:v>
                </c:pt>
                <c:pt idx="55">
                  <c:v>0.1295175956658898</c:v>
                </c:pt>
                <c:pt idx="56">
                  <c:v>0.11092083467945554</c:v>
                </c:pt>
                <c:pt idx="57">
                  <c:v>9.4049077376886947E-2</c:v>
                </c:pt>
                <c:pt idx="58">
                  <c:v>7.8950158300892734E-2</c:v>
                </c:pt>
                <c:pt idx="59">
                  <c:v>6.561581477467536E-2</c:v>
                </c:pt>
                <c:pt idx="60">
                  <c:v>5.3990966513186953E-2</c:v>
                </c:pt>
                <c:pt idx="61">
                  <c:v>4.3983595980427191E-2</c:v>
                </c:pt>
                <c:pt idx="62">
                  <c:v>3.5474592846230668E-2</c:v>
                </c:pt>
                <c:pt idx="63">
                  <c:v>2.8327037741600516E-2</c:v>
                </c:pt>
                <c:pt idx="64">
                  <c:v>2.2394530294842355E-2</c:v>
                </c:pt>
                <c:pt idx="65">
                  <c:v>1.7528300493568086E-2</c:v>
                </c:pt>
                <c:pt idx="66">
                  <c:v>1.3582969233685271E-2</c:v>
                </c:pt>
                <c:pt idx="67">
                  <c:v>1.0420934814422318E-2</c:v>
                </c:pt>
                <c:pt idx="68">
                  <c:v>7.915451582979743E-3</c:v>
                </c:pt>
                <c:pt idx="69">
                  <c:v>5.9525324197756795E-3</c:v>
                </c:pt>
                <c:pt idx="70">
                  <c:v>4.431848411937874E-3</c:v>
                </c:pt>
                <c:pt idx="71">
                  <c:v>3.2668190561998202E-3</c:v>
                </c:pt>
                <c:pt idx="72">
                  <c:v>2.3840882014647662E-3</c:v>
                </c:pt>
                <c:pt idx="73">
                  <c:v>1.7225689390536229E-3</c:v>
                </c:pt>
                <c:pt idx="74">
                  <c:v>1.2322191684729772E-3</c:v>
                </c:pt>
                <c:pt idx="75">
                  <c:v>8.7268269504572915E-4</c:v>
                </c:pt>
                <c:pt idx="76">
                  <c:v>6.1190193011375076E-4</c:v>
                </c:pt>
                <c:pt idx="77">
                  <c:v>4.2478027055073593E-4</c:v>
                </c:pt>
                <c:pt idx="78">
                  <c:v>2.919469257914491E-4</c:v>
                </c:pt>
                <c:pt idx="79">
                  <c:v>1.9865547139276475E-4</c:v>
                </c:pt>
                <c:pt idx="80">
                  <c:v>1.3383022576488014E-4</c:v>
                </c:pt>
              </c:numCache>
            </c:numRef>
          </c:yVal>
          <c:smooth val="1"/>
          <c:extLst>
            <c:ext xmlns:c16="http://schemas.microsoft.com/office/drawing/2014/chart" uri="{C3380CC4-5D6E-409C-BE32-E72D297353CC}">
              <c16:uniqueId val="{00000000-82D2-49BB-B74B-2DDE7D3DF229}"/>
            </c:ext>
          </c:extLst>
        </c:ser>
        <c:dLbls>
          <c:showLegendKey val="0"/>
          <c:showVal val="0"/>
          <c:showCatName val="0"/>
          <c:showSerName val="0"/>
          <c:showPercent val="0"/>
          <c:showBubbleSize val="0"/>
        </c:dLbls>
        <c:axId val="620109279"/>
        <c:axId val="620137567"/>
      </c:scatterChart>
      <c:valAx>
        <c:axId val="620109279"/>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Z</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0137567"/>
        <c:crosses val="autoZero"/>
        <c:crossBetween val="midCat"/>
      </c:valAx>
      <c:valAx>
        <c:axId val="620137567"/>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P(Z)</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01092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Normal density curve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p.7!$O$3</c:f>
              <c:strCache>
                <c:ptCount val="1"/>
                <c:pt idx="0">
                  <c:v>P(X)</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p.7!$N$4:$N$84</c:f>
              <c:numCache>
                <c:formatCode>General</c:formatCode>
                <c:ptCount val="81"/>
                <c:pt idx="0">
                  <c:v>-1000</c:v>
                </c:pt>
                <c:pt idx="1">
                  <c:v>-950</c:v>
                </c:pt>
                <c:pt idx="2">
                  <c:v>-900</c:v>
                </c:pt>
                <c:pt idx="3">
                  <c:v>-850</c:v>
                </c:pt>
                <c:pt idx="4">
                  <c:v>-800</c:v>
                </c:pt>
                <c:pt idx="5">
                  <c:v>-750</c:v>
                </c:pt>
                <c:pt idx="6">
                  <c:v>-700</c:v>
                </c:pt>
                <c:pt idx="7">
                  <c:v>-650</c:v>
                </c:pt>
                <c:pt idx="8">
                  <c:v>-600</c:v>
                </c:pt>
                <c:pt idx="9">
                  <c:v>-550</c:v>
                </c:pt>
                <c:pt idx="10">
                  <c:v>-500</c:v>
                </c:pt>
                <c:pt idx="11">
                  <c:v>-450</c:v>
                </c:pt>
                <c:pt idx="12">
                  <c:v>-400</c:v>
                </c:pt>
                <c:pt idx="13">
                  <c:v>-350</c:v>
                </c:pt>
                <c:pt idx="14">
                  <c:v>-300</c:v>
                </c:pt>
                <c:pt idx="15">
                  <c:v>-250</c:v>
                </c:pt>
                <c:pt idx="16">
                  <c:v>-200</c:v>
                </c:pt>
                <c:pt idx="17">
                  <c:v>-150</c:v>
                </c:pt>
                <c:pt idx="18">
                  <c:v>-100</c:v>
                </c:pt>
                <c:pt idx="19">
                  <c:v>-50</c:v>
                </c:pt>
                <c:pt idx="20">
                  <c:v>0</c:v>
                </c:pt>
                <c:pt idx="21">
                  <c:v>50</c:v>
                </c:pt>
                <c:pt idx="22">
                  <c:v>100</c:v>
                </c:pt>
                <c:pt idx="23">
                  <c:v>150</c:v>
                </c:pt>
                <c:pt idx="24">
                  <c:v>200</c:v>
                </c:pt>
                <c:pt idx="25">
                  <c:v>250</c:v>
                </c:pt>
                <c:pt idx="26">
                  <c:v>300</c:v>
                </c:pt>
                <c:pt idx="27">
                  <c:v>350</c:v>
                </c:pt>
                <c:pt idx="28">
                  <c:v>400</c:v>
                </c:pt>
                <c:pt idx="29">
                  <c:v>450</c:v>
                </c:pt>
                <c:pt idx="30">
                  <c:v>500</c:v>
                </c:pt>
                <c:pt idx="31">
                  <c:v>550</c:v>
                </c:pt>
                <c:pt idx="32">
                  <c:v>600</c:v>
                </c:pt>
                <c:pt idx="33">
                  <c:v>650</c:v>
                </c:pt>
                <c:pt idx="34">
                  <c:v>700</c:v>
                </c:pt>
                <c:pt idx="35">
                  <c:v>750</c:v>
                </c:pt>
                <c:pt idx="36">
                  <c:v>800</c:v>
                </c:pt>
                <c:pt idx="37">
                  <c:v>850</c:v>
                </c:pt>
                <c:pt idx="38">
                  <c:v>900</c:v>
                </c:pt>
                <c:pt idx="39">
                  <c:v>950</c:v>
                </c:pt>
                <c:pt idx="40">
                  <c:v>1000</c:v>
                </c:pt>
                <c:pt idx="41">
                  <c:v>1049.9999999999998</c:v>
                </c:pt>
                <c:pt idx="42">
                  <c:v>1100</c:v>
                </c:pt>
                <c:pt idx="43">
                  <c:v>1150</c:v>
                </c:pt>
                <c:pt idx="44">
                  <c:v>1200</c:v>
                </c:pt>
                <c:pt idx="45">
                  <c:v>1250</c:v>
                </c:pt>
                <c:pt idx="46">
                  <c:v>1300</c:v>
                </c:pt>
                <c:pt idx="47">
                  <c:v>1350</c:v>
                </c:pt>
                <c:pt idx="48">
                  <c:v>1400</c:v>
                </c:pt>
                <c:pt idx="49">
                  <c:v>1450</c:v>
                </c:pt>
                <c:pt idx="50">
                  <c:v>1500</c:v>
                </c:pt>
                <c:pt idx="51">
                  <c:v>1550</c:v>
                </c:pt>
                <c:pt idx="52">
                  <c:v>1600</c:v>
                </c:pt>
                <c:pt idx="53">
                  <c:v>1650</c:v>
                </c:pt>
                <c:pt idx="54">
                  <c:v>1700</c:v>
                </c:pt>
                <c:pt idx="55">
                  <c:v>1750.000000000005</c:v>
                </c:pt>
                <c:pt idx="56">
                  <c:v>1800</c:v>
                </c:pt>
                <c:pt idx="57">
                  <c:v>1850</c:v>
                </c:pt>
                <c:pt idx="58">
                  <c:v>1900.000000000005</c:v>
                </c:pt>
                <c:pt idx="59">
                  <c:v>1950.000000000005</c:v>
                </c:pt>
                <c:pt idx="60">
                  <c:v>2000.000000000005</c:v>
                </c:pt>
                <c:pt idx="61">
                  <c:v>2050</c:v>
                </c:pt>
                <c:pt idx="62">
                  <c:v>2100.000000000005</c:v>
                </c:pt>
                <c:pt idx="63">
                  <c:v>2150.000000000005</c:v>
                </c:pt>
                <c:pt idx="64">
                  <c:v>2200.000000000005</c:v>
                </c:pt>
                <c:pt idx="65">
                  <c:v>2250.000000000005</c:v>
                </c:pt>
                <c:pt idx="66">
                  <c:v>2300.000000000005</c:v>
                </c:pt>
                <c:pt idx="67">
                  <c:v>2350.000000000005</c:v>
                </c:pt>
                <c:pt idx="68">
                  <c:v>2400.000000000005</c:v>
                </c:pt>
                <c:pt idx="69">
                  <c:v>2450.000000000005</c:v>
                </c:pt>
                <c:pt idx="70">
                  <c:v>2500.000000000005</c:v>
                </c:pt>
                <c:pt idx="71">
                  <c:v>2550.000000000005</c:v>
                </c:pt>
                <c:pt idx="72">
                  <c:v>2600.000000000005</c:v>
                </c:pt>
                <c:pt idx="73">
                  <c:v>2650.000000000005</c:v>
                </c:pt>
                <c:pt idx="74">
                  <c:v>2700.000000000005</c:v>
                </c:pt>
                <c:pt idx="75">
                  <c:v>2750.000000000005</c:v>
                </c:pt>
                <c:pt idx="76">
                  <c:v>2800.000000000005</c:v>
                </c:pt>
                <c:pt idx="77">
                  <c:v>2850.000000000005</c:v>
                </c:pt>
                <c:pt idx="78">
                  <c:v>2900.000000000005</c:v>
                </c:pt>
                <c:pt idx="79">
                  <c:v>2950.000000000005</c:v>
                </c:pt>
                <c:pt idx="80">
                  <c:v>3000.0000000000045</c:v>
                </c:pt>
              </c:numCache>
            </c:numRef>
          </c:xVal>
          <c:yVal>
            <c:numRef>
              <c:f>p.7!$O$4:$O$84</c:f>
              <c:numCache>
                <c:formatCode>General</c:formatCode>
                <c:ptCount val="81"/>
                <c:pt idx="0">
                  <c:v>2.6766045152977077E-7</c:v>
                </c:pt>
                <c:pt idx="1">
                  <c:v>3.9731094278554548E-7</c:v>
                </c:pt>
                <c:pt idx="2">
                  <c:v>5.8389385158292052E-7</c:v>
                </c:pt>
                <c:pt idx="3">
                  <c:v>8.4956054110150292E-7</c:v>
                </c:pt>
                <c:pt idx="4">
                  <c:v>1.2238038602275438E-6</c:v>
                </c:pt>
                <c:pt idx="5">
                  <c:v>1.7453653900915201E-6</c:v>
                </c:pt>
                <c:pt idx="6">
                  <c:v>2.4644383369460399E-6</c:v>
                </c:pt>
                <c:pt idx="7">
                  <c:v>3.4451378781073621E-6</c:v>
                </c:pt>
                <c:pt idx="8">
                  <c:v>4.7681764029296806E-6</c:v>
                </c:pt>
                <c:pt idx="9">
                  <c:v>6.5336381123998366E-6</c:v>
                </c:pt>
                <c:pt idx="10">
                  <c:v>8.8636968238760154E-6</c:v>
                </c:pt>
                <c:pt idx="11">
                  <c:v>1.1905064839551707E-5</c:v>
                </c:pt>
                <c:pt idx="12">
                  <c:v>1.5830903165959934E-5</c:v>
                </c:pt>
                <c:pt idx="13">
                  <c:v>2.0841869628845181E-5</c:v>
                </c:pt>
                <c:pt idx="14">
                  <c:v>2.7165938467371226E-5</c:v>
                </c:pt>
                <c:pt idx="15">
                  <c:v>3.5056600987137081E-5</c:v>
                </c:pt>
                <c:pt idx="16">
                  <c:v>4.4789060589685803E-5</c:v>
                </c:pt>
                <c:pt idx="17">
                  <c:v>5.6654075483202381E-5</c:v>
                </c:pt>
                <c:pt idx="18">
                  <c:v>7.0949185692462845E-5</c:v>
                </c:pt>
                <c:pt idx="19">
                  <c:v>8.7967191960854391E-5</c:v>
                </c:pt>
                <c:pt idx="20">
                  <c:v>1.0798193302637613E-4</c:v>
                </c:pt>
                <c:pt idx="21">
                  <c:v>1.3123162954935318E-4</c:v>
                </c:pt>
                <c:pt idx="22">
                  <c:v>1.5790031660178831E-4</c:v>
                </c:pt>
                <c:pt idx="23">
                  <c:v>1.8809815475377388E-4</c:v>
                </c:pt>
                <c:pt idx="24">
                  <c:v>2.2184166935891109E-4</c:v>
                </c:pt>
                <c:pt idx="25">
                  <c:v>2.5903519133178349E-4</c:v>
                </c:pt>
                <c:pt idx="26">
                  <c:v>2.9945493127148977E-4</c:v>
                </c:pt>
                <c:pt idx="27">
                  <c:v>3.427371840956147E-4</c:v>
                </c:pt>
                <c:pt idx="28">
                  <c:v>3.8837210996642594E-4</c:v>
                </c:pt>
                <c:pt idx="29">
                  <c:v>4.3570435406510105E-4</c:v>
                </c:pt>
                <c:pt idx="30">
                  <c:v>4.8394144903828674E-4</c:v>
                </c:pt>
                <c:pt idx="31">
                  <c:v>5.3217049979750958E-4</c:v>
                </c:pt>
                <c:pt idx="32">
                  <c:v>5.7938310552296541E-4</c:v>
                </c:pt>
                <c:pt idx="33">
                  <c:v>6.2450786673352258E-4</c:v>
                </c:pt>
                <c:pt idx="34">
                  <c:v>6.6644920578359931E-4</c:v>
                </c:pt>
                <c:pt idx="35">
                  <c:v>7.0413065352859904E-4</c:v>
                </c:pt>
                <c:pt idx="36">
                  <c:v>7.3654028060664658E-4</c:v>
                </c:pt>
                <c:pt idx="37">
                  <c:v>7.627756309210483E-4</c:v>
                </c:pt>
                <c:pt idx="38">
                  <c:v>7.820853879509117E-4</c:v>
                </c:pt>
                <c:pt idx="39">
                  <c:v>7.9390509495402351E-4</c:v>
                </c:pt>
                <c:pt idx="40">
                  <c:v>7.9788456080286542E-4</c:v>
                </c:pt>
                <c:pt idx="41">
                  <c:v>7.9390509495402351E-4</c:v>
                </c:pt>
                <c:pt idx="42">
                  <c:v>7.820853879509117E-4</c:v>
                </c:pt>
                <c:pt idx="43">
                  <c:v>7.627756309210483E-4</c:v>
                </c:pt>
                <c:pt idx="44">
                  <c:v>7.3654028060664658E-4</c:v>
                </c:pt>
                <c:pt idx="45">
                  <c:v>7.0413065352859904E-4</c:v>
                </c:pt>
                <c:pt idx="46">
                  <c:v>6.6644920578359931E-4</c:v>
                </c:pt>
                <c:pt idx="47">
                  <c:v>6.2450786673352258E-4</c:v>
                </c:pt>
                <c:pt idx="48">
                  <c:v>5.7938310552296541E-4</c:v>
                </c:pt>
                <c:pt idx="49">
                  <c:v>5.3217049979750958E-4</c:v>
                </c:pt>
                <c:pt idx="50">
                  <c:v>4.8394144903828674E-4</c:v>
                </c:pt>
                <c:pt idx="51">
                  <c:v>4.3570435406510105E-4</c:v>
                </c:pt>
                <c:pt idx="52">
                  <c:v>3.8837210996642594E-4</c:v>
                </c:pt>
                <c:pt idx="53">
                  <c:v>3.427371840956147E-4</c:v>
                </c:pt>
                <c:pt idx="54">
                  <c:v>2.9945493127148977E-4</c:v>
                </c:pt>
                <c:pt idx="55">
                  <c:v>2.5903519133177959E-4</c:v>
                </c:pt>
                <c:pt idx="56">
                  <c:v>2.2184166935891109E-4</c:v>
                </c:pt>
                <c:pt idx="57">
                  <c:v>1.8809815475377388E-4</c:v>
                </c:pt>
                <c:pt idx="58">
                  <c:v>1.5790031660178547E-4</c:v>
                </c:pt>
                <c:pt idx="59">
                  <c:v>1.3123162954935071E-4</c:v>
                </c:pt>
                <c:pt idx="60">
                  <c:v>1.0798193302637392E-4</c:v>
                </c:pt>
                <c:pt idx="61">
                  <c:v>8.7967191960854391E-5</c:v>
                </c:pt>
                <c:pt idx="62">
                  <c:v>7.0949185692461327E-5</c:v>
                </c:pt>
                <c:pt idx="63">
                  <c:v>5.6654075483201039E-5</c:v>
                </c:pt>
                <c:pt idx="64">
                  <c:v>4.4789060589684705E-5</c:v>
                </c:pt>
                <c:pt idx="65">
                  <c:v>3.5056600987136173E-5</c:v>
                </c:pt>
                <c:pt idx="66">
                  <c:v>2.7165938467370538E-5</c:v>
                </c:pt>
                <c:pt idx="67">
                  <c:v>2.0841869628844636E-5</c:v>
                </c:pt>
                <c:pt idx="68">
                  <c:v>1.5830903165959487E-5</c:v>
                </c:pt>
                <c:pt idx="69">
                  <c:v>1.1905064839551358E-5</c:v>
                </c:pt>
                <c:pt idx="70">
                  <c:v>8.8636968238757477E-6</c:v>
                </c:pt>
                <c:pt idx="71">
                  <c:v>6.5336381123996401E-6</c:v>
                </c:pt>
                <c:pt idx="72">
                  <c:v>4.7681764029295324E-6</c:v>
                </c:pt>
                <c:pt idx="73">
                  <c:v>3.4451378781072456E-6</c:v>
                </c:pt>
                <c:pt idx="74">
                  <c:v>2.4644383369459543E-6</c:v>
                </c:pt>
                <c:pt idx="75">
                  <c:v>1.7453653900914582E-6</c:v>
                </c:pt>
                <c:pt idx="76">
                  <c:v>1.2238038602275015E-6</c:v>
                </c:pt>
                <c:pt idx="77">
                  <c:v>8.49560541101472E-7</c:v>
                </c:pt>
                <c:pt idx="78">
                  <c:v>5.8389385158289829E-7</c:v>
                </c:pt>
                <c:pt idx="79">
                  <c:v>3.9731094278552949E-7</c:v>
                </c:pt>
                <c:pt idx="80">
                  <c:v>2.6766045152976119E-7</c:v>
                </c:pt>
              </c:numCache>
            </c:numRef>
          </c:yVal>
          <c:smooth val="1"/>
          <c:extLst>
            <c:ext xmlns:c16="http://schemas.microsoft.com/office/drawing/2014/chart" uri="{C3380CC4-5D6E-409C-BE32-E72D297353CC}">
              <c16:uniqueId val="{00000000-BB93-462D-A296-128A118DE258}"/>
            </c:ext>
          </c:extLst>
        </c:ser>
        <c:dLbls>
          <c:showLegendKey val="0"/>
          <c:showVal val="0"/>
          <c:showCatName val="0"/>
          <c:showSerName val="0"/>
          <c:showPercent val="0"/>
          <c:showBubbleSize val="0"/>
        </c:dLbls>
        <c:axId val="814357599"/>
        <c:axId val="814379231"/>
      </c:scatterChart>
      <c:valAx>
        <c:axId val="814357599"/>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4379231"/>
        <c:crosses val="autoZero"/>
        <c:crossBetween val="midCat"/>
      </c:valAx>
      <c:valAx>
        <c:axId val="81437923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4357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Normal Cumulative distribution curve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p.7!$P$3</c:f>
              <c:strCache>
                <c:ptCount val="1"/>
                <c:pt idx="0">
                  <c:v>F(X)</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p.7!$N$4:$N$84</c:f>
              <c:numCache>
                <c:formatCode>General</c:formatCode>
                <c:ptCount val="81"/>
                <c:pt idx="0">
                  <c:v>-1000</c:v>
                </c:pt>
                <c:pt idx="1">
                  <c:v>-950</c:v>
                </c:pt>
                <c:pt idx="2">
                  <c:v>-900</c:v>
                </c:pt>
                <c:pt idx="3">
                  <c:v>-850</c:v>
                </c:pt>
                <c:pt idx="4">
                  <c:v>-800</c:v>
                </c:pt>
                <c:pt idx="5">
                  <c:v>-750</c:v>
                </c:pt>
                <c:pt idx="6">
                  <c:v>-700</c:v>
                </c:pt>
                <c:pt idx="7">
                  <c:v>-650</c:v>
                </c:pt>
                <c:pt idx="8">
                  <c:v>-600</c:v>
                </c:pt>
                <c:pt idx="9">
                  <c:v>-550</c:v>
                </c:pt>
                <c:pt idx="10">
                  <c:v>-500</c:v>
                </c:pt>
                <c:pt idx="11">
                  <c:v>-450</c:v>
                </c:pt>
                <c:pt idx="12">
                  <c:v>-400</c:v>
                </c:pt>
                <c:pt idx="13">
                  <c:v>-350</c:v>
                </c:pt>
                <c:pt idx="14">
                  <c:v>-300</c:v>
                </c:pt>
                <c:pt idx="15">
                  <c:v>-250</c:v>
                </c:pt>
                <c:pt idx="16">
                  <c:v>-200</c:v>
                </c:pt>
                <c:pt idx="17">
                  <c:v>-150</c:v>
                </c:pt>
                <c:pt idx="18">
                  <c:v>-100</c:v>
                </c:pt>
                <c:pt idx="19">
                  <c:v>-50</c:v>
                </c:pt>
                <c:pt idx="20">
                  <c:v>0</c:v>
                </c:pt>
                <c:pt idx="21">
                  <c:v>50</c:v>
                </c:pt>
                <c:pt idx="22">
                  <c:v>100</c:v>
                </c:pt>
                <c:pt idx="23">
                  <c:v>150</c:v>
                </c:pt>
                <c:pt idx="24">
                  <c:v>200</c:v>
                </c:pt>
                <c:pt idx="25">
                  <c:v>250</c:v>
                </c:pt>
                <c:pt idx="26">
                  <c:v>300</c:v>
                </c:pt>
                <c:pt idx="27">
                  <c:v>350</c:v>
                </c:pt>
                <c:pt idx="28">
                  <c:v>400</c:v>
                </c:pt>
                <c:pt idx="29">
                  <c:v>450</c:v>
                </c:pt>
                <c:pt idx="30">
                  <c:v>500</c:v>
                </c:pt>
                <c:pt idx="31">
                  <c:v>550</c:v>
                </c:pt>
                <c:pt idx="32">
                  <c:v>600</c:v>
                </c:pt>
                <c:pt idx="33">
                  <c:v>650</c:v>
                </c:pt>
                <c:pt idx="34">
                  <c:v>700</c:v>
                </c:pt>
                <c:pt idx="35">
                  <c:v>750</c:v>
                </c:pt>
                <c:pt idx="36">
                  <c:v>800</c:v>
                </c:pt>
                <c:pt idx="37">
                  <c:v>850</c:v>
                </c:pt>
                <c:pt idx="38">
                  <c:v>900</c:v>
                </c:pt>
                <c:pt idx="39">
                  <c:v>950</c:v>
                </c:pt>
                <c:pt idx="40">
                  <c:v>1000</c:v>
                </c:pt>
                <c:pt idx="41">
                  <c:v>1049.9999999999998</c:v>
                </c:pt>
                <c:pt idx="42">
                  <c:v>1100</c:v>
                </c:pt>
                <c:pt idx="43">
                  <c:v>1150</c:v>
                </c:pt>
                <c:pt idx="44">
                  <c:v>1200</c:v>
                </c:pt>
                <c:pt idx="45">
                  <c:v>1250</c:v>
                </c:pt>
                <c:pt idx="46">
                  <c:v>1300</c:v>
                </c:pt>
                <c:pt idx="47">
                  <c:v>1350</c:v>
                </c:pt>
                <c:pt idx="48">
                  <c:v>1400</c:v>
                </c:pt>
                <c:pt idx="49">
                  <c:v>1450</c:v>
                </c:pt>
                <c:pt idx="50">
                  <c:v>1500</c:v>
                </c:pt>
                <c:pt idx="51">
                  <c:v>1550</c:v>
                </c:pt>
                <c:pt idx="52">
                  <c:v>1600</c:v>
                </c:pt>
                <c:pt idx="53">
                  <c:v>1650</c:v>
                </c:pt>
                <c:pt idx="54">
                  <c:v>1700</c:v>
                </c:pt>
                <c:pt idx="55">
                  <c:v>1750.000000000005</c:v>
                </c:pt>
                <c:pt idx="56">
                  <c:v>1800</c:v>
                </c:pt>
                <c:pt idx="57">
                  <c:v>1850</c:v>
                </c:pt>
                <c:pt idx="58">
                  <c:v>1900.000000000005</c:v>
                </c:pt>
                <c:pt idx="59">
                  <c:v>1950.000000000005</c:v>
                </c:pt>
                <c:pt idx="60">
                  <c:v>2000.000000000005</c:v>
                </c:pt>
                <c:pt idx="61">
                  <c:v>2050</c:v>
                </c:pt>
                <c:pt idx="62">
                  <c:v>2100.000000000005</c:v>
                </c:pt>
                <c:pt idx="63">
                  <c:v>2150.000000000005</c:v>
                </c:pt>
                <c:pt idx="64">
                  <c:v>2200.000000000005</c:v>
                </c:pt>
                <c:pt idx="65">
                  <c:v>2250.000000000005</c:v>
                </c:pt>
                <c:pt idx="66">
                  <c:v>2300.000000000005</c:v>
                </c:pt>
                <c:pt idx="67">
                  <c:v>2350.000000000005</c:v>
                </c:pt>
                <c:pt idx="68">
                  <c:v>2400.000000000005</c:v>
                </c:pt>
                <c:pt idx="69">
                  <c:v>2450.000000000005</c:v>
                </c:pt>
                <c:pt idx="70">
                  <c:v>2500.000000000005</c:v>
                </c:pt>
                <c:pt idx="71">
                  <c:v>2550.000000000005</c:v>
                </c:pt>
                <c:pt idx="72">
                  <c:v>2600.000000000005</c:v>
                </c:pt>
                <c:pt idx="73">
                  <c:v>2650.000000000005</c:v>
                </c:pt>
                <c:pt idx="74">
                  <c:v>2700.000000000005</c:v>
                </c:pt>
                <c:pt idx="75">
                  <c:v>2750.000000000005</c:v>
                </c:pt>
                <c:pt idx="76">
                  <c:v>2800.000000000005</c:v>
                </c:pt>
                <c:pt idx="77">
                  <c:v>2850.000000000005</c:v>
                </c:pt>
                <c:pt idx="78">
                  <c:v>2900.000000000005</c:v>
                </c:pt>
                <c:pt idx="79">
                  <c:v>2950.000000000005</c:v>
                </c:pt>
                <c:pt idx="80">
                  <c:v>3000.0000000000045</c:v>
                </c:pt>
              </c:numCache>
            </c:numRef>
          </c:xVal>
          <c:yVal>
            <c:numRef>
              <c:f>p.7!$P$4:$P$84</c:f>
              <c:numCache>
                <c:formatCode>General</c:formatCode>
                <c:ptCount val="81"/>
                <c:pt idx="0">
                  <c:v>3.1671241833119857E-5</c:v>
                </c:pt>
                <c:pt idx="1">
                  <c:v>4.8096344017602614E-5</c:v>
                </c:pt>
                <c:pt idx="2">
                  <c:v>7.234804392511999E-5</c:v>
                </c:pt>
                <c:pt idx="3">
                  <c:v>1.0779973347738824E-4</c:v>
                </c:pt>
                <c:pt idx="4">
                  <c:v>1.5910859015753364E-4</c:v>
                </c:pt>
                <c:pt idx="5">
                  <c:v>2.3262907903552504E-4</c:v>
                </c:pt>
                <c:pt idx="6">
                  <c:v>3.369292656768808E-4</c:v>
                </c:pt>
                <c:pt idx="7">
                  <c:v>4.8342414238377744E-4</c:v>
                </c:pt>
                <c:pt idx="8">
                  <c:v>6.8713793791584719E-4</c:v>
                </c:pt>
                <c:pt idx="9">
                  <c:v>9.676032132183561E-4</c:v>
                </c:pt>
                <c:pt idx="10">
                  <c:v>1.3498980316300933E-3</c:v>
                </c:pt>
                <c:pt idx="11">
                  <c:v>1.8658133003840378E-3</c:v>
                </c:pt>
                <c:pt idx="12">
                  <c:v>2.5551303304279312E-3</c:v>
                </c:pt>
                <c:pt idx="13">
                  <c:v>3.4669738030406643E-3</c:v>
                </c:pt>
                <c:pt idx="14">
                  <c:v>4.6611880237187476E-3</c:v>
                </c:pt>
                <c:pt idx="15">
                  <c:v>6.2096653257761331E-3</c:v>
                </c:pt>
                <c:pt idx="16">
                  <c:v>8.1975359245961311E-3</c:v>
                </c:pt>
                <c:pt idx="17">
                  <c:v>1.0724110021675811E-2</c:v>
                </c:pt>
                <c:pt idx="18">
                  <c:v>1.3903447513498597E-2</c:v>
                </c:pt>
                <c:pt idx="19">
                  <c:v>1.7864420562816546E-2</c:v>
                </c:pt>
                <c:pt idx="20">
                  <c:v>2.2750131948179191E-2</c:v>
                </c:pt>
                <c:pt idx="21">
                  <c:v>2.87165598160018E-2</c:v>
                </c:pt>
                <c:pt idx="22">
                  <c:v>3.5930319112925789E-2</c:v>
                </c:pt>
                <c:pt idx="23">
                  <c:v>4.4565462758543041E-2</c:v>
                </c:pt>
                <c:pt idx="24">
                  <c:v>5.4799291699557967E-2</c:v>
                </c:pt>
                <c:pt idx="25">
                  <c:v>6.6807201268858057E-2</c:v>
                </c:pt>
                <c:pt idx="26">
                  <c:v>8.0756659233771053E-2</c:v>
                </c:pt>
                <c:pt idx="27">
                  <c:v>9.6800484585610316E-2</c:v>
                </c:pt>
                <c:pt idx="28">
                  <c:v>0.11506967022170828</c:v>
                </c:pt>
                <c:pt idx="29">
                  <c:v>0.13566606094638264</c:v>
                </c:pt>
                <c:pt idx="30">
                  <c:v>0.15865525393145699</c:v>
                </c:pt>
                <c:pt idx="31">
                  <c:v>0.1840601253467595</c:v>
                </c:pt>
                <c:pt idx="32">
                  <c:v>0.21185539858339661</c:v>
                </c:pt>
                <c:pt idx="33">
                  <c:v>0.24196365222307298</c:v>
                </c:pt>
                <c:pt idx="34">
                  <c:v>0.27425311775007355</c:v>
                </c:pt>
                <c:pt idx="35">
                  <c:v>0.30853753872598688</c:v>
                </c:pt>
                <c:pt idx="36">
                  <c:v>0.34457825838967576</c:v>
                </c:pt>
                <c:pt idx="37">
                  <c:v>0.38208857781104733</c:v>
                </c:pt>
                <c:pt idx="38">
                  <c:v>0.42074029056089696</c:v>
                </c:pt>
                <c:pt idx="39">
                  <c:v>0.46017216272297101</c:v>
                </c:pt>
                <c:pt idx="40">
                  <c:v>0.5</c:v>
                </c:pt>
                <c:pt idx="41">
                  <c:v>0.53982783727702888</c:v>
                </c:pt>
                <c:pt idx="42">
                  <c:v>0.57925970943910299</c:v>
                </c:pt>
                <c:pt idx="43">
                  <c:v>0.61791142218895267</c:v>
                </c:pt>
                <c:pt idx="44">
                  <c:v>0.65542174161032429</c:v>
                </c:pt>
                <c:pt idx="45">
                  <c:v>0.69146246127401312</c:v>
                </c:pt>
                <c:pt idx="46">
                  <c:v>0.72574688224992645</c:v>
                </c:pt>
                <c:pt idx="47">
                  <c:v>0.75803634777692697</c:v>
                </c:pt>
                <c:pt idx="48">
                  <c:v>0.78814460141660336</c:v>
                </c:pt>
                <c:pt idx="49">
                  <c:v>0.81593987465324047</c:v>
                </c:pt>
                <c:pt idx="50">
                  <c:v>0.84134474606854304</c:v>
                </c:pt>
                <c:pt idx="51">
                  <c:v>0.86433393905361733</c:v>
                </c:pt>
                <c:pt idx="52">
                  <c:v>0.88493032977829178</c:v>
                </c:pt>
                <c:pt idx="53">
                  <c:v>0.9031995154143897</c:v>
                </c:pt>
                <c:pt idx="54">
                  <c:v>0.91924334076622893</c:v>
                </c:pt>
                <c:pt idx="55">
                  <c:v>0.93319279873114325</c:v>
                </c:pt>
                <c:pt idx="56">
                  <c:v>0.94520070830044201</c:v>
                </c:pt>
                <c:pt idx="57">
                  <c:v>0.95543453724145699</c:v>
                </c:pt>
                <c:pt idx="58">
                  <c:v>0.96406968088707501</c:v>
                </c:pt>
                <c:pt idx="59">
                  <c:v>0.97128344018399881</c:v>
                </c:pt>
                <c:pt idx="60">
                  <c:v>0.97724986805182135</c:v>
                </c:pt>
                <c:pt idx="61">
                  <c:v>0.98213557943718344</c:v>
                </c:pt>
                <c:pt idx="62">
                  <c:v>0.98609655248650174</c:v>
                </c:pt>
                <c:pt idx="63">
                  <c:v>0.9892758899783245</c:v>
                </c:pt>
                <c:pt idx="64">
                  <c:v>0.99180246407540407</c:v>
                </c:pt>
                <c:pt idx="65">
                  <c:v>0.99379033467422406</c:v>
                </c:pt>
                <c:pt idx="66">
                  <c:v>0.99533881197628138</c:v>
                </c:pt>
                <c:pt idx="67">
                  <c:v>0.99653302619695949</c:v>
                </c:pt>
                <c:pt idx="68">
                  <c:v>0.99744486966957213</c:v>
                </c:pt>
                <c:pt idx="69">
                  <c:v>0.99813418669961607</c:v>
                </c:pt>
                <c:pt idx="70">
                  <c:v>0.9986501019683699</c:v>
                </c:pt>
                <c:pt idx="71">
                  <c:v>0.99903239678678168</c:v>
                </c:pt>
                <c:pt idx="72">
                  <c:v>0.99931286206208414</c:v>
                </c:pt>
                <c:pt idx="73">
                  <c:v>0.99951657585761622</c:v>
                </c:pt>
                <c:pt idx="74">
                  <c:v>0.99966307073432314</c:v>
                </c:pt>
                <c:pt idx="75">
                  <c:v>0.99976737092096446</c:v>
                </c:pt>
                <c:pt idx="76">
                  <c:v>0.99984089140984245</c:v>
                </c:pt>
                <c:pt idx="77">
                  <c:v>0.99989220026652259</c:v>
                </c:pt>
                <c:pt idx="78">
                  <c:v>0.99992765195607491</c:v>
                </c:pt>
                <c:pt idx="79">
                  <c:v>0.99995190365598241</c:v>
                </c:pt>
                <c:pt idx="80">
                  <c:v>0.99996832875816688</c:v>
                </c:pt>
              </c:numCache>
            </c:numRef>
          </c:yVal>
          <c:smooth val="1"/>
          <c:extLst>
            <c:ext xmlns:c16="http://schemas.microsoft.com/office/drawing/2014/chart" uri="{C3380CC4-5D6E-409C-BE32-E72D297353CC}">
              <c16:uniqueId val="{00000000-CC25-4AAE-BDC8-8F0AE329E48F}"/>
            </c:ext>
          </c:extLst>
        </c:ser>
        <c:dLbls>
          <c:showLegendKey val="0"/>
          <c:showVal val="0"/>
          <c:showCatName val="0"/>
          <c:showSerName val="0"/>
          <c:showPercent val="0"/>
          <c:showBubbleSize val="0"/>
        </c:dLbls>
        <c:axId val="814408351"/>
        <c:axId val="814422911"/>
      </c:scatterChart>
      <c:valAx>
        <c:axId val="81440835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4422911"/>
        <c:crosses val="autoZero"/>
        <c:crossBetween val="midCat"/>
      </c:valAx>
      <c:valAx>
        <c:axId val="81442291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44083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0" i="0" u="none" strike="noStrike" baseline="0">
                <a:effectLst/>
              </a:rPr>
              <a:t>Graph for Poisson distribution</a:t>
            </a:r>
            <a:r>
              <a:rPr lang="en-US" sz="1600" b="1" i="0" u="none" strike="noStrike" baseline="0">
                <a:effectLst>
                  <a:outerShdw blurRad="50800" dist="38100" dir="5400000" algn="t" rotWithShape="0">
                    <a:prstClr val="black">
                      <a:alpha val="40000"/>
                    </a:prstClr>
                  </a:outerShdw>
                </a:effectLst>
              </a:rPr>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strRef>
              <c:f>p.8!$D$1</c:f>
              <c:strCache>
                <c:ptCount val="1"/>
                <c:pt idx="0">
                  <c:v>P(X)</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p.8!$A$2:$A$21</c:f>
              <c:numCache>
                <c:formatCode>General</c:formatCode>
                <c:ptCount val="2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numCache>
            </c:numRef>
          </c:xVal>
          <c:yVal>
            <c:numRef>
              <c:f>p.8!$D$2:$D$21</c:f>
              <c:numCache>
                <c:formatCode>General</c:formatCode>
                <c:ptCount val="20"/>
                <c:pt idx="0">
                  <c:v>6.4608137605221142E-3</c:v>
                </c:pt>
                <c:pt idx="1">
                  <c:v>3.2575422980552493E-2</c:v>
                </c:pt>
                <c:pt idx="2">
                  <c:v>8.2122641333972846E-2</c:v>
                </c:pt>
                <c:pt idx="3">
                  <c:v>0.13802078586863037</c:v>
                </c:pt>
                <c:pt idx="4">
                  <c:v>0.17397520058740859</c:v>
                </c:pt>
                <c:pt idx="5">
                  <c:v>0.17543659227234279</c:v>
                </c:pt>
                <c:pt idx="6">
                  <c:v>0.14742521637285874</c:v>
                </c:pt>
                <c:pt idx="7">
                  <c:v>0.1061882772788505</c:v>
                </c:pt>
                <c:pt idx="8">
                  <c:v>6.6925161754995494E-2</c:v>
                </c:pt>
                <c:pt idx="9">
                  <c:v>3.7492962840965288E-2</c:v>
                </c:pt>
                <c:pt idx="10">
                  <c:v>1.8903951864414684E-2</c:v>
                </c:pt>
                <c:pt idx="11">
                  <c:v>8.6648841182162591E-3</c:v>
                </c:pt>
                <c:pt idx="12">
                  <c:v>3.640695477003865E-3</c:v>
                </c:pt>
                <c:pt idx="13">
                  <c:v>1.4120297380810377E-3</c:v>
                </c:pt>
                <c:pt idx="14">
                  <c:v>5.0853242424318476E-4</c:v>
                </c:pt>
                <c:pt idx="15">
                  <c:v>1.7093469886894235E-4</c:v>
                </c:pt>
                <c:pt idx="16">
                  <c:v>5.3865796981075394E-5</c:v>
                </c:pt>
                <c:pt idx="17">
                  <c:v>1.5975961669328336E-5</c:v>
                </c:pt>
                <c:pt idx="18">
                  <c:v>4.4750443742640945E-6</c:v>
                </c:pt>
                <c:pt idx="19">
                  <c:v>1.1875354597389224E-6</c:v>
                </c:pt>
              </c:numCache>
            </c:numRef>
          </c:yVal>
          <c:smooth val="1"/>
          <c:extLst>
            <c:ext xmlns:c16="http://schemas.microsoft.com/office/drawing/2014/chart" uri="{C3380CC4-5D6E-409C-BE32-E72D297353CC}">
              <c16:uniqueId val="{00000000-963B-409C-827F-3DF3CE7E6099}"/>
            </c:ext>
          </c:extLst>
        </c:ser>
        <c:dLbls>
          <c:showLegendKey val="0"/>
          <c:showVal val="0"/>
          <c:showCatName val="0"/>
          <c:showSerName val="0"/>
          <c:showPercent val="0"/>
          <c:showBubbleSize val="0"/>
        </c:dLbls>
        <c:axId val="848649663"/>
        <c:axId val="848647999"/>
      </c:scatterChart>
      <c:valAx>
        <c:axId val="8486496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8647999"/>
        <c:crosses val="autoZero"/>
        <c:crossBetween val="midCat"/>
      </c:valAx>
      <c:valAx>
        <c:axId val="8486479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8649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Scatter Plot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p.9!$A$2</c:f>
              <c:strCache>
                <c:ptCount val="1"/>
                <c:pt idx="0">
                  <c:v>X</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p.9!$B$1:$K$1</c:f>
              <c:numCache>
                <c:formatCode>General</c:formatCode>
                <c:ptCount val="10"/>
                <c:pt idx="0">
                  <c:v>70</c:v>
                </c:pt>
                <c:pt idx="1">
                  <c:v>65</c:v>
                </c:pt>
                <c:pt idx="2">
                  <c:v>90</c:v>
                </c:pt>
                <c:pt idx="3">
                  <c:v>95</c:v>
                </c:pt>
                <c:pt idx="4">
                  <c:v>110</c:v>
                </c:pt>
                <c:pt idx="5">
                  <c:v>115</c:v>
                </c:pt>
                <c:pt idx="6">
                  <c:v>120</c:v>
                </c:pt>
                <c:pt idx="7">
                  <c:v>140</c:v>
                </c:pt>
                <c:pt idx="8">
                  <c:v>155</c:v>
                </c:pt>
                <c:pt idx="9">
                  <c:v>150</c:v>
                </c:pt>
              </c:numCache>
            </c:numRef>
          </c:xVal>
          <c:yVal>
            <c:numRef>
              <c:f>p.9!$B$2:$K$2</c:f>
              <c:numCache>
                <c:formatCode>General</c:formatCode>
                <c:ptCount val="10"/>
                <c:pt idx="0">
                  <c:v>80</c:v>
                </c:pt>
                <c:pt idx="1">
                  <c:v>100</c:v>
                </c:pt>
                <c:pt idx="2">
                  <c:v>120</c:v>
                </c:pt>
                <c:pt idx="3">
                  <c:v>140</c:v>
                </c:pt>
                <c:pt idx="4">
                  <c:v>160</c:v>
                </c:pt>
                <c:pt idx="5">
                  <c:v>180</c:v>
                </c:pt>
                <c:pt idx="6">
                  <c:v>200</c:v>
                </c:pt>
                <c:pt idx="7">
                  <c:v>220</c:v>
                </c:pt>
                <c:pt idx="8">
                  <c:v>240</c:v>
                </c:pt>
                <c:pt idx="9">
                  <c:v>260</c:v>
                </c:pt>
              </c:numCache>
            </c:numRef>
          </c:yVal>
          <c:smooth val="0"/>
          <c:extLst>
            <c:ext xmlns:c16="http://schemas.microsoft.com/office/drawing/2014/chart" uri="{C3380CC4-5D6E-409C-BE32-E72D297353CC}">
              <c16:uniqueId val="{00000000-A492-4745-9583-CBEEB610DB1B}"/>
            </c:ext>
          </c:extLst>
        </c:ser>
        <c:dLbls>
          <c:showLegendKey val="0"/>
          <c:showVal val="0"/>
          <c:showCatName val="0"/>
          <c:showSerName val="0"/>
          <c:showPercent val="0"/>
          <c:showBubbleSize val="0"/>
        </c:dLbls>
        <c:axId val="854352063"/>
        <c:axId val="854352895"/>
      </c:scatterChart>
      <c:valAx>
        <c:axId val="854352063"/>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54352895"/>
        <c:crosses val="autoZero"/>
        <c:crossBetween val="midCat"/>
      </c:valAx>
      <c:valAx>
        <c:axId val="85435289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543520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 and Whisker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and Whisker plot</a:t>
          </a:r>
        </a:p>
      </cx:txPr>
    </cx:title>
    <cx:plotArea>
      <cx:plotAreaRegion>
        <cx:series layoutId="boxWhisker" uniqueId="{FAE42E61-9DA9-45D8-947A-A440776B130E}">
          <cx:tx>
            <cx:txData>
              <cx:f>_xlchart.v1.0</cx:f>
              <cx:v>X</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8.xml"/><Relationship Id="rId2" Type="http://schemas.openxmlformats.org/officeDocument/2006/relationships/chart" Target="../charts/chart4.xml"/><Relationship Id="rId1" Type="http://schemas.openxmlformats.org/officeDocument/2006/relationships/chart" Target="../charts/chart3.xml"/><Relationship Id="rId6" Type="http://schemas.microsoft.com/office/2014/relationships/chartEx" Target="../charts/chartEx1.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38100</xdr:rowOff>
    </xdr:from>
    <xdr:to>
      <xdr:col>13</xdr:col>
      <xdr:colOff>7620</xdr:colOff>
      <xdr:row>16</xdr:row>
      <xdr:rowOff>7620</xdr:rowOff>
    </xdr:to>
    <xdr:graphicFrame macro="">
      <xdr:nvGraphicFramePr>
        <xdr:cNvPr id="2" name="Chart 1">
          <a:extLst>
            <a:ext uri="{FF2B5EF4-FFF2-40B4-BE49-F238E27FC236}">
              <a16:creationId xmlns:a16="http://schemas.microsoft.com/office/drawing/2014/main" id="{6D4BC59A-1124-143B-0819-759832EB1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19</xdr:row>
      <xdr:rowOff>0</xdr:rowOff>
    </xdr:from>
    <xdr:to>
      <xdr:col>13</xdr:col>
      <xdr:colOff>15240</xdr:colOff>
      <xdr:row>32</xdr:row>
      <xdr:rowOff>167640</xdr:rowOff>
    </xdr:to>
    <xdr:graphicFrame macro="">
      <xdr:nvGraphicFramePr>
        <xdr:cNvPr id="4" name="Chart 3">
          <a:extLst>
            <a:ext uri="{FF2B5EF4-FFF2-40B4-BE49-F238E27FC236}">
              <a16:creationId xmlns:a16="http://schemas.microsoft.com/office/drawing/2014/main" id="{723D488E-6907-9CBC-63DE-69163B611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7620</xdr:colOff>
      <xdr:row>12</xdr:row>
      <xdr:rowOff>38100</xdr:rowOff>
    </xdr:from>
    <xdr:to>
      <xdr:col>20</xdr:col>
      <xdr:colOff>60960</xdr:colOff>
      <xdr:row>26</xdr:row>
      <xdr:rowOff>7620</xdr:rowOff>
    </xdr:to>
    <xdr:graphicFrame macro="">
      <xdr:nvGraphicFramePr>
        <xdr:cNvPr id="7" name="Chart 6">
          <a:extLst>
            <a:ext uri="{FF2B5EF4-FFF2-40B4-BE49-F238E27FC236}">
              <a16:creationId xmlns:a16="http://schemas.microsoft.com/office/drawing/2014/main" id="{38EAF75A-AB30-6158-C1F3-C54A0EF47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7620</xdr:colOff>
      <xdr:row>2</xdr:row>
      <xdr:rowOff>7620</xdr:rowOff>
    </xdr:from>
    <xdr:to>
      <xdr:col>18</xdr:col>
      <xdr:colOff>510540</xdr:colOff>
      <xdr:row>12</xdr:row>
      <xdr:rowOff>15240</xdr:rowOff>
    </xdr:to>
    <xdr:graphicFrame macro="">
      <xdr:nvGraphicFramePr>
        <xdr:cNvPr id="8" name="Chart 7">
          <a:extLst>
            <a:ext uri="{FF2B5EF4-FFF2-40B4-BE49-F238E27FC236}">
              <a16:creationId xmlns:a16="http://schemas.microsoft.com/office/drawing/2014/main" id="{7FC9BF42-CEA8-4C5C-B93E-6E19279FF3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510540</xdr:colOff>
      <xdr:row>15</xdr:row>
      <xdr:rowOff>15240</xdr:rowOff>
    </xdr:from>
    <xdr:to>
      <xdr:col>16</xdr:col>
      <xdr:colOff>381000</xdr:colOff>
      <xdr:row>16</xdr:row>
      <xdr:rowOff>190500</xdr:rowOff>
    </xdr:to>
    <xdr:cxnSp macro="">
      <xdr:nvCxnSpPr>
        <xdr:cNvPr id="10" name="Straight Connector 9">
          <a:extLst>
            <a:ext uri="{FF2B5EF4-FFF2-40B4-BE49-F238E27FC236}">
              <a16:creationId xmlns:a16="http://schemas.microsoft.com/office/drawing/2014/main" id="{25E519D0-3148-54E3-235D-CF0A9874A38E}"/>
            </a:ext>
          </a:extLst>
        </xdr:cNvPr>
        <xdr:cNvCxnSpPr/>
      </xdr:nvCxnSpPr>
      <xdr:spPr>
        <a:xfrm>
          <a:off x="9982200" y="2987040"/>
          <a:ext cx="480060" cy="373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251460</xdr:colOff>
      <xdr:row>16</xdr:row>
      <xdr:rowOff>91440</xdr:rowOff>
    </xdr:from>
    <xdr:to>
      <xdr:col>16</xdr:col>
      <xdr:colOff>251460</xdr:colOff>
      <xdr:row>22</xdr:row>
      <xdr:rowOff>83820</xdr:rowOff>
    </xdr:to>
    <xdr:cxnSp macro="">
      <xdr:nvCxnSpPr>
        <xdr:cNvPr id="12" name="Straight Arrow Connector 11">
          <a:extLst>
            <a:ext uri="{FF2B5EF4-FFF2-40B4-BE49-F238E27FC236}">
              <a16:creationId xmlns:a16="http://schemas.microsoft.com/office/drawing/2014/main" id="{F92F13CA-E4AA-740E-3318-A42CFD5A2FEF}"/>
            </a:ext>
          </a:extLst>
        </xdr:cNvPr>
        <xdr:cNvCxnSpPr/>
      </xdr:nvCxnSpPr>
      <xdr:spPr>
        <a:xfrm>
          <a:off x="10332720" y="3261360"/>
          <a:ext cx="0" cy="1181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30480</xdr:colOff>
      <xdr:row>16</xdr:row>
      <xdr:rowOff>30480</xdr:rowOff>
    </xdr:from>
    <xdr:to>
      <xdr:col>12</xdr:col>
      <xdr:colOff>228600</xdr:colOff>
      <xdr:row>28</xdr:row>
      <xdr:rowOff>15240</xdr:rowOff>
    </xdr:to>
    <xdr:graphicFrame macro="">
      <xdr:nvGraphicFramePr>
        <xdr:cNvPr id="15" name="Chart 14">
          <a:extLst>
            <a:ext uri="{FF2B5EF4-FFF2-40B4-BE49-F238E27FC236}">
              <a16:creationId xmlns:a16="http://schemas.microsoft.com/office/drawing/2014/main" id="{A098A1AA-6F9D-AD1E-710A-1863145AF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586291</xdr:colOff>
      <xdr:row>38</xdr:row>
      <xdr:rowOff>191397</xdr:rowOff>
    </xdr:from>
    <xdr:to>
      <xdr:col>8</xdr:col>
      <xdr:colOff>633805</xdr:colOff>
      <xdr:row>52</xdr:row>
      <xdr:rowOff>160916</xdr:rowOff>
    </xdr:to>
    <xdr:graphicFrame macro="">
      <xdr:nvGraphicFramePr>
        <xdr:cNvPr id="16" name="Chart 15">
          <a:extLst>
            <a:ext uri="{FF2B5EF4-FFF2-40B4-BE49-F238E27FC236}">
              <a16:creationId xmlns:a16="http://schemas.microsoft.com/office/drawing/2014/main" id="{B5732F8D-321F-FDA4-3577-F1B38115A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2241</xdr:colOff>
      <xdr:row>39</xdr:row>
      <xdr:rowOff>5827</xdr:rowOff>
    </xdr:from>
    <xdr:to>
      <xdr:col>16</xdr:col>
      <xdr:colOff>560741</xdr:colOff>
      <xdr:row>52</xdr:row>
      <xdr:rowOff>172570</xdr:rowOff>
    </xdr:to>
    <xdr:graphicFrame macro="">
      <xdr:nvGraphicFramePr>
        <xdr:cNvPr id="17" name="Chart 16">
          <a:extLst>
            <a:ext uri="{FF2B5EF4-FFF2-40B4-BE49-F238E27FC236}">
              <a16:creationId xmlns:a16="http://schemas.microsoft.com/office/drawing/2014/main" id="{4B0A7A37-3E41-0189-CC3D-6C096688B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361706</xdr:colOff>
      <xdr:row>47</xdr:row>
      <xdr:rowOff>63142</xdr:rowOff>
    </xdr:from>
    <xdr:to>
      <xdr:col>12</xdr:col>
      <xdr:colOff>111864</xdr:colOff>
      <xdr:row>47</xdr:row>
      <xdr:rowOff>76394</xdr:rowOff>
    </xdr:to>
    <xdr:cxnSp macro="">
      <xdr:nvCxnSpPr>
        <xdr:cNvPr id="19" name="Straight Connector 18">
          <a:extLst>
            <a:ext uri="{FF2B5EF4-FFF2-40B4-BE49-F238E27FC236}">
              <a16:creationId xmlns:a16="http://schemas.microsoft.com/office/drawing/2014/main" id="{3F860D59-7498-4D54-651E-22EC54F8986D}"/>
            </a:ext>
          </a:extLst>
        </xdr:cNvPr>
        <xdr:cNvCxnSpPr/>
      </xdr:nvCxnSpPr>
      <xdr:spPr>
        <a:xfrm>
          <a:off x="7694835" y="9332648"/>
          <a:ext cx="1668605" cy="1325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98612</xdr:colOff>
      <xdr:row>47</xdr:row>
      <xdr:rowOff>76394</xdr:rowOff>
    </xdr:from>
    <xdr:to>
      <xdr:col>12</xdr:col>
      <xdr:colOff>125117</xdr:colOff>
      <xdr:row>51</xdr:row>
      <xdr:rowOff>76395</xdr:rowOff>
    </xdr:to>
    <xdr:cxnSp macro="">
      <xdr:nvCxnSpPr>
        <xdr:cNvPr id="21" name="Straight Arrow Connector 20">
          <a:extLst>
            <a:ext uri="{FF2B5EF4-FFF2-40B4-BE49-F238E27FC236}">
              <a16:creationId xmlns:a16="http://schemas.microsoft.com/office/drawing/2014/main" id="{24AB0D77-4BCE-E4C3-3C43-569A8901851A}"/>
            </a:ext>
          </a:extLst>
        </xdr:cNvPr>
        <xdr:cNvCxnSpPr/>
      </xdr:nvCxnSpPr>
      <xdr:spPr>
        <a:xfrm>
          <a:off x="9350188" y="9345900"/>
          <a:ext cx="26505" cy="7888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582706</xdr:colOff>
      <xdr:row>57</xdr:row>
      <xdr:rowOff>162966</xdr:rowOff>
    </xdr:from>
    <xdr:to>
      <xdr:col>6</xdr:col>
      <xdr:colOff>1060399</xdr:colOff>
      <xdr:row>71</xdr:row>
      <xdr:rowOff>162966</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F036D7E3-9159-5953-47AC-EB9812A354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411506" y="11455806"/>
              <a:ext cx="3434253" cy="27736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322729</xdr:colOff>
      <xdr:row>28</xdr:row>
      <xdr:rowOff>107576</xdr:rowOff>
    </xdr:from>
    <xdr:to>
      <xdr:col>14</xdr:col>
      <xdr:colOff>89007</xdr:colOff>
      <xdr:row>38</xdr:row>
      <xdr:rowOff>132870</xdr:rowOff>
    </xdr:to>
    <xdr:graphicFrame macro="">
      <xdr:nvGraphicFramePr>
        <xdr:cNvPr id="25" name="Chart 24">
          <a:extLst>
            <a:ext uri="{FF2B5EF4-FFF2-40B4-BE49-F238E27FC236}">
              <a16:creationId xmlns:a16="http://schemas.microsoft.com/office/drawing/2014/main" id="{AC2EA32B-3671-057C-42F9-A60A184D59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0.39859</cdr:x>
      <cdr:y>0.2</cdr:y>
    </cdr:from>
    <cdr:to>
      <cdr:x>0.5097</cdr:x>
      <cdr:y>0.58889</cdr:y>
    </cdr:to>
    <cdr:cxnSp macro="">
      <cdr:nvCxnSpPr>
        <cdr:cNvPr id="3" name="Straight Connector 2">
          <a:extLst xmlns:a="http://schemas.openxmlformats.org/drawingml/2006/main">
            <a:ext uri="{FF2B5EF4-FFF2-40B4-BE49-F238E27FC236}">
              <a16:creationId xmlns:a16="http://schemas.microsoft.com/office/drawing/2014/main" id="{46320F44-CB24-1779-4631-DB97EDE0B2DC}"/>
            </a:ext>
          </a:extLst>
        </cdr:cNvPr>
        <cdr:cNvCxnSpPr/>
      </cdr:nvCxnSpPr>
      <cdr:spPr>
        <a:xfrm xmlns:a="http://schemas.openxmlformats.org/drawingml/2006/main" flipH="1">
          <a:off x="1722120" y="548640"/>
          <a:ext cx="480060" cy="1066800"/>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4.xml><?xml version="1.0" encoding="utf-8"?>
<c:userShapes xmlns:c="http://schemas.openxmlformats.org/drawingml/2006/chart">
  <cdr:relSizeAnchor xmlns:cdr="http://schemas.openxmlformats.org/drawingml/2006/chartDrawing">
    <cdr:from>
      <cdr:x>0.46939</cdr:x>
      <cdr:y>0.46944</cdr:y>
    </cdr:from>
    <cdr:to>
      <cdr:x>0.47253</cdr:x>
      <cdr:y>0.7</cdr:y>
    </cdr:to>
    <cdr:cxnSp macro="">
      <cdr:nvCxnSpPr>
        <cdr:cNvPr id="3" name="Straight Arrow Connector 2">
          <a:extLst xmlns:a="http://schemas.openxmlformats.org/drawingml/2006/main">
            <a:ext uri="{FF2B5EF4-FFF2-40B4-BE49-F238E27FC236}">
              <a16:creationId xmlns:a16="http://schemas.microsoft.com/office/drawing/2014/main" id="{EC75D326-4058-B506-FB1B-44DFC355289E}"/>
            </a:ext>
          </a:extLst>
        </cdr:cNvPr>
        <cdr:cNvCxnSpPr/>
      </cdr:nvCxnSpPr>
      <cdr:spPr>
        <a:xfrm xmlns:a="http://schemas.openxmlformats.org/drawingml/2006/main" flipH="1">
          <a:off x="2278380" y="1287780"/>
          <a:ext cx="15240" cy="632460"/>
        </a:xfrm>
        <a:prstGeom xmlns:a="http://schemas.openxmlformats.org/drawingml/2006/main" prst="straightConnector1">
          <a:avLst/>
        </a:prstGeom>
        <a:ln xmlns:a="http://schemas.openxmlformats.org/drawingml/2006/main">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xdr:wsDr xmlns:xdr="http://schemas.openxmlformats.org/drawingml/2006/spreadsheetDrawing" xmlns:a="http://schemas.openxmlformats.org/drawingml/2006/main">
  <xdr:twoCellAnchor>
    <xdr:from>
      <xdr:col>10</xdr:col>
      <xdr:colOff>53340</xdr:colOff>
      <xdr:row>4</xdr:row>
      <xdr:rowOff>175260</xdr:rowOff>
    </xdr:from>
    <xdr:to>
      <xdr:col>17</xdr:col>
      <xdr:colOff>358140</xdr:colOff>
      <xdr:row>19</xdr:row>
      <xdr:rowOff>152400</xdr:rowOff>
    </xdr:to>
    <xdr:graphicFrame macro="">
      <xdr:nvGraphicFramePr>
        <xdr:cNvPr id="7" name="Chart 6">
          <a:extLst>
            <a:ext uri="{FF2B5EF4-FFF2-40B4-BE49-F238E27FC236}">
              <a16:creationId xmlns:a16="http://schemas.microsoft.com/office/drawing/2014/main" id="{21583057-3ED1-95A8-EF8F-C3A8302EB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274320</xdr:colOff>
      <xdr:row>29</xdr:row>
      <xdr:rowOff>15240</xdr:rowOff>
    </xdr:from>
    <xdr:to>
      <xdr:col>15</xdr:col>
      <xdr:colOff>441960</xdr:colOff>
      <xdr:row>44</xdr:row>
      <xdr:rowOff>15240</xdr:rowOff>
    </xdr:to>
    <xdr:graphicFrame macro="">
      <xdr:nvGraphicFramePr>
        <xdr:cNvPr id="2" name="Chart 1">
          <a:extLst>
            <a:ext uri="{FF2B5EF4-FFF2-40B4-BE49-F238E27FC236}">
              <a16:creationId xmlns:a16="http://schemas.microsoft.com/office/drawing/2014/main" id="{953E23AB-E63E-4F08-A3FA-A287257F4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38100</xdr:colOff>
      <xdr:row>1</xdr:row>
      <xdr:rowOff>137160</xdr:rowOff>
    </xdr:from>
    <xdr:to>
      <xdr:col>10</xdr:col>
      <xdr:colOff>342900</xdr:colOff>
      <xdr:row>16</xdr:row>
      <xdr:rowOff>137160</xdr:rowOff>
    </xdr:to>
    <xdr:graphicFrame macro="">
      <xdr:nvGraphicFramePr>
        <xdr:cNvPr id="2" name="Chart 1">
          <a:extLst>
            <a:ext uri="{FF2B5EF4-FFF2-40B4-BE49-F238E27FC236}">
              <a16:creationId xmlns:a16="http://schemas.microsoft.com/office/drawing/2014/main" id="{501E9EE1-F6E3-2450-765C-740382FCF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441960</xdr:colOff>
      <xdr:row>6</xdr:row>
      <xdr:rowOff>160020</xdr:rowOff>
    </xdr:from>
    <xdr:to>
      <xdr:col>15</xdr:col>
      <xdr:colOff>137160</xdr:colOff>
      <xdr:row>21</xdr:row>
      <xdr:rowOff>160020</xdr:rowOff>
    </xdr:to>
    <xdr:graphicFrame macro="">
      <xdr:nvGraphicFramePr>
        <xdr:cNvPr id="2" name="Chart 1">
          <a:extLst>
            <a:ext uri="{FF2B5EF4-FFF2-40B4-BE49-F238E27FC236}">
              <a16:creationId xmlns:a16="http://schemas.microsoft.com/office/drawing/2014/main" id="{663E4213-D0ED-5367-4051-6AF726DAA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350520</xdr:colOff>
      <xdr:row>2</xdr:row>
      <xdr:rowOff>45720</xdr:rowOff>
    </xdr:from>
    <xdr:to>
      <xdr:col>10</xdr:col>
      <xdr:colOff>45720</xdr:colOff>
      <xdr:row>17</xdr:row>
      <xdr:rowOff>45720</xdr:rowOff>
    </xdr:to>
    <xdr:graphicFrame macro="">
      <xdr:nvGraphicFramePr>
        <xdr:cNvPr id="2" name="Chart 1">
          <a:extLst>
            <a:ext uri="{FF2B5EF4-FFF2-40B4-BE49-F238E27FC236}">
              <a16:creationId xmlns:a16="http://schemas.microsoft.com/office/drawing/2014/main" id="{A9E343C7-8218-F0D3-DED9-8B6F37599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15240</xdr:rowOff>
    </xdr:from>
    <xdr:to>
      <xdr:col>9</xdr:col>
      <xdr:colOff>304800</xdr:colOff>
      <xdr:row>39</xdr:row>
      <xdr:rowOff>15240</xdr:rowOff>
    </xdr:to>
    <xdr:graphicFrame macro="">
      <xdr:nvGraphicFramePr>
        <xdr:cNvPr id="3" name="Chart 2">
          <a:extLst>
            <a:ext uri="{FF2B5EF4-FFF2-40B4-BE49-F238E27FC236}">
              <a16:creationId xmlns:a16="http://schemas.microsoft.com/office/drawing/2014/main" id="{57B572FF-ECAE-6EAD-4DC5-75D4391B8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40</xdr:row>
      <xdr:rowOff>114300</xdr:rowOff>
    </xdr:from>
    <xdr:to>
      <xdr:col>9</xdr:col>
      <xdr:colOff>304800</xdr:colOff>
      <xdr:row>55</xdr:row>
      <xdr:rowOff>114300</xdr:rowOff>
    </xdr:to>
    <xdr:graphicFrame macro="">
      <xdr:nvGraphicFramePr>
        <xdr:cNvPr id="4" name="Chart 3">
          <a:extLst>
            <a:ext uri="{FF2B5EF4-FFF2-40B4-BE49-F238E27FC236}">
              <a16:creationId xmlns:a16="http://schemas.microsoft.com/office/drawing/2014/main" id="{9E443103-0BE5-173A-D519-1C6923B82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434340</xdr:colOff>
      <xdr:row>2</xdr:row>
      <xdr:rowOff>22860</xdr:rowOff>
    </xdr:from>
    <xdr:to>
      <xdr:col>13</xdr:col>
      <xdr:colOff>129540</xdr:colOff>
      <xdr:row>15</xdr:row>
      <xdr:rowOff>190500</xdr:rowOff>
    </xdr:to>
    <xdr:graphicFrame macro="">
      <xdr:nvGraphicFramePr>
        <xdr:cNvPr id="2" name="Chart 1">
          <a:extLst>
            <a:ext uri="{FF2B5EF4-FFF2-40B4-BE49-F238E27FC236}">
              <a16:creationId xmlns:a16="http://schemas.microsoft.com/office/drawing/2014/main" id="{C3C359A6-C191-8887-6648-748F08A0C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4</xdr:row>
      <xdr:rowOff>7620</xdr:rowOff>
    </xdr:from>
    <xdr:to>
      <xdr:col>8</xdr:col>
      <xdr:colOff>304800</xdr:colOff>
      <xdr:row>19</xdr:row>
      <xdr:rowOff>7620</xdr:rowOff>
    </xdr:to>
    <xdr:graphicFrame macro="">
      <xdr:nvGraphicFramePr>
        <xdr:cNvPr id="2" name="Chart 1">
          <a:extLst>
            <a:ext uri="{FF2B5EF4-FFF2-40B4-BE49-F238E27FC236}">
              <a16:creationId xmlns:a16="http://schemas.microsoft.com/office/drawing/2014/main" id="{4F04F2B8-7C46-F57B-CA99-BBF92A17D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jeeb Kumar Ray" refreshedDate="44940.879782638891" createdVersion="8" refreshedVersion="8" minRefreshableVersion="3" recordCount="20" xr:uid="{3A653C18-B1EA-476F-BF9F-7A5A53E866E7}">
  <cacheSource type="worksheet">
    <worksheetSource ref="C1:C21" sheet="P. 1"/>
  </cacheSource>
  <cacheFields count="1">
    <cacheField name="Religion" numFmtId="0">
      <sharedItems count="4">
        <s v="Muslim"/>
        <s v="Hindu"/>
        <s v="Christian"/>
        <s v="Other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jeeb Kumar Ray" refreshedDate="44940.882306597225" createdVersion="8" refreshedVersion="8" minRefreshableVersion="3" recordCount="20" xr:uid="{EC836E01-2B35-4BFB-B1A9-69FE3161C28E}">
  <cacheSource type="worksheet">
    <worksheetSource ref="F1:F21" sheet="P. 1"/>
  </cacheSource>
  <cacheFields count="1">
    <cacheField name="Level of Education" numFmtId="0">
      <sharedItems count="6">
        <s v="Primary"/>
        <s v="Graduate"/>
        <s v="Illiterate"/>
        <s v="Others"/>
        <s v="Higher Secondary"/>
        <s v="Secondar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r>
  <r>
    <x v="1"/>
  </r>
  <r>
    <x v="0"/>
  </r>
  <r>
    <x v="1"/>
  </r>
  <r>
    <x v="0"/>
  </r>
  <r>
    <x v="2"/>
  </r>
  <r>
    <x v="0"/>
  </r>
  <r>
    <x v="1"/>
  </r>
  <r>
    <x v="0"/>
  </r>
  <r>
    <x v="3"/>
  </r>
  <r>
    <x v="1"/>
  </r>
  <r>
    <x v="2"/>
  </r>
  <r>
    <x v="3"/>
  </r>
  <r>
    <x v="0"/>
  </r>
  <r>
    <x v="1"/>
  </r>
  <r>
    <x v="2"/>
  </r>
  <r>
    <x v="0"/>
  </r>
  <r>
    <x v="3"/>
  </r>
  <r>
    <x v="0"/>
  </r>
  <r>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r>
  <r>
    <x v="1"/>
  </r>
  <r>
    <x v="2"/>
  </r>
  <r>
    <x v="1"/>
  </r>
  <r>
    <x v="0"/>
  </r>
  <r>
    <x v="1"/>
  </r>
  <r>
    <x v="2"/>
  </r>
  <r>
    <x v="0"/>
  </r>
  <r>
    <x v="3"/>
  </r>
  <r>
    <x v="4"/>
  </r>
  <r>
    <x v="0"/>
  </r>
  <r>
    <x v="1"/>
  </r>
  <r>
    <x v="5"/>
  </r>
  <r>
    <x v="5"/>
  </r>
  <r>
    <x v="4"/>
  </r>
  <r>
    <x v="3"/>
  </r>
  <r>
    <x v="0"/>
  </r>
  <r>
    <x v="2"/>
  </r>
  <r>
    <x v="4"/>
  </r>
  <r>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2A0F6A-F172-4177-B847-76E01993E90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 Level of Education">
  <location ref="F12:G19" firstHeaderRow="1" firstDataRow="1" firstDataCol="1"/>
  <pivotFields count="1">
    <pivotField axis="axisRow" dataField="1" showAll="0">
      <items count="7">
        <item x="1"/>
        <item x="4"/>
        <item x="2"/>
        <item x="3"/>
        <item x="0"/>
        <item x="5"/>
        <item t="default"/>
      </items>
    </pivotField>
  </pivotFields>
  <rowFields count="1">
    <field x="0"/>
  </rowFields>
  <rowItems count="7">
    <i>
      <x/>
    </i>
    <i>
      <x v="1"/>
    </i>
    <i>
      <x v="2"/>
    </i>
    <i>
      <x v="3"/>
    </i>
    <i>
      <x v="4"/>
    </i>
    <i>
      <x v="5"/>
    </i>
    <i t="grand">
      <x/>
    </i>
  </rowItems>
  <colItems count="1">
    <i/>
  </colItems>
  <dataFields count="1">
    <dataField name="Count of Level of Education" fld="0" subtotal="count" baseField="0" baseItem="0"/>
  </dataFields>
  <formats count="27">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grandRow="1" outline="0"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grandRow="1" outline="0" fieldPosition="0"/>
    </format>
    <format dxfId="15">
      <pivotArea dataOnly="0" labelOnly="1" outline="0" axis="axisValues" fieldPosition="0"/>
    </format>
    <format dxfId="14">
      <pivotArea type="all" dataOnly="0" outline="0" fieldPosition="0"/>
    </format>
    <format dxfId="13">
      <pivotArea dataOnly="0" labelOnly="1" outline="0" axis="axisValues"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70A261-1253-4D59-BFA5-D044DBB74832}"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ligion">
  <location ref="F3:G8" firstHeaderRow="1" firstDataRow="1" firstDataCol="1"/>
  <pivotFields count="1">
    <pivotField axis="axisRow" dataField="1" showAll="0">
      <items count="5">
        <item x="2"/>
        <item x="1"/>
        <item x="0"/>
        <item x="3"/>
        <item t="default"/>
      </items>
    </pivotField>
  </pivotFields>
  <rowFields count="1">
    <field x="0"/>
  </rowFields>
  <rowItems count="5">
    <i>
      <x/>
    </i>
    <i>
      <x v="1"/>
    </i>
    <i>
      <x v="2"/>
    </i>
    <i>
      <x v="3"/>
    </i>
    <i t="grand">
      <x/>
    </i>
  </rowItems>
  <colItems count="1">
    <i/>
  </colItems>
  <dataFields count="1">
    <dataField name="Count of Religion" fld="0" subtotal="count" baseField="0" baseItem="0"/>
  </dataFields>
  <formats count="28">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grandRow="1" outline="0" fieldPosition="0"/>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0" type="button" dataOnly="0" labelOnly="1" outline="0" axis="axisRow" fieldPosition="0"/>
    </format>
    <format dxfId="45">
      <pivotArea dataOnly="0" labelOnly="1" fieldPosition="0">
        <references count="1">
          <reference field="0" count="0"/>
        </references>
      </pivotArea>
    </format>
    <format dxfId="44">
      <pivotArea dataOnly="0" labelOnly="1" grandRow="1" outline="0" fieldPosition="0"/>
    </format>
    <format dxfId="43">
      <pivotArea dataOnly="0" labelOnly="1" outline="0" axis="axisValues" fieldPosition="0"/>
    </format>
    <format dxfId="42">
      <pivotArea type="all" dataOnly="0" outline="0" fieldPosition="0"/>
    </format>
    <format dxfId="41">
      <pivotArea dataOnly="0" labelOnly="1" outline="0" axis="axisValues" fieldPosition="0"/>
    </format>
    <format dxfId="40">
      <pivotArea dataOnly="0" labelOnly="1" outline="0" axis="axisValues" fieldPosition="0"/>
    </format>
    <format dxfId="39">
      <pivotArea dataOnly="0" labelOnly="1" outline="0" axis="axisValues" fieldPosition="0"/>
    </format>
    <format dxfId="38">
      <pivotArea type="all" dataOnly="0" outline="0" fieldPosition="0"/>
    </format>
    <format dxfId="37">
      <pivotArea outline="0" collapsedLevelsAreSubtotals="1" fieldPosition="0"/>
    </format>
    <format dxfId="36">
      <pivotArea field="0" type="button" dataOnly="0" labelOnly="1" outline="0" axis="axisRow" fieldPosition="0"/>
    </format>
    <format dxfId="35">
      <pivotArea dataOnly="0" labelOnly="1" fieldPosition="0">
        <references count="1">
          <reference field="0" count="0"/>
        </references>
      </pivotArea>
    </format>
    <format dxfId="34">
      <pivotArea dataOnly="0" labelOnly="1" grandRow="1" outline="0"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field="0" type="button" dataOnly="0" labelOnly="1" outline="0" axis="axisRow" fieldPosition="0"/>
    </format>
    <format dxfId="29">
      <pivotArea dataOnly="0" labelOnly="1" fieldPosition="0">
        <references count="1">
          <reference field="0" count="0"/>
        </references>
      </pivotArea>
    </format>
    <format dxfId="28">
      <pivotArea dataOnly="0" labelOnly="1" grandRow="1" outline="0" fieldPosition="0"/>
    </format>
    <format dxfId="27">
      <pivotArea dataOnly="0" labelOnly="1" outline="0" axis="axisValues" fieldPosition="0"/>
    </format>
  </formats>
  <chartFormats count="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B93F3-01B5-43AC-AED3-3A719D1F95E4}">
  <dimension ref="A1:M41"/>
  <sheetViews>
    <sheetView tabSelected="1" topLeftCell="B1" workbookViewId="0">
      <selection activeCell="E14" sqref="E14"/>
    </sheetView>
  </sheetViews>
  <sheetFormatPr defaultRowHeight="15.6"/>
  <cols>
    <col min="1" max="1" width="5.109375" style="1" customWidth="1"/>
    <col min="2" max="2" width="12.5546875" style="1" bestFit="1" customWidth="1"/>
    <col min="3" max="3" width="15.5546875" style="1" bestFit="1" customWidth="1"/>
    <col min="4" max="4" width="18.88671875" style="1" bestFit="1" customWidth="1"/>
    <col min="5" max="5" width="24.5546875" style="1" bestFit="1" customWidth="1"/>
    <col min="6" max="6" width="21" style="1" bestFit="1" customWidth="1"/>
    <col min="7" max="7" width="27.109375" style="1" bestFit="1" customWidth="1"/>
    <col min="8" max="8" width="7.44140625" style="1" customWidth="1"/>
    <col min="9" max="9" width="24.77734375" style="1" customWidth="1"/>
    <col min="10" max="11" width="8.88671875" style="1"/>
    <col min="12" max="12" width="11.33203125" style="1" customWidth="1"/>
    <col min="13" max="13" width="12.5546875" style="1" customWidth="1"/>
    <col min="14" max="16384" width="8.88671875" style="1"/>
  </cols>
  <sheetData>
    <row r="1" spans="1:13">
      <c r="A1" s="2" t="s">
        <v>0</v>
      </c>
      <c r="B1" s="2" t="s">
        <v>1</v>
      </c>
      <c r="C1" s="2" t="s">
        <v>2</v>
      </c>
      <c r="D1" s="3" t="s">
        <v>3</v>
      </c>
      <c r="E1" s="4"/>
      <c r="F1" s="45" t="s">
        <v>17</v>
      </c>
      <c r="G1" s="45"/>
      <c r="I1" s="45" t="s">
        <v>21</v>
      </c>
      <c r="J1" s="45"/>
      <c r="K1" s="45"/>
      <c r="L1" s="45"/>
      <c r="M1" s="45"/>
    </row>
    <row r="2" spans="1:13">
      <c r="A2" s="5">
        <v>1</v>
      </c>
      <c r="B2" s="5" t="s">
        <v>8</v>
      </c>
      <c r="C2" s="5" t="s">
        <v>9</v>
      </c>
      <c r="D2" s="6" t="s">
        <v>13</v>
      </c>
      <c r="F2" s="46"/>
      <c r="G2" s="46"/>
      <c r="I2" s="45"/>
      <c r="J2" s="45"/>
      <c r="K2" s="45"/>
      <c r="L2" s="45"/>
      <c r="M2" s="45"/>
    </row>
    <row r="3" spans="1:13">
      <c r="A3" s="5">
        <v>2</v>
      </c>
      <c r="B3" s="5" t="s">
        <v>4</v>
      </c>
      <c r="C3" s="5" t="s">
        <v>5</v>
      </c>
      <c r="D3" s="6" t="s">
        <v>6</v>
      </c>
      <c r="F3" s="7" t="s">
        <v>2</v>
      </c>
      <c r="G3" s="8" t="s">
        <v>16</v>
      </c>
    </row>
    <row r="4" spans="1:13">
      <c r="A4" s="5">
        <v>3</v>
      </c>
      <c r="B4" s="5" t="s">
        <v>8</v>
      </c>
      <c r="C4" s="5" t="s">
        <v>9</v>
      </c>
      <c r="D4" s="6" t="s">
        <v>12</v>
      </c>
      <c r="F4" s="9" t="s">
        <v>7</v>
      </c>
      <c r="G4" s="2">
        <v>3</v>
      </c>
    </row>
    <row r="5" spans="1:13">
      <c r="A5" s="5">
        <v>4</v>
      </c>
      <c r="B5" s="5" t="s">
        <v>8</v>
      </c>
      <c r="C5" s="5" t="s">
        <v>5</v>
      </c>
      <c r="D5" s="6" t="s">
        <v>6</v>
      </c>
      <c r="F5" s="9" t="s">
        <v>5</v>
      </c>
      <c r="G5" s="2">
        <v>5</v>
      </c>
    </row>
    <row r="6" spans="1:13">
      <c r="A6" s="5">
        <v>5</v>
      </c>
      <c r="B6" s="5" t="s">
        <v>4</v>
      </c>
      <c r="C6" s="5" t="s">
        <v>9</v>
      </c>
      <c r="D6" s="6" t="s">
        <v>13</v>
      </c>
      <c r="F6" s="9" t="s">
        <v>9</v>
      </c>
      <c r="G6" s="2">
        <v>8</v>
      </c>
    </row>
    <row r="7" spans="1:13">
      <c r="A7" s="5">
        <v>6</v>
      </c>
      <c r="B7" s="5" t="s">
        <v>4</v>
      </c>
      <c r="C7" s="5" t="s">
        <v>7</v>
      </c>
      <c r="D7" s="6" t="s">
        <v>6</v>
      </c>
      <c r="F7" s="9" t="s">
        <v>10</v>
      </c>
      <c r="G7" s="2">
        <v>4</v>
      </c>
    </row>
    <row r="8" spans="1:13">
      <c r="A8" s="5">
        <v>7</v>
      </c>
      <c r="B8" s="5" t="s">
        <v>8</v>
      </c>
      <c r="C8" s="5" t="s">
        <v>9</v>
      </c>
      <c r="D8" s="6" t="s">
        <v>12</v>
      </c>
      <c r="F8" s="9" t="s">
        <v>15</v>
      </c>
      <c r="G8" s="2">
        <v>20</v>
      </c>
    </row>
    <row r="9" spans="1:13">
      <c r="A9" s="5">
        <v>8</v>
      </c>
      <c r="B9" s="5" t="s">
        <v>8</v>
      </c>
      <c r="C9" s="5" t="s">
        <v>5</v>
      </c>
      <c r="D9" s="6" t="s">
        <v>13</v>
      </c>
      <c r="F9" s="4"/>
      <c r="G9" s="4"/>
    </row>
    <row r="10" spans="1:13">
      <c r="A10" s="5">
        <v>9</v>
      </c>
      <c r="B10" s="5" t="s">
        <v>4</v>
      </c>
      <c r="C10" s="5" t="s">
        <v>9</v>
      </c>
      <c r="D10" s="6" t="s">
        <v>10</v>
      </c>
      <c r="F10" s="45" t="s">
        <v>20</v>
      </c>
      <c r="G10" s="45"/>
    </row>
    <row r="11" spans="1:13">
      <c r="A11" s="5">
        <v>10</v>
      </c>
      <c r="B11" s="5" t="s">
        <v>8</v>
      </c>
      <c r="C11" s="5" t="s">
        <v>10</v>
      </c>
      <c r="D11" s="6" t="s">
        <v>11</v>
      </c>
      <c r="F11" s="46"/>
      <c r="G11" s="46"/>
    </row>
    <row r="12" spans="1:13">
      <c r="A12" s="5">
        <v>11</v>
      </c>
      <c r="B12" s="5" t="s">
        <v>4</v>
      </c>
      <c r="C12" s="5" t="s">
        <v>5</v>
      </c>
      <c r="D12" s="6" t="s">
        <v>13</v>
      </c>
      <c r="F12" s="7" t="s">
        <v>19</v>
      </c>
      <c r="G12" s="10" t="s">
        <v>18</v>
      </c>
    </row>
    <row r="13" spans="1:13">
      <c r="A13" s="5">
        <v>12</v>
      </c>
      <c r="B13" s="5" t="s">
        <v>8</v>
      </c>
      <c r="C13" s="5" t="s">
        <v>7</v>
      </c>
      <c r="D13" s="6" t="s">
        <v>6</v>
      </c>
      <c r="F13" s="9" t="s">
        <v>6</v>
      </c>
      <c r="G13" s="2">
        <v>4</v>
      </c>
    </row>
    <row r="14" spans="1:13">
      <c r="A14" s="5">
        <v>13</v>
      </c>
      <c r="B14" s="5" t="s">
        <v>8</v>
      </c>
      <c r="C14" s="5" t="s">
        <v>10</v>
      </c>
      <c r="D14" s="6" t="s">
        <v>14</v>
      </c>
      <c r="F14" s="9" t="s">
        <v>11</v>
      </c>
      <c r="G14" s="2">
        <v>3</v>
      </c>
    </row>
    <row r="15" spans="1:13">
      <c r="A15" s="5">
        <v>14</v>
      </c>
      <c r="B15" s="5" t="s">
        <v>4</v>
      </c>
      <c r="C15" s="5" t="s">
        <v>9</v>
      </c>
      <c r="D15" s="6" t="s">
        <v>14</v>
      </c>
      <c r="F15" s="9" t="s">
        <v>12</v>
      </c>
      <c r="G15" s="2">
        <v>3</v>
      </c>
    </row>
    <row r="16" spans="1:13">
      <c r="A16" s="5">
        <v>15</v>
      </c>
      <c r="B16" s="5" t="s">
        <v>8</v>
      </c>
      <c r="C16" s="5" t="s">
        <v>5</v>
      </c>
      <c r="D16" s="6" t="s">
        <v>11</v>
      </c>
      <c r="F16" s="9" t="s">
        <v>10</v>
      </c>
      <c r="G16" s="2">
        <v>2</v>
      </c>
    </row>
    <row r="17" spans="1:13">
      <c r="A17" s="5">
        <v>16</v>
      </c>
      <c r="B17" s="5" t="s">
        <v>8</v>
      </c>
      <c r="C17" s="5" t="s">
        <v>7</v>
      </c>
      <c r="D17" s="6" t="s">
        <v>10</v>
      </c>
      <c r="F17" s="9" t="s">
        <v>13</v>
      </c>
      <c r="G17" s="2">
        <v>5</v>
      </c>
    </row>
    <row r="18" spans="1:13">
      <c r="A18" s="5">
        <v>17</v>
      </c>
      <c r="B18" s="5" t="s">
        <v>4</v>
      </c>
      <c r="C18" s="5" t="s">
        <v>9</v>
      </c>
      <c r="D18" s="6" t="s">
        <v>13</v>
      </c>
      <c r="F18" s="9" t="s">
        <v>14</v>
      </c>
      <c r="G18" s="2">
        <v>3</v>
      </c>
      <c r="I18" s="45" t="s">
        <v>22</v>
      </c>
      <c r="J18" s="45"/>
      <c r="K18" s="45"/>
      <c r="L18" s="45"/>
      <c r="M18" s="45"/>
    </row>
    <row r="19" spans="1:13">
      <c r="A19" s="5">
        <v>18</v>
      </c>
      <c r="B19" s="5" t="s">
        <v>8</v>
      </c>
      <c r="C19" s="5" t="s">
        <v>10</v>
      </c>
      <c r="D19" s="6" t="s">
        <v>12</v>
      </c>
      <c r="F19" s="9" t="s">
        <v>15</v>
      </c>
      <c r="G19" s="2">
        <v>20</v>
      </c>
      <c r="I19" s="45"/>
      <c r="J19" s="45"/>
      <c r="K19" s="45"/>
      <c r="L19" s="45"/>
      <c r="M19" s="45"/>
    </row>
    <row r="20" spans="1:13">
      <c r="A20" s="5">
        <v>19</v>
      </c>
      <c r="B20" s="5" t="s">
        <v>4</v>
      </c>
      <c r="C20" s="5" t="s">
        <v>9</v>
      </c>
      <c r="D20" s="6" t="s">
        <v>11</v>
      </c>
      <c r="F20" s="4"/>
      <c r="G20" s="4"/>
      <c r="I20" s="11"/>
      <c r="J20" s="11"/>
      <c r="K20" s="11"/>
      <c r="L20" s="11"/>
      <c r="M20" s="11"/>
    </row>
    <row r="21" spans="1:13">
      <c r="A21" s="5">
        <v>20</v>
      </c>
      <c r="B21" s="5" t="s">
        <v>8</v>
      </c>
      <c r="C21" s="5" t="s">
        <v>10</v>
      </c>
      <c r="D21" s="6" t="s">
        <v>14</v>
      </c>
      <c r="F21" s="4"/>
      <c r="G21" s="4"/>
    </row>
    <row r="22" spans="1:13">
      <c r="F22" s="4"/>
      <c r="G22" s="4"/>
    </row>
    <row r="24" spans="1:13">
      <c r="B24"/>
      <c r="C24"/>
      <c r="D24"/>
      <c r="E24"/>
      <c r="F24"/>
    </row>
    <row r="25" spans="1:13">
      <c r="B25"/>
      <c r="C25"/>
      <c r="D25"/>
      <c r="E25"/>
      <c r="F25"/>
    </row>
    <row r="26" spans="1:13">
      <c r="B26"/>
      <c r="C26"/>
      <c r="D26"/>
      <c r="E26"/>
      <c r="F26"/>
    </row>
    <row r="27" spans="1:13">
      <c r="B27"/>
      <c r="C27"/>
      <c r="D27"/>
      <c r="E27"/>
      <c r="F27"/>
    </row>
    <row r="28" spans="1:13">
      <c r="B28"/>
      <c r="C28"/>
      <c r="D28"/>
      <c r="E28"/>
      <c r="F28"/>
    </row>
    <row r="29" spans="1:13">
      <c r="B29"/>
      <c r="C29"/>
      <c r="D29"/>
      <c r="E29"/>
      <c r="F29"/>
    </row>
    <row r="30" spans="1:13">
      <c r="B30"/>
      <c r="C30"/>
      <c r="D30"/>
      <c r="E30"/>
      <c r="F30"/>
    </row>
    <row r="31" spans="1:13">
      <c r="B31"/>
      <c r="C31"/>
      <c r="D31"/>
      <c r="E31"/>
      <c r="F31"/>
    </row>
    <row r="32" spans="1:13">
      <c r="B32"/>
      <c r="C32"/>
      <c r="D32"/>
      <c r="E32"/>
      <c r="F32"/>
    </row>
    <row r="33" spans="2:6">
      <c r="B33"/>
      <c r="C33"/>
      <c r="D33"/>
      <c r="E33"/>
      <c r="F33"/>
    </row>
    <row r="34" spans="2:6">
      <c r="B34"/>
      <c r="C34"/>
      <c r="D34"/>
      <c r="E34"/>
      <c r="F34"/>
    </row>
    <row r="35" spans="2:6">
      <c r="B35"/>
      <c r="C35"/>
      <c r="D35"/>
      <c r="E35"/>
      <c r="F35"/>
    </row>
    <row r="36" spans="2:6">
      <c r="B36"/>
      <c r="C36"/>
      <c r="D36"/>
      <c r="E36"/>
      <c r="F36"/>
    </row>
    <row r="37" spans="2:6">
      <c r="B37"/>
      <c r="C37"/>
      <c r="D37"/>
      <c r="E37"/>
      <c r="F37"/>
    </row>
    <row r="38" spans="2:6">
      <c r="B38"/>
      <c r="C38"/>
      <c r="D38"/>
      <c r="E38"/>
      <c r="F38"/>
    </row>
    <row r="39" spans="2:6">
      <c r="B39"/>
      <c r="C39"/>
      <c r="D39"/>
      <c r="E39"/>
      <c r="F39"/>
    </row>
    <row r="40" spans="2:6">
      <c r="B40"/>
      <c r="C40"/>
      <c r="D40"/>
      <c r="E40"/>
      <c r="F40"/>
    </row>
    <row r="41" spans="2:6">
      <c r="B41"/>
      <c r="C41"/>
      <c r="D41"/>
      <c r="E41"/>
      <c r="F41"/>
    </row>
  </sheetData>
  <mergeCells count="4">
    <mergeCell ref="F1:G2"/>
    <mergeCell ref="F10:G11"/>
    <mergeCell ref="I1:M2"/>
    <mergeCell ref="I18:M19"/>
  </mergeCell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9E65-CB0F-4DA5-A72A-5C098099C6D3}">
  <dimension ref="A1:S101"/>
  <sheetViews>
    <sheetView zoomScale="94" zoomScaleNormal="70" workbookViewId="0">
      <selection activeCell="E16" sqref="E16"/>
    </sheetView>
  </sheetViews>
  <sheetFormatPr defaultRowHeight="15.6"/>
  <cols>
    <col min="1" max="3" width="8.88671875" style="1"/>
    <col min="4" max="4" width="11.77734375" style="1" bestFit="1" customWidth="1"/>
    <col min="5" max="5" width="16.5546875" style="1" bestFit="1" customWidth="1"/>
    <col min="6" max="6" width="14.77734375" style="1" bestFit="1" customWidth="1"/>
    <col min="7" max="7" width="15.5546875" style="1" bestFit="1" customWidth="1"/>
    <col min="8" max="8" width="14.21875" style="1" bestFit="1" customWidth="1"/>
    <col min="9" max="11" width="11.5546875" style="1" bestFit="1" customWidth="1"/>
    <col min="12" max="12" width="10.21875" style="1" bestFit="1" customWidth="1"/>
    <col min="13" max="13" width="13.33203125" style="1" bestFit="1" customWidth="1"/>
    <col min="14" max="16384" width="8.88671875" style="1"/>
  </cols>
  <sheetData>
    <row r="1" spans="1:19" ht="15.6" customHeight="1">
      <c r="A1" s="1" t="s">
        <v>23</v>
      </c>
      <c r="C1" s="51" t="s">
        <v>29</v>
      </c>
      <c r="D1" s="51"/>
      <c r="E1" s="51"/>
      <c r="G1" s="50" t="s">
        <v>164</v>
      </c>
      <c r="H1" s="51"/>
      <c r="I1" s="51"/>
      <c r="K1" s="52" t="s">
        <v>165</v>
      </c>
      <c r="L1" s="52"/>
      <c r="M1" s="52"/>
      <c r="N1" s="52"/>
      <c r="O1" s="52"/>
      <c r="P1" s="52"/>
      <c r="Q1" s="52"/>
      <c r="R1" s="52"/>
      <c r="S1" s="52"/>
    </row>
    <row r="2" spans="1:19">
      <c r="A2" s="1">
        <v>77</v>
      </c>
      <c r="C2" s="51"/>
      <c r="D2" s="51"/>
      <c r="E2" s="51"/>
      <c r="G2" s="51"/>
      <c r="H2" s="51"/>
      <c r="I2" s="51"/>
      <c r="K2" s="52"/>
      <c r="L2" s="52"/>
      <c r="M2" s="52"/>
      <c r="N2" s="52"/>
      <c r="O2" s="52"/>
      <c r="P2" s="52"/>
      <c r="Q2" s="52"/>
      <c r="R2" s="52"/>
      <c r="S2" s="52"/>
    </row>
    <row r="3" spans="1:19">
      <c r="A3" s="1">
        <v>44</v>
      </c>
      <c r="C3" s="56" t="s">
        <v>27</v>
      </c>
      <c r="D3" s="57"/>
      <c r="E3" s="5">
        <f>AVERAGE(A2:A101)</f>
        <v>52.68</v>
      </c>
      <c r="G3" s="2" t="s">
        <v>36</v>
      </c>
      <c r="H3" s="12" t="s">
        <v>37</v>
      </c>
      <c r="I3" s="12" t="s">
        <v>45</v>
      </c>
      <c r="K3" s="12" t="s">
        <v>37</v>
      </c>
      <c r="L3" s="12" t="s">
        <v>45</v>
      </c>
    </row>
    <row r="4" spans="1:19">
      <c r="A4" s="1">
        <v>49</v>
      </c>
      <c r="C4" s="54" t="s">
        <v>24</v>
      </c>
      <c r="D4" s="55"/>
      <c r="E4" s="5">
        <f>MEDIAN(A2:A101)</f>
        <v>51</v>
      </c>
      <c r="G4" s="13" t="s">
        <v>38</v>
      </c>
      <c r="H4" s="14">
        <v>24</v>
      </c>
      <c r="I4" s="14">
        <v>2</v>
      </c>
      <c r="K4" s="14">
        <v>24</v>
      </c>
      <c r="L4" s="14">
        <v>2</v>
      </c>
    </row>
    <row r="5" spans="1:19">
      <c r="A5" s="1">
        <v>33</v>
      </c>
      <c r="C5" s="54" t="s">
        <v>25</v>
      </c>
      <c r="D5" s="55"/>
      <c r="E5" s="5">
        <f>MODE(A2:A101)</f>
        <v>45</v>
      </c>
      <c r="G5" s="5" t="s">
        <v>39</v>
      </c>
      <c r="H5" s="14">
        <v>36</v>
      </c>
      <c r="I5" s="14">
        <v>10</v>
      </c>
      <c r="K5" s="14">
        <v>36</v>
      </c>
      <c r="L5" s="14">
        <v>10</v>
      </c>
    </row>
    <row r="6" spans="1:19">
      <c r="A6" s="1">
        <v>38</v>
      </c>
      <c r="C6" s="54" t="s">
        <v>26</v>
      </c>
      <c r="D6" s="55"/>
      <c r="E6" s="5">
        <f>_xlfn.VAR.P(A2:A101)</f>
        <v>246.3776</v>
      </c>
      <c r="G6" s="5" t="s">
        <v>40</v>
      </c>
      <c r="H6" s="14">
        <v>48</v>
      </c>
      <c r="I6" s="14">
        <v>33</v>
      </c>
      <c r="K6" s="14">
        <v>48</v>
      </c>
      <c r="L6" s="14">
        <v>33</v>
      </c>
    </row>
    <row r="7" spans="1:19">
      <c r="A7" s="1">
        <v>33</v>
      </c>
      <c r="C7" s="54" t="s">
        <v>28</v>
      </c>
      <c r="D7" s="55"/>
      <c r="E7" s="5">
        <f>_xlfn.STDEV.P(A2:A101)</f>
        <v>15.69641997399407</v>
      </c>
      <c r="G7" s="5" t="s">
        <v>41</v>
      </c>
      <c r="H7" s="14">
        <v>60</v>
      </c>
      <c r="I7" s="14">
        <v>25</v>
      </c>
      <c r="K7" s="14">
        <v>60</v>
      </c>
      <c r="L7" s="14">
        <v>25</v>
      </c>
    </row>
    <row r="8" spans="1:19">
      <c r="A8" s="1">
        <v>76</v>
      </c>
      <c r="G8" s="5" t="s">
        <v>42</v>
      </c>
      <c r="H8" s="14">
        <v>72</v>
      </c>
      <c r="I8" s="14">
        <v>18</v>
      </c>
      <c r="K8" s="14">
        <v>72</v>
      </c>
      <c r="L8" s="14">
        <v>18</v>
      </c>
    </row>
    <row r="9" spans="1:19">
      <c r="A9" s="1">
        <v>55</v>
      </c>
      <c r="C9" s="51" t="s">
        <v>35</v>
      </c>
      <c r="D9" s="51"/>
      <c r="E9" s="51"/>
      <c r="G9" s="5" t="s">
        <v>43</v>
      </c>
      <c r="H9" s="14">
        <v>84</v>
      </c>
      <c r="I9" s="14">
        <v>10</v>
      </c>
      <c r="K9" s="14">
        <v>84</v>
      </c>
      <c r="L9" s="14">
        <v>10</v>
      </c>
    </row>
    <row r="10" spans="1:19">
      <c r="A10" s="1">
        <v>68</v>
      </c>
      <c r="C10" s="51"/>
      <c r="D10" s="51"/>
      <c r="E10" s="51"/>
      <c r="G10" s="5" t="s">
        <v>44</v>
      </c>
      <c r="H10" s="14">
        <v>96</v>
      </c>
      <c r="I10" s="14">
        <v>2</v>
      </c>
      <c r="K10" s="14">
        <v>96</v>
      </c>
      <c r="L10" s="14">
        <v>2</v>
      </c>
    </row>
    <row r="11" spans="1:19">
      <c r="A11" s="1">
        <v>39</v>
      </c>
      <c r="C11" s="53" t="s">
        <v>30</v>
      </c>
      <c r="D11" s="53"/>
      <c r="E11" s="5">
        <f>MIN(A2:A101)</f>
        <v>12</v>
      </c>
      <c r="G11" s="5" t="s">
        <v>46</v>
      </c>
      <c r="H11" s="5"/>
      <c r="I11" s="5">
        <v>100</v>
      </c>
    </row>
    <row r="12" spans="1:19">
      <c r="A12" s="1">
        <v>44</v>
      </c>
      <c r="C12" s="53" t="s">
        <v>31</v>
      </c>
      <c r="D12" s="53"/>
      <c r="E12" s="5">
        <f>QUARTILE(A2:A101,1)</f>
        <v>42.5</v>
      </c>
    </row>
    <row r="13" spans="1:19">
      <c r="A13" s="1">
        <v>59</v>
      </c>
      <c r="C13" s="53" t="s">
        <v>24</v>
      </c>
      <c r="D13" s="53"/>
      <c r="E13" s="5">
        <f>QUARTILE(A2:A101,2)</f>
        <v>51</v>
      </c>
      <c r="F13" s="41" t="s">
        <v>32</v>
      </c>
      <c r="G13" s="41" t="s">
        <v>158</v>
      </c>
      <c r="H13" s="41"/>
    </row>
    <row r="14" spans="1:19">
      <c r="A14" s="1">
        <v>36</v>
      </c>
      <c r="C14" s="53" t="s">
        <v>33</v>
      </c>
      <c r="D14" s="53"/>
      <c r="E14" s="5">
        <f>QUARTILE(A2:A101,3)</f>
        <v>63.25</v>
      </c>
      <c r="J14"/>
      <c r="K14"/>
    </row>
    <row r="15" spans="1:19">
      <c r="A15" s="1">
        <v>55</v>
      </c>
      <c r="C15" s="53" t="s">
        <v>34</v>
      </c>
      <c r="D15" s="53"/>
      <c r="E15" s="5">
        <f>MAX(A2:A101)</f>
        <v>92</v>
      </c>
    </row>
    <row r="16" spans="1:19">
      <c r="A16" s="1">
        <v>47</v>
      </c>
    </row>
    <row r="17" spans="1:7">
      <c r="A17" s="1">
        <v>61</v>
      </c>
    </row>
    <row r="18" spans="1:7">
      <c r="A18" s="1">
        <v>53</v>
      </c>
      <c r="E18" s="2" t="s">
        <v>36</v>
      </c>
      <c r="F18" s="12" t="s">
        <v>47</v>
      </c>
      <c r="G18" s="12" t="s">
        <v>45</v>
      </c>
    </row>
    <row r="19" spans="1:7">
      <c r="A19" s="1">
        <v>32</v>
      </c>
      <c r="E19" s="13" t="s">
        <v>49</v>
      </c>
      <c r="F19" s="14">
        <v>6</v>
      </c>
      <c r="G19" s="5">
        <v>0</v>
      </c>
    </row>
    <row r="20" spans="1:7">
      <c r="A20" s="1">
        <v>65</v>
      </c>
      <c r="E20" s="13" t="s">
        <v>38</v>
      </c>
      <c r="F20" s="14">
        <v>18</v>
      </c>
      <c r="G20" s="14">
        <v>2</v>
      </c>
    </row>
    <row r="21" spans="1:7">
      <c r="A21" s="1">
        <v>51</v>
      </c>
      <c r="E21" s="5" t="s">
        <v>39</v>
      </c>
      <c r="F21" s="14">
        <v>30</v>
      </c>
      <c r="G21" s="14">
        <v>10</v>
      </c>
    </row>
    <row r="22" spans="1:7">
      <c r="A22" s="1">
        <v>29</v>
      </c>
      <c r="E22" s="5" t="s">
        <v>40</v>
      </c>
      <c r="F22" s="14">
        <v>42</v>
      </c>
      <c r="G22" s="14">
        <v>33</v>
      </c>
    </row>
    <row r="23" spans="1:7">
      <c r="A23" s="1">
        <v>41</v>
      </c>
      <c r="E23" s="5" t="s">
        <v>41</v>
      </c>
      <c r="F23" s="14">
        <v>54</v>
      </c>
      <c r="G23" s="14">
        <v>25</v>
      </c>
    </row>
    <row r="24" spans="1:7">
      <c r="A24" s="1">
        <v>32</v>
      </c>
      <c r="E24" s="5" t="s">
        <v>42</v>
      </c>
      <c r="F24" s="14">
        <v>66</v>
      </c>
      <c r="G24" s="14">
        <v>18</v>
      </c>
    </row>
    <row r="25" spans="1:7">
      <c r="A25" s="1">
        <v>45</v>
      </c>
      <c r="E25" s="5" t="s">
        <v>43</v>
      </c>
      <c r="F25" s="14">
        <v>78</v>
      </c>
      <c r="G25" s="14">
        <v>10</v>
      </c>
    </row>
    <row r="26" spans="1:7">
      <c r="A26" s="1">
        <v>83</v>
      </c>
      <c r="E26" s="5" t="s">
        <v>44</v>
      </c>
      <c r="F26" s="14">
        <v>90</v>
      </c>
      <c r="G26" s="14">
        <v>2</v>
      </c>
    </row>
    <row r="27" spans="1:7">
      <c r="A27" s="1">
        <v>58</v>
      </c>
      <c r="E27" s="5" t="s">
        <v>48</v>
      </c>
      <c r="F27" s="14">
        <v>102</v>
      </c>
      <c r="G27" s="5">
        <v>0</v>
      </c>
    </row>
    <row r="28" spans="1:7">
      <c r="A28" s="1">
        <v>73</v>
      </c>
      <c r="E28" s="5" t="s">
        <v>46</v>
      </c>
      <c r="F28" s="5"/>
      <c r="G28" s="5">
        <v>100</v>
      </c>
    </row>
    <row r="29" spans="1:7">
      <c r="A29" s="1">
        <v>47</v>
      </c>
    </row>
    <row r="30" spans="1:7">
      <c r="A30" s="1">
        <v>40</v>
      </c>
      <c r="E30" s="2" t="s">
        <v>50</v>
      </c>
      <c r="F30" s="2" t="s">
        <v>52</v>
      </c>
      <c r="G30" s="2" t="s">
        <v>51</v>
      </c>
    </row>
    <row r="31" spans="1:7">
      <c r="A31" s="1">
        <v>26</v>
      </c>
      <c r="E31" s="5">
        <v>12</v>
      </c>
      <c r="F31" s="5">
        <v>0</v>
      </c>
      <c r="G31" s="5">
        <v>100</v>
      </c>
    </row>
    <row r="32" spans="1:7">
      <c r="A32" s="1">
        <v>59</v>
      </c>
      <c r="E32" s="5">
        <v>24</v>
      </c>
      <c r="F32" s="5">
        <v>2</v>
      </c>
      <c r="G32" s="5">
        <v>98</v>
      </c>
    </row>
    <row r="33" spans="1:10">
      <c r="A33" s="1">
        <v>43</v>
      </c>
      <c r="E33" s="5">
        <v>36</v>
      </c>
      <c r="F33" s="5">
        <v>12</v>
      </c>
      <c r="G33" s="5">
        <v>88</v>
      </c>
    </row>
    <row r="34" spans="1:10">
      <c r="A34" s="1">
        <v>66</v>
      </c>
      <c r="E34" s="5">
        <v>48</v>
      </c>
      <c r="F34" s="5">
        <v>45</v>
      </c>
      <c r="G34" s="5">
        <v>55</v>
      </c>
    </row>
    <row r="35" spans="1:10">
      <c r="A35" s="1">
        <v>44</v>
      </c>
      <c r="E35" s="5">
        <v>60</v>
      </c>
      <c r="F35" s="5">
        <v>70</v>
      </c>
      <c r="G35" s="5">
        <v>30</v>
      </c>
    </row>
    <row r="36" spans="1:10">
      <c r="A36" s="1">
        <v>41</v>
      </c>
      <c r="E36" s="5">
        <v>72</v>
      </c>
      <c r="F36" s="5">
        <v>88</v>
      </c>
      <c r="G36" s="5">
        <v>12</v>
      </c>
    </row>
    <row r="37" spans="1:10">
      <c r="A37" s="1">
        <v>25</v>
      </c>
      <c r="E37" s="5">
        <v>84</v>
      </c>
      <c r="F37" s="5">
        <v>98</v>
      </c>
      <c r="G37" s="5">
        <v>2</v>
      </c>
    </row>
    <row r="38" spans="1:10">
      <c r="A38" s="1">
        <v>39</v>
      </c>
      <c r="E38" s="5">
        <v>96</v>
      </c>
      <c r="F38" s="5">
        <v>100</v>
      </c>
      <c r="G38" s="5">
        <v>0</v>
      </c>
    </row>
    <row r="39" spans="1:10">
      <c r="A39" s="1">
        <v>72</v>
      </c>
    </row>
    <row r="40" spans="1:10">
      <c r="A40" s="1">
        <v>37</v>
      </c>
    </row>
    <row r="41" spans="1:10">
      <c r="A41" s="1">
        <v>55</v>
      </c>
    </row>
    <row r="42" spans="1:10">
      <c r="A42" s="1">
        <v>34</v>
      </c>
    </row>
    <row r="43" spans="1:10">
      <c r="A43" s="1">
        <v>47</v>
      </c>
    </row>
    <row r="44" spans="1:10">
      <c r="A44" s="1">
        <v>66</v>
      </c>
    </row>
    <row r="45" spans="1:10">
      <c r="A45" s="1">
        <v>53</v>
      </c>
      <c r="I45"/>
    </row>
    <row r="46" spans="1:10">
      <c r="A46" s="1">
        <v>55</v>
      </c>
      <c r="I46"/>
      <c r="J46"/>
    </row>
    <row r="47" spans="1:10">
      <c r="A47" s="1">
        <v>58</v>
      </c>
    </row>
    <row r="48" spans="1:10">
      <c r="A48" s="1">
        <v>49</v>
      </c>
    </row>
    <row r="49" spans="1:10">
      <c r="A49" s="1">
        <v>45</v>
      </c>
    </row>
    <row r="50" spans="1:10">
      <c r="A50" s="1">
        <v>61</v>
      </c>
    </row>
    <row r="51" spans="1:10">
      <c r="A51" s="1">
        <v>41</v>
      </c>
    </row>
    <row r="52" spans="1:10">
      <c r="A52" s="1">
        <v>55</v>
      </c>
    </row>
    <row r="53" spans="1:10">
      <c r="A53" s="1">
        <v>92</v>
      </c>
    </row>
    <row r="54" spans="1:10">
      <c r="A54" s="1">
        <v>83</v>
      </c>
    </row>
    <row r="55" spans="1:10">
      <c r="A55" s="1">
        <v>77</v>
      </c>
    </row>
    <row r="56" spans="1:10">
      <c r="A56" s="1">
        <v>45</v>
      </c>
    </row>
    <row r="57" spans="1:10">
      <c r="A57" s="1">
        <v>62</v>
      </c>
      <c r="E57" s="48" t="s">
        <v>166</v>
      </c>
      <c r="F57" s="48"/>
      <c r="G57" s="48"/>
      <c r="H57" s="48"/>
    </row>
    <row r="58" spans="1:10">
      <c r="A58" s="1">
        <v>45</v>
      </c>
    </row>
    <row r="59" spans="1:10">
      <c r="A59" s="1">
        <v>36</v>
      </c>
    </row>
    <row r="60" spans="1:10">
      <c r="A60" s="1">
        <v>78</v>
      </c>
    </row>
    <row r="61" spans="1:10">
      <c r="A61" s="1">
        <v>48</v>
      </c>
      <c r="H61" s="47" t="s">
        <v>159</v>
      </c>
      <c r="I61" s="47"/>
    </row>
    <row r="62" spans="1:10">
      <c r="A62" s="1">
        <v>54</v>
      </c>
      <c r="H62" s="1" t="s">
        <v>160</v>
      </c>
      <c r="J62" s="1">
        <f>E14-E12</f>
        <v>20.75</v>
      </c>
    </row>
    <row r="63" spans="1:10">
      <c r="A63" s="1">
        <v>50</v>
      </c>
      <c r="H63" s="1" t="s">
        <v>162</v>
      </c>
      <c r="J63" s="1">
        <f>E12-(1.5*J62)</f>
        <v>11.375</v>
      </c>
    </row>
    <row r="64" spans="1:10">
      <c r="A64" s="1">
        <v>51</v>
      </c>
      <c r="H64" s="1" t="s">
        <v>161</v>
      </c>
      <c r="J64" s="1">
        <f>E14+(1.5*J62)</f>
        <v>94.375</v>
      </c>
    </row>
    <row r="65" spans="1:17">
      <c r="A65" s="1">
        <v>66</v>
      </c>
      <c r="H65" s="58" t="s">
        <v>163</v>
      </c>
      <c r="I65" s="58"/>
      <c r="J65" s="58"/>
      <c r="K65" s="58"/>
      <c r="L65" s="58"/>
      <c r="M65" s="58"/>
      <c r="N65" s="58"/>
      <c r="O65" s="58"/>
      <c r="P65" s="58"/>
      <c r="Q65" s="58"/>
    </row>
    <row r="66" spans="1:17">
      <c r="A66" s="1">
        <v>80</v>
      </c>
      <c r="H66" s="58"/>
      <c r="I66" s="58"/>
      <c r="J66" s="58"/>
      <c r="K66" s="58"/>
      <c r="L66" s="58"/>
      <c r="M66" s="58"/>
      <c r="N66" s="58"/>
      <c r="O66" s="58"/>
      <c r="P66" s="58"/>
      <c r="Q66" s="58"/>
    </row>
    <row r="67" spans="1:17">
      <c r="A67" s="1">
        <v>73</v>
      </c>
    </row>
    <row r="68" spans="1:17">
      <c r="A68" s="1">
        <v>57</v>
      </c>
    </row>
    <row r="69" spans="1:17">
      <c r="A69" s="1">
        <v>61</v>
      </c>
    </row>
    <row r="70" spans="1:17">
      <c r="A70" s="1">
        <v>56</v>
      </c>
    </row>
    <row r="71" spans="1:17">
      <c r="A71" s="1">
        <v>50</v>
      </c>
    </row>
    <row r="72" spans="1:17">
      <c r="A72" s="1">
        <v>45</v>
      </c>
    </row>
    <row r="73" spans="1:17">
      <c r="A73" s="1">
        <v>82</v>
      </c>
    </row>
    <row r="74" spans="1:17">
      <c r="A74" s="1">
        <v>71</v>
      </c>
      <c r="D74" s="49" t="s">
        <v>167</v>
      </c>
      <c r="E74" s="49"/>
      <c r="F74" s="49"/>
      <c r="G74" s="49"/>
      <c r="H74" s="49"/>
      <c r="I74" s="49"/>
      <c r="J74" s="49"/>
      <c r="K74" s="49"/>
      <c r="L74" s="49"/>
      <c r="M74" s="49"/>
      <c r="N74" s="49"/>
    </row>
    <row r="75" spans="1:17">
      <c r="A75" s="1">
        <v>48</v>
      </c>
      <c r="D75" s="42"/>
    </row>
    <row r="76" spans="1:17">
      <c r="A76" s="1">
        <v>46</v>
      </c>
      <c r="D76" s="2" t="s">
        <v>36</v>
      </c>
      <c r="E76" s="12" t="s">
        <v>53</v>
      </c>
      <c r="F76" s="12" t="s">
        <v>54</v>
      </c>
      <c r="G76" s="8" t="s">
        <v>55</v>
      </c>
      <c r="H76" s="8" t="s">
        <v>56</v>
      </c>
      <c r="I76" s="5" t="s">
        <v>175</v>
      </c>
      <c r="J76" s="5" t="s">
        <v>179</v>
      </c>
      <c r="K76" s="5" t="s">
        <v>180</v>
      </c>
      <c r="L76" s="44" t="s">
        <v>27</v>
      </c>
      <c r="M76" s="44">
        <f xml:space="preserve"> H84/F84</f>
        <v>52.2</v>
      </c>
      <c r="N76" s="1">
        <f>SUMPRODUCT(E77:E83,F77:F83)/SUM(F77:F83)</f>
        <v>52.2</v>
      </c>
    </row>
    <row r="77" spans="1:17">
      <c r="A77" s="1">
        <v>69</v>
      </c>
      <c r="D77" s="13" t="s">
        <v>38</v>
      </c>
      <c r="E77" s="14">
        <v>18</v>
      </c>
      <c r="F77" s="14">
        <v>2</v>
      </c>
      <c r="G77" s="5">
        <v>2</v>
      </c>
      <c r="H77" s="5">
        <f>F77*E77</f>
        <v>36</v>
      </c>
      <c r="I77" s="5">
        <f>F77*(E77-52.2)^2</f>
        <v>2339.2800000000002</v>
      </c>
      <c r="J77" s="5">
        <f>F77*(E77-52.2)^3</f>
        <v>-80003.376000000018</v>
      </c>
      <c r="K77" s="5">
        <f>F77*(E77-52.2)^4</f>
        <v>2736115.4592000004</v>
      </c>
      <c r="L77" s="44" t="s">
        <v>24</v>
      </c>
      <c r="M77" s="44">
        <f>48+((50-45)/25)*12</f>
        <v>50.4</v>
      </c>
    </row>
    <row r="78" spans="1:17">
      <c r="A78" s="1">
        <v>38</v>
      </c>
      <c r="D78" s="5" t="s">
        <v>39</v>
      </c>
      <c r="E78" s="14">
        <v>30</v>
      </c>
      <c r="F78" s="14">
        <v>10</v>
      </c>
      <c r="G78" s="5">
        <v>12</v>
      </c>
      <c r="H78" s="5">
        <f t="shared" ref="H78:H83" si="0">F78*E78</f>
        <v>300</v>
      </c>
      <c r="I78" s="5">
        <f t="shared" ref="I78:I83" si="1">F78*(E78-52.2)^2</f>
        <v>4928.4000000000015</v>
      </c>
      <c r="J78" s="5">
        <f t="shared" ref="J78:J83" si="2">F78*(E78-52.2)^3</f>
        <v>-109410.48000000004</v>
      </c>
      <c r="K78" s="5">
        <f t="shared" ref="K78:K83" si="3">F78*(E78-52.2)^4</f>
        <v>2428912.6560000014</v>
      </c>
      <c r="L78" s="44" t="s">
        <v>25</v>
      </c>
      <c r="M78" s="44">
        <f xml:space="preserve"> 36+((F79-F78)/((F79-F78)+(F79-F80)))*12</f>
        <v>44.903225806451616</v>
      </c>
      <c r="N78" s="1" t="s">
        <v>57</v>
      </c>
    </row>
    <row r="79" spans="1:17">
      <c r="A79" s="1">
        <v>72</v>
      </c>
      <c r="D79" s="17" t="s">
        <v>40</v>
      </c>
      <c r="E79" s="18">
        <v>42</v>
      </c>
      <c r="F79" s="18">
        <v>33</v>
      </c>
      <c r="G79" s="17">
        <v>45</v>
      </c>
      <c r="H79" s="17">
        <f t="shared" si="0"/>
        <v>1386</v>
      </c>
      <c r="I79" s="5">
        <f t="shared" si="1"/>
        <v>3433.320000000002</v>
      </c>
      <c r="J79" s="5">
        <f t="shared" si="2"/>
        <v>-35019.864000000031</v>
      </c>
      <c r="K79" s="5">
        <f t="shared" si="3"/>
        <v>357202.61280000047</v>
      </c>
      <c r="L79" s="44" t="s">
        <v>172</v>
      </c>
      <c r="M79" s="44">
        <f>K84/(100*(M82^4))</f>
        <v>2.609897739021509</v>
      </c>
    </row>
    <row r="80" spans="1:17">
      <c r="A80" s="1">
        <v>56</v>
      </c>
      <c r="D80" s="15" t="s">
        <v>41</v>
      </c>
      <c r="E80" s="16">
        <v>54</v>
      </c>
      <c r="F80" s="16">
        <v>25</v>
      </c>
      <c r="G80" s="15">
        <v>70</v>
      </c>
      <c r="H80" s="15">
        <f t="shared" si="0"/>
        <v>1350</v>
      </c>
      <c r="I80" s="5">
        <f t="shared" si="1"/>
        <v>80.999999999999744</v>
      </c>
      <c r="J80" s="5">
        <f t="shared" si="2"/>
        <v>145.7999999999993</v>
      </c>
      <c r="K80" s="5">
        <f t="shared" si="3"/>
        <v>262.43999999999829</v>
      </c>
      <c r="L80" s="44" t="s">
        <v>173</v>
      </c>
      <c r="M80" s="44">
        <f>J84 /(F84*M82^3)</f>
        <v>0.28125245098423668</v>
      </c>
    </row>
    <row r="81" spans="1:15">
      <c r="A81" s="1">
        <v>64</v>
      </c>
      <c r="D81" s="5" t="s">
        <v>42</v>
      </c>
      <c r="E81" s="14">
        <v>66</v>
      </c>
      <c r="F81" s="14">
        <v>18</v>
      </c>
      <c r="G81" s="5">
        <v>88</v>
      </c>
      <c r="H81" s="5">
        <f t="shared" si="0"/>
        <v>1188</v>
      </c>
      <c r="I81" s="5">
        <f t="shared" si="1"/>
        <v>3427.9199999999983</v>
      </c>
      <c r="J81" s="5">
        <f t="shared" si="2"/>
        <v>47305.295999999973</v>
      </c>
      <c r="K81" s="5">
        <f t="shared" si="3"/>
        <v>652813.08479999937</v>
      </c>
      <c r="L81" s="44"/>
      <c r="M81" s="44"/>
    </row>
    <row r="82" spans="1:15">
      <c r="A82" s="1">
        <v>38</v>
      </c>
      <c r="D82" s="5" t="s">
        <v>43</v>
      </c>
      <c r="E82" s="14">
        <v>78</v>
      </c>
      <c r="F82" s="14">
        <v>10</v>
      </c>
      <c r="G82" s="5">
        <v>98</v>
      </c>
      <c r="H82" s="5">
        <f t="shared" si="0"/>
        <v>780</v>
      </c>
      <c r="I82" s="5">
        <f t="shared" si="1"/>
        <v>6656.3999999999987</v>
      </c>
      <c r="J82" s="5">
        <f t="shared" si="2"/>
        <v>171735.11999999994</v>
      </c>
      <c r="K82" s="5">
        <f t="shared" si="3"/>
        <v>4430766.095999999</v>
      </c>
      <c r="L82" s="44" t="s">
        <v>178</v>
      </c>
      <c r="M82" s="44">
        <f>SQRT(I84/F84)</f>
        <v>15.402597183592123</v>
      </c>
    </row>
    <row r="83" spans="1:15">
      <c r="A83" s="1">
        <v>45</v>
      </c>
      <c r="D83" s="5" t="s">
        <v>44</v>
      </c>
      <c r="E83" s="14">
        <v>90</v>
      </c>
      <c r="F83" s="14">
        <v>2</v>
      </c>
      <c r="G83" s="5">
        <v>100</v>
      </c>
      <c r="H83" s="5">
        <f t="shared" si="0"/>
        <v>180</v>
      </c>
      <c r="I83" s="5">
        <f t="shared" si="1"/>
        <v>2857.6799999999994</v>
      </c>
      <c r="J83" s="5">
        <f>F83*(E83-52.2)^3</f>
        <v>108020.30399999997</v>
      </c>
      <c r="K83" s="5">
        <f t="shared" si="3"/>
        <v>4083167.4911999982</v>
      </c>
      <c r="L83" s="44"/>
      <c r="M83" s="44"/>
    </row>
    <row r="84" spans="1:15">
      <c r="A84" s="1">
        <v>51</v>
      </c>
      <c r="D84" s="5" t="s">
        <v>46</v>
      </c>
      <c r="E84" s="5"/>
      <c r="F84" s="5">
        <v>100</v>
      </c>
      <c r="G84" s="5"/>
      <c r="H84" s="5">
        <f>SUM(H77:H83)</f>
        <v>5220</v>
      </c>
      <c r="I84" s="5">
        <f>SUM(I77:I83)</f>
        <v>23724</v>
      </c>
      <c r="J84" s="5">
        <f t="shared" ref="J84" si="4">SUM(J77:J83)</f>
        <v>102772.79999999978</v>
      </c>
      <c r="K84" s="5">
        <f>SUM(K77:K83)</f>
        <v>14689239.839999998</v>
      </c>
      <c r="O84" s="1" t="s">
        <v>168</v>
      </c>
    </row>
    <row r="85" spans="1:15">
      <c r="A85" s="1">
        <v>44</v>
      </c>
      <c r="O85" s="1" t="s">
        <v>169</v>
      </c>
    </row>
    <row r="86" spans="1:15">
      <c r="A86" s="1">
        <v>41</v>
      </c>
    </row>
    <row r="87" spans="1:15">
      <c r="A87" s="1">
        <v>68</v>
      </c>
    </row>
    <row r="88" spans="1:15">
      <c r="A88" s="1">
        <v>45</v>
      </c>
    </row>
    <row r="89" spans="1:15">
      <c r="A89" s="1">
        <v>92</v>
      </c>
    </row>
    <row r="90" spans="1:15">
      <c r="A90" s="1">
        <v>43</v>
      </c>
    </row>
    <row r="91" spans="1:15">
      <c r="A91" s="1">
        <v>12</v>
      </c>
    </row>
    <row r="92" spans="1:15">
      <c r="A92" s="1">
        <v>37</v>
      </c>
    </row>
    <row r="93" spans="1:15">
      <c r="A93" s="1">
        <v>16</v>
      </c>
    </row>
    <row r="94" spans="1:15">
      <c r="A94" s="1">
        <v>44</v>
      </c>
    </row>
    <row r="95" spans="1:15">
      <c r="A95" s="1">
        <v>57</v>
      </c>
    </row>
    <row r="96" spans="1:15">
      <c r="A96" s="1">
        <v>63</v>
      </c>
    </row>
    <row r="97" spans="1:1">
      <c r="A97" s="1">
        <v>71</v>
      </c>
    </row>
    <row r="98" spans="1:1">
      <c r="A98" s="1">
        <v>40</v>
      </c>
    </row>
    <row r="99" spans="1:1">
      <c r="A99" s="1">
        <v>64</v>
      </c>
    </row>
    <row r="100" spans="1:1">
      <c r="A100" s="1">
        <v>57</v>
      </c>
    </row>
    <row r="101" spans="1:1">
      <c r="A101" s="1">
        <v>51</v>
      </c>
    </row>
  </sheetData>
  <sortState xmlns:xlrd2="http://schemas.microsoft.com/office/spreadsheetml/2017/richdata2" ref="H4:H10">
    <sortCondition ref="H4"/>
  </sortState>
  <mergeCells count="18">
    <mergeCell ref="C14:D14"/>
    <mergeCell ref="H65:Q66"/>
    <mergeCell ref="H61:I61"/>
    <mergeCell ref="E57:H57"/>
    <mergeCell ref="D74:N74"/>
    <mergeCell ref="G1:I2"/>
    <mergeCell ref="K1:S2"/>
    <mergeCell ref="C15:D15"/>
    <mergeCell ref="C11:D11"/>
    <mergeCell ref="C6:D6"/>
    <mergeCell ref="C5:D5"/>
    <mergeCell ref="C4:D4"/>
    <mergeCell ref="C3:D3"/>
    <mergeCell ref="C1:E2"/>
    <mergeCell ref="C7:D7"/>
    <mergeCell ref="C9:E10"/>
    <mergeCell ref="C12:D12"/>
    <mergeCell ref="C13:D13"/>
  </mergeCells>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04F71-0540-4FA4-93D9-B0C16AB817D9}">
  <dimension ref="A1:N51"/>
  <sheetViews>
    <sheetView topLeftCell="B1" workbookViewId="0">
      <selection activeCell="E3" sqref="E3"/>
    </sheetView>
  </sheetViews>
  <sheetFormatPr defaultRowHeight="14.4"/>
  <cols>
    <col min="2" max="2" width="13.33203125" bestFit="1" customWidth="1"/>
    <col min="4" max="4" width="11.44140625" bestFit="1" customWidth="1"/>
    <col min="8" max="8" width="8.109375" bestFit="1" customWidth="1"/>
    <col min="10" max="10" width="10.88671875" bestFit="1" customWidth="1"/>
  </cols>
  <sheetData>
    <row r="1" spans="1:10" ht="15.6">
      <c r="A1" s="19" t="s">
        <v>23</v>
      </c>
      <c r="B1" s="19" t="s">
        <v>61</v>
      </c>
    </row>
    <row r="2" spans="1:10">
      <c r="A2" s="20">
        <v>89</v>
      </c>
      <c r="B2" s="20">
        <v>89</v>
      </c>
      <c r="D2" t="s">
        <v>29</v>
      </c>
      <c r="I2" t="s">
        <v>78</v>
      </c>
    </row>
    <row r="3" spans="1:10">
      <c r="A3" s="20">
        <v>89</v>
      </c>
      <c r="B3" s="20">
        <v>89</v>
      </c>
      <c r="D3" s="14" t="s">
        <v>58</v>
      </c>
      <c r="E3" s="14">
        <f>AVERAGE(A2:A51)</f>
        <v>104.56</v>
      </c>
      <c r="I3" s="14" t="s">
        <v>36</v>
      </c>
      <c r="J3" t="s">
        <v>77</v>
      </c>
    </row>
    <row r="4" spans="1:10">
      <c r="A4" s="20">
        <v>87</v>
      </c>
      <c r="B4" s="20">
        <v>87</v>
      </c>
      <c r="D4" s="14" t="s">
        <v>60</v>
      </c>
      <c r="E4" s="14">
        <f>MEDIAN(A2:A51)</f>
        <v>66</v>
      </c>
      <c r="I4" s="14" t="s">
        <v>70</v>
      </c>
      <c r="J4">
        <f>F18/50</f>
        <v>0.1</v>
      </c>
    </row>
    <row r="5" spans="1:10" ht="15" thickBot="1">
      <c r="A5" s="20">
        <v>86</v>
      </c>
      <c r="B5" s="20">
        <v>86</v>
      </c>
      <c r="D5" s="23" t="s">
        <v>59</v>
      </c>
      <c r="E5" s="23" cm="1">
        <f t="array" ref="E5">_xlfn.MODE.MULT(B2:B51)</f>
        <v>73</v>
      </c>
      <c r="I5" s="14" t="s">
        <v>71</v>
      </c>
      <c r="J5">
        <f t="shared" ref="J5:J9" si="0">F19/50</f>
        <v>0.14000000000000001</v>
      </c>
    </row>
    <row r="6" spans="1:10">
      <c r="A6" s="20">
        <v>86</v>
      </c>
      <c r="B6" s="20">
        <v>86</v>
      </c>
      <c r="D6" t="s">
        <v>68</v>
      </c>
      <c r="I6" s="14" t="s">
        <v>72</v>
      </c>
      <c r="J6">
        <f t="shared" si="0"/>
        <v>0.18</v>
      </c>
    </row>
    <row r="7" spans="1:10">
      <c r="A7" s="20">
        <v>85</v>
      </c>
      <c r="B7" s="20">
        <v>85</v>
      </c>
      <c r="D7" s="14" t="s">
        <v>58</v>
      </c>
      <c r="E7" s="14">
        <f>AVERAGE(B2:B51)</f>
        <v>65.260000000000005</v>
      </c>
      <c r="I7" s="16" t="s">
        <v>73</v>
      </c>
      <c r="J7">
        <f t="shared" si="0"/>
        <v>0.2</v>
      </c>
    </row>
    <row r="8" spans="1:10">
      <c r="A8" s="20">
        <v>83</v>
      </c>
      <c r="B8" s="20">
        <v>83</v>
      </c>
      <c r="D8" s="14" t="s">
        <v>60</v>
      </c>
      <c r="E8" s="14">
        <f>MEDIAN(B2:B51)</f>
        <v>65.5</v>
      </c>
      <c r="I8" s="14" t="s">
        <v>74</v>
      </c>
      <c r="J8">
        <f t="shared" si="0"/>
        <v>0.18</v>
      </c>
    </row>
    <row r="9" spans="1:10" ht="15" thickBot="1">
      <c r="A9" s="20">
        <v>83</v>
      </c>
      <c r="B9" s="20">
        <v>83</v>
      </c>
      <c r="D9" s="23" t="s">
        <v>59</v>
      </c>
      <c r="E9" s="23" cm="1">
        <f t="array" ref="E9">_xlfn.MODE.MULT(B2:B51)</f>
        <v>73</v>
      </c>
      <c r="I9" s="14" t="s">
        <v>75</v>
      </c>
      <c r="J9">
        <f t="shared" si="0"/>
        <v>0.2</v>
      </c>
    </row>
    <row r="10" spans="1:10">
      <c r="A10" s="20">
        <v>82</v>
      </c>
      <c r="B10" s="20">
        <v>82</v>
      </c>
      <c r="D10" t="s">
        <v>69</v>
      </c>
    </row>
    <row r="11" spans="1:10">
      <c r="A11" s="20">
        <v>81</v>
      </c>
      <c r="B11" s="20">
        <v>81</v>
      </c>
      <c r="D11" s="14" t="s">
        <v>62</v>
      </c>
      <c r="E11" s="14">
        <f>MIN(B2:B51)</f>
        <v>35</v>
      </c>
    </row>
    <row r="12" spans="1:10">
      <c r="A12" s="20">
        <v>80</v>
      </c>
      <c r="B12" s="20">
        <v>80</v>
      </c>
      <c r="D12" s="14" t="s">
        <v>63</v>
      </c>
      <c r="E12" s="14">
        <f>MAX(B2:B51)</f>
        <v>89</v>
      </c>
    </row>
    <row r="13" spans="1:10">
      <c r="A13" s="20">
        <v>78</v>
      </c>
      <c r="B13" s="20">
        <v>78</v>
      </c>
      <c r="D13" s="14" t="s">
        <v>64</v>
      </c>
      <c r="E13" s="14">
        <f>E12-E11</f>
        <v>54</v>
      </c>
    </row>
    <row r="14" spans="1:10">
      <c r="A14" s="20">
        <v>78</v>
      </c>
      <c r="B14" s="20">
        <v>78</v>
      </c>
      <c r="D14" s="22" t="s">
        <v>65</v>
      </c>
      <c r="E14" s="22">
        <f>1+ 3.322*LOG10(50)</f>
        <v>6.6439783544042541</v>
      </c>
      <c r="F14" s="22" t="s">
        <v>66</v>
      </c>
      <c r="G14" s="25">
        <v>6</v>
      </c>
    </row>
    <row r="15" spans="1:10" ht="15" thickBot="1">
      <c r="A15" s="20">
        <v>77</v>
      </c>
      <c r="B15" s="20">
        <v>77</v>
      </c>
      <c r="D15" s="23" t="s">
        <v>67</v>
      </c>
      <c r="E15" s="23">
        <f>E13/G14</f>
        <v>9</v>
      </c>
      <c r="F15" s="24"/>
      <c r="G15" s="24"/>
    </row>
    <row r="16" spans="1:10">
      <c r="A16" s="20">
        <v>76</v>
      </c>
      <c r="B16" s="20">
        <v>76</v>
      </c>
    </row>
    <row r="17" spans="1:14">
      <c r="A17" s="20">
        <v>73</v>
      </c>
      <c r="B17" s="20">
        <v>73</v>
      </c>
      <c r="D17" s="14" t="s">
        <v>36</v>
      </c>
      <c r="E17" s="21" t="s">
        <v>37</v>
      </c>
      <c r="F17" s="21" t="s">
        <v>45</v>
      </c>
      <c r="G17" s="14" t="s">
        <v>47</v>
      </c>
      <c r="H17" s="14" t="s">
        <v>55</v>
      </c>
      <c r="I17" s="14" t="s">
        <v>79</v>
      </c>
      <c r="J17" s="14" t="s">
        <v>175</v>
      </c>
    </row>
    <row r="18" spans="1:14">
      <c r="A18" s="20">
        <v>73</v>
      </c>
      <c r="B18" s="20">
        <v>73</v>
      </c>
      <c r="D18" s="14" t="s">
        <v>70</v>
      </c>
      <c r="E18" s="14">
        <v>44</v>
      </c>
      <c r="F18" s="14">
        <v>5</v>
      </c>
      <c r="G18" s="14">
        <f>G19-9</f>
        <v>39.5</v>
      </c>
      <c r="H18" s="14">
        <v>5</v>
      </c>
      <c r="I18" s="14">
        <f>F18*G18</f>
        <v>197.5</v>
      </c>
      <c r="J18" s="14">
        <f>F18*(G18-64.88)^2</f>
        <v>3220.7219999999988</v>
      </c>
    </row>
    <row r="19" spans="1:14">
      <c r="A19" s="20">
        <v>73</v>
      </c>
      <c r="B19" s="20">
        <v>73</v>
      </c>
      <c r="D19" s="14" t="s">
        <v>71</v>
      </c>
      <c r="E19" s="14">
        <v>53</v>
      </c>
      <c r="F19" s="14">
        <v>7</v>
      </c>
      <c r="G19" s="14">
        <f>(E19+E18)/2</f>
        <v>48.5</v>
      </c>
      <c r="H19" s="14">
        <v>12</v>
      </c>
      <c r="I19" s="14">
        <f t="shared" ref="I19:I23" si="1">F19*G19</f>
        <v>339.5</v>
      </c>
      <c r="J19" s="14">
        <f t="shared" ref="J19:J23" si="2">F19*(G19-64.88)^2</f>
        <v>1878.130799999999</v>
      </c>
    </row>
    <row r="20" spans="1:14">
      <c r="A20" s="20">
        <v>72</v>
      </c>
      <c r="B20" s="20">
        <v>72</v>
      </c>
      <c r="D20" s="14" t="s">
        <v>72</v>
      </c>
      <c r="E20" s="14">
        <v>62</v>
      </c>
      <c r="F20" s="14">
        <v>9</v>
      </c>
      <c r="G20" s="14">
        <f>(E20+E19)/2</f>
        <v>57.5</v>
      </c>
      <c r="H20" s="14">
        <v>21</v>
      </c>
      <c r="I20" s="14">
        <f t="shared" si="1"/>
        <v>517.5</v>
      </c>
      <c r="J20" s="14">
        <f t="shared" si="2"/>
        <v>490.17959999999943</v>
      </c>
    </row>
    <row r="21" spans="1:14">
      <c r="A21" s="20">
        <v>69</v>
      </c>
      <c r="B21" s="20">
        <v>69</v>
      </c>
      <c r="D21" s="16" t="s">
        <v>73</v>
      </c>
      <c r="E21" s="16">
        <v>71</v>
      </c>
      <c r="F21" s="16">
        <v>10</v>
      </c>
      <c r="G21" s="16">
        <f>(E21+E20)/2</f>
        <v>66.5</v>
      </c>
      <c r="H21" s="16">
        <v>31</v>
      </c>
      <c r="I21" s="16">
        <f t="shared" si="1"/>
        <v>665</v>
      </c>
      <c r="J21" s="14">
        <f>F21*(G21-64.88)^2</f>
        <v>26.244000000000149</v>
      </c>
    </row>
    <row r="22" spans="1:14">
      <c r="A22" s="20">
        <v>69</v>
      </c>
      <c r="B22" s="20">
        <v>69</v>
      </c>
      <c r="D22" s="14" t="s">
        <v>74</v>
      </c>
      <c r="E22" s="14">
        <v>80</v>
      </c>
      <c r="F22" s="14">
        <v>9</v>
      </c>
      <c r="G22" s="14">
        <f>(E22+E21)/2</f>
        <v>75.5</v>
      </c>
      <c r="H22" s="14">
        <v>40</v>
      </c>
      <c r="I22" s="14">
        <f t="shared" si="1"/>
        <v>679.5</v>
      </c>
      <c r="J22" s="14">
        <f t="shared" si="2"/>
        <v>1015.0596000000008</v>
      </c>
      <c r="L22" s="21" t="s">
        <v>37</v>
      </c>
      <c r="M22" s="21" t="s">
        <v>45</v>
      </c>
      <c r="N22" t="s">
        <v>181</v>
      </c>
    </row>
    <row r="23" spans="1:14">
      <c r="A23" s="20">
        <v>68</v>
      </c>
      <c r="B23" s="20">
        <v>68</v>
      </c>
      <c r="D23" s="14" t="s">
        <v>75</v>
      </c>
      <c r="E23" s="14">
        <v>89</v>
      </c>
      <c r="F23" s="14">
        <v>10</v>
      </c>
      <c r="G23" s="14">
        <f>(E23+E22)/2</f>
        <v>84.5</v>
      </c>
      <c r="H23" s="14">
        <v>50</v>
      </c>
      <c r="I23" s="14">
        <f t="shared" si="1"/>
        <v>845</v>
      </c>
      <c r="J23" s="14">
        <f t="shared" si="2"/>
        <v>3849.4440000000022</v>
      </c>
      <c r="L23" s="14">
        <v>44</v>
      </c>
      <c r="M23" s="14">
        <v>5</v>
      </c>
      <c r="N23">
        <f>M23/50</f>
        <v>0.1</v>
      </c>
    </row>
    <row r="24" spans="1:14">
      <c r="A24" s="20">
        <v>67</v>
      </c>
      <c r="B24" s="20">
        <v>67</v>
      </c>
      <c r="D24" s="14"/>
      <c r="E24" s="14" t="s">
        <v>76</v>
      </c>
      <c r="F24" s="14">
        <f>SUM(F18:F23)</f>
        <v>50</v>
      </c>
      <c r="G24" s="14"/>
      <c r="H24" s="14"/>
      <c r="I24" s="14">
        <f>SUM(I18:I23)</f>
        <v>3244</v>
      </c>
      <c r="J24" s="14">
        <f>SUM(J18:J23)</f>
        <v>10479.780000000001</v>
      </c>
      <c r="L24" s="14">
        <v>53</v>
      </c>
      <c r="M24" s="14">
        <v>7</v>
      </c>
      <c r="N24">
        <f t="shared" ref="N24:N28" si="3">M24/50</f>
        <v>0.14000000000000001</v>
      </c>
    </row>
    <row r="25" spans="1:14">
      <c r="A25" s="20">
        <v>66</v>
      </c>
      <c r="B25" s="20">
        <v>66</v>
      </c>
      <c r="D25" s="43" t="s">
        <v>116</v>
      </c>
      <c r="L25" s="14">
        <v>62</v>
      </c>
      <c r="M25" s="14">
        <v>9</v>
      </c>
      <c r="N25">
        <f t="shared" si="3"/>
        <v>0.18</v>
      </c>
    </row>
    <row r="26" spans="1:14">
      <c r="A26" s="20">
        <v>66</v>
      </c>
      <c r="B26" s="20">
        <v>66</v>
      </c>
      <c r="E26" t="s">
        <v>58</v>
      </c>
      <c r="F26">
        <f>I24/F24</f>
        <v>64.88</v>
      </c>
      <c r="G26">
        <f>SUMPRODUCT(G18:G23,F18:F23)/50</f>
        <v>64.88</v>
      </c>
      <c r="H26" t="s">
        <v>174</v>
      </c>
      <c r="L26" s="16">
        <v>71</v>
      </c>
      <c r="M26" s="16">
        <v>10</v>
      </c>
      <c r="N26">
        <f t="shared" si="3"/>
        <v>0.2</v>
      </c>
    </row>
    <row r="27" spans="1:14">
      <c r="A27" s="20">
        <v>65</v>
      </c>
      <c r="B27" s="20">
        <v>65</v>
      </c>
      <c r="E27" t="s">
        <v>60</v>
      </c>
      <c r="F27">
        <f xml:space="preserve"> 62 + ((25-21)/10)*9</f>
        <v>65.599999999999994</v>
      </c>
      <c r="L27" s="14">
        <v>80</v>
      </c>
      <c r="M27" s="14">
        <v>9</v>
      </c>
      <c r="N27">
        <f t="shared" si="3"/>
        <v>0.18</v>
      </c>
    </row>
    <row r="28" spans="1:14">
      <c r="A28" s="20">
        <v>65</v>
      </c>
      <c r="B28" s="20">
        <v>65</v>
      </c>
      <c r="E28" t="s">
        <v>59</v>
      </c>
      <c r="F28">
        <f xml:space="preserve"> 62 +((1/2)*9)</f>
        <v>66.5</v>
      </c>
      <c r="L28" s="14">
        <v>89</v>
      </c>
      <c r="M28" s="14">
        <v>10</v>
      </c>
      <c r="N28">
        <f t="shared" si="3"/>
        <v>0.2</v>
      </c>
    </row>
    <row r="29" spans="1:14">
      <c r="A29" s="20">
        <v>64</v>
      </c>
      <c r="B29" s="20">
        <v>64</v>
      </c>
      <c r="E29" t="s">
        <v>170</v>
      </c>
      <c r="F29">
        <f>J24/F24</f>
        <v>209.59560000000002</v>
      </c>
    </row>
    <row r="30" spans="1:14">
      <c r="A30" s="20">
        <v>63</v>
      </c>
      <c r="B30" s="20">
        <v>63</v>
      </c>
      <c r="E30" t="s">
        <v>171</v>
      </c>
      <c r="F30">
        <f>SQRT(F29)</f>
        <v>14.477416896670483</v>
      </c>
    </row>
    <row r="31" spans="1:14">
      <c r="A31" s="20">
        <v>61</v>
      </c>
      <c r="B31" s="20">
        <v>61</v>
      </c>
    </row>
    <row r="32" spans="1:14">
      <c r="A32" s="20">
        <v>61</v>
      </c>
      <c r="B32" s="20">
        <v>61</v>
      </c>
    </row>
    <row r="33" spans="1:2">
      <c r="A33" s="20">
        <v>60</v>
      </c>
      <c r="B33" s="20">
        <v>60</v>
      </c>
    </row>
    <row r="34" spans="1:2">
      <c r="A34" s="20">
        <v>59</v>
      </c>
      <c r="B34" s="20">
        <v>59</v>
      </c>
    </row>
    <row r="35" spans="1:2">
      <c r="A35" s="20">
        <v>58</v>
      </c>
      <c r="B35" s="20">
        <v>58</v>
      </c>
    </row>
    <row r="36" spans="1:2">
      <c r="A36" s="20">
        <v>57</v>
      </c>
      <c r="B36" s="20">
        <v>57</v>
      </c>
    </row>
    <row r="37" spans="1:2">
      <c r="A37" s="20">
        <v>56</v>
      </c>
      <c r="B37" s="20">
        <v>56</v>
      </c>
    </row>
    <row r="38" spans="1:2">
      <c r="A38" s="20">
        <v>54</v>
      </c>
      <c r="B38" s="20">
        <v>54</v>
      </c>
    </row>
    <row r="39" spans="1:2">
      <c r="A39" s="20">
        <v>54</v>
      </c>
      <c r="B39" s="20">
        <v>54</v>
      </c>
    </row>
    <row r="40" spans="1:2">
      <c r="A40" s="20">
        <v>53</v>
      </c>
      <c r="B40" s="20">
        <v>53</v>
      </c>
    </row>
    <row r="41" spans="1:2">
      <c r="A41" s="20">
        <v>53</v>
      </c>
      <c r="B41" s="20">
        <v>53</v>
      </c>
    </row>
    <row r="42" spans="1:2">
      <c r="A42" s="20">
        <v>51</v>
      </c>
      <c r="B42" s="20">
        <v>51</v>
      </c>
    </row>
    <row r="43" spans="1:2">
      <c r="A43" s="20">
        <v>51</v>
      </c>
      <c r="B43" s="20">
        <v>51</v>
      </c>
    </row>
    <row r="44" spans="1:2">
      <c r="A44" s="20">
        <v>49</v>
      </c>
      <c r="B44" s="20">
        <v>49</v>
      </c>
    </row>
    <row r="45" spans="1:2">
      <c r="A45" s="20">
        <v>47</v>
      </c>
      <c r="B45" s="20">
        <v>47</v>
      </c>
    </row>
    <row r="46" spans="1:2">
      <c r="A46" s="20">
        <v>46</v>
      </c>
      <c r="B46" s="20">
        <v>46</v>
      </c>
    </row>
    <row r="47" spans="1:2">
      <c r="A47" s="20">
        <v>44</v>
      </c>
      <c r="B47" s="20">
        <v>44</v>
      </c>
    </row>
    <row r="48" spans="1:2">
      <c r="A48" s="20">
        <v>43</v>
      </c>
      <c r="B48" s="20">
        <v>43</v>
      </c>
    </row>
    <row r="49" spans="1:2">
      <c r="A49" s="20">
        <v>42</v>
      </c>
      <c r="B49" s="20">
        <v>42</v>
      </c>
    </row>
    <row r="50" spans="1:2">
      <c r="A50" s="20">
        <v>36</v>
      </c>
      <c r="B50" s="20">
        <v>36</v>
      </c>
    </row>
    <row r="51" spans="1:2">
      <c r="A51" s="20">
        <v>2000</v>
      </c>
      <c r="B51" s="20">
        <v>35</v>
      </c>
    </row>
  </sheetData>
  <sortState xmlns:xlrd2="http://schemas.microsoft.com/office/spreadsheetml/2017/richdata2" ref="E18:E23">
    <sortCondition ref="E1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A6F4C-EC54-4B80-8693-7B5891174409}">
  <dimension ref="A1:I9"/>
  <sheetViews>
    <sheetView showWhiteSpace="0" view="pageLayout" zoomScaleNormal="100" workbookViewId="0">
      <selection activeCell="F16" sqref="F16"/>
    </sheetView>
  </sheetViews>
  <sheetFormatPr defaultRowHeight="14.4"/>
  <cols>
    <col min="1" max="1" width="9.44140625" bestFit="1" customWidth="1"/>
    <col min="2" max="2" width="12" bestFit="1" customWidth="1"/>
  </cols>
  <sheetData>
    <row r="1" spans="1:9" ht="16.2" thickBot="1">
      <c r="A1" s="59" t="s">
        <v>80</v>
      </c>
      <c r="B1" s="61" t="s">
        <v>81</v>
      </c>
      <c r="C1" s="62"/>
      <c r="D1" s="62"/>
      <c r="E1" s="62"/>
      <c r="F1" s="62"/>
      <c r="G1" s="62"/>
      <c r="H1" s="62"/>
      <c r="I1" s="63"/>
    </row>
    <row r="2" spans="1:9" ht="16.2" thickBot="1">
      <c r="A2" s="60"/>
      <c r="B2" s="26">
        <v>1</v>
      </c>
      <c r="C2" s="26">
        <v>2</v>
      </c>
      <c r="D2" s="26">
        <v>3</v>
      </c>
      <c r="E2" s="26">
        <v>4</v>
      </c>
      <c r="F2" s="26">
        <v>5</v>
      </c>
      <c r="G2" s="26">
        <v>6</v>
      </c>
      <c r="H2" s="26">
        <v>7</v>
      </c>
      <c r="I2" s="26">
        <v>8</v>
      </c>
    </row>
    <row r="3" spans="1:9" ht="16.2" thickBot="1">
      <c r="A3" s="27" t="s">
        <v>82</v>
      </c>
      <c r="B3" s="26">
        <v>2.5</v>
      </c>
      <c r="C3" s="26">
        <v>2.5</v>
      </c>
      <c r="D3" s="26">
        <v>3</v>
      </c>
      <c r="E3" s="26">
        <v>3.5</v>
      </c>
      <c r="F3" s="26">
        <v>3.5</v>
      </c>
      <c r="G3" s="26">
        <v>4</v>
      </c>
      <c r="H3" s="26">
        <v>3.5</v>
      </c>
      <c r="I3" s="26">
        <v>3.5</v>
      </c>
    </row>
    <row r="4" spans="1:9" ht="16.2" thickBot="1">
      <c r="A4" s="27" t="s">
        <v>83</v>
      </c>
      <c r="B4" s="26">
        <v>2.5</v>
      </c>
      <c r="C4" s="26">
        <v>3</v>
      </c>
      <c r="D4" s="26">
        <v>4</v>
      </c>
      <c r="E4" s="26">
        <v>4</v>
      </c>
      <c r="F4" s="26">
        <v>4</v>
      </c>
      <c r="G4" s="26">
        <v>2</v>
      </c>
      <c r="H4" s="26">
        <v>2.5</v>
      </c>
      <c r="I4" s="26">
        <v>4</v>
      </c>
    </row>
    <row r="6" spans="1:9">
      <c r="A6" t="s">
        <v>84</v>
      </c>
      <c r="B6">
        <f>_xlfn.STDEV.P(B3:I3)</f>
        <v>0.5</v>
      </c>
    </row>
    <row r="7" spans="1:9">
      <c r="A7" t="s">
        <v>85</v>
      </c>
      <c r="B7">
        <f>_xlfn.STDEV.P(B4:I4)</f>
        <v>0.79056941504209488</v>
      </c>
      <c r="D7" t="s">
        <v>88</v>
      </c>
      <c r="E7">
        <f>(B6/B8)*100</f>
        <v>15.384615384615385</v>
      </c>
    </row>
    <row r="8" spans="1:9">
      <c r="A8" t="s">
        <v>86</v>
      </c>
      <c r="B8">
        <f>AVERAGE(B3:I3)</f>
        <v>3.25</v>
      </c>
      <c r="D8" t="s">
        <v>89</v>
      </c>
      <c r="E8">
        <f>(B7/B9)*100</f>
        <v>24.325212770525997</v>
      </c>
    </row>
    <row r="9" spans="1:9">
      <c r="A9" t="s">
        <v>87</v>
      </c>
      <c r="B9">
        <f>AVERAGE(B4:I4)</f>
        <v>3.25</v>
      </c>
      <c r="D9" t="s">
        <v>90</v>
      </c>
    </row>
  </sheetData>
  <mergeCells count="2">
    <mergeCell ref="A1:A2"/>
    <mergeCell ref="B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AFCFB-15D5-4981-A54B-84D11FD966A4}">
  <dimension ref="A1:R58"/>
  <sheetViews>
    <sheetView topLeftCell="F49" workbookViewId="0">
      <selection activeCell="C52" sqref="C52"/>
    </sheetView>
  </sheetViews>
  <sheetFormatPr defaultRowHeight="14.4"/>
  <cols>
    <col min="2" max="2" width="12" bestFit="1" customWidth="1"/>
    <col min="4" max="4" width="11.88671875" bestFit="1" customWidth="1"/>
    <col min="5" max="5" width="12" bestFit="1" customWidth="1"/>
    <col min="12" max="12" width="3" bestFit="1" customWidth="1"/>
    <col min="13" max="14" width="12" bestFit="1" customWidth="1"/>
    <col min="15" max="15" width="12.6640625" bestFit="1" customWidth="1"/>
    <col min="16" max="16" width="12" bestFit="1" customWidth="1"/>
    <col min="17" max="17" width="12.6640625" bestFit="1" customWidth="1"/>
    <col min="18" max="18" width="12" bestFit="1" customWidth="1"/>
  </cols>
  <sheetData>
    <row r="1" spans="1:18">
      <c r="A1" t="s">
        <v>23</v>
      </c>
      <c r="B1" t="s">
        <v>91</v>
      </c>
      <c r="D1" t="s">
        <v>29</v>
      </c>
    </row>
    <row r="2" spans="1:18">
      <c r="A2">
        <v>0</v>
      </c>
      <c r="B2">
        <f>_xlfn.BINOM.DIST(A2,50,0.6,FALSE)</f>
        <v>1.2676506002282335E-20</v>
      </c>
      <c r="L2" t="s">
        <v>23</v>
      </c>
      <c r="M2" t="s">
        <v>91</v>
      </c>
      <c r="N2" t="s">
        <v>96</v>
      </c>
      <c r="O2" t="s">
        <v>97</v>
      </c>
      <c r="P2" t="s">
        <v>98</v>
      </c>
      <c r="Q2" t="s">
        <v>99</v>
      </c>
      <c r="R2" t="s">
        <v>99</v>
      </c>
    </row>
    <row r="3" spans="1:18">
      <c r="A3">
        <v>1</v>
      </c>
      <c r="B3">
        <f t="shared" ref="B3:B52" si="0">_xlfn.BINOM.DIST(A3,50,0.6,FALSE)</f>
        <v>9.5073795017117106E-19</v>
      </c>
      <c r="L3">
        <v>0</v>
      </c>
      <c r="M3">
        <f>_xlfn.BINOM.DIST(L3,50,0.6,FALSE)</f>
        <v>1.2676506002282335E-20</v>
      </c>
      <c r="N3">
        <f>M3*L3</f>
        <v>0</v>
      </c>
      <c r="O3">
        <f>(L3-30)*M3</f>
        <v>-3.8029518006847002E-19</v>
      </c>
      <c r="P3">
        <f>(L3-30)^2*M3</f>
        <v>1.1408855402054101E-17</v>
      </c>
      <c r="Q3">
        <f>(L3-30)^3*M3</f>
        <v>-3.4226566206162302E-16</v>
      </c>
      <c r="R3">
        <f>(L3-30)^4*M3</f>
        <v>1.0267969861848692E-14</v>
      </c>
    </row>
    <row r="4" spans="1:18">
      <c r="A4">
        <v>2</v>
      </c>
      <c r="B4">
        <f t="shared" si="0"/>
        <v>3.4939619668790754E-17</v>
      </c>
      <c r="L4">
        <v>1</v>
      </c>
      <c r="M4">
        <f t="shared" ref="M4:M53" si="1">_xlfn.BINOM.DIST(L4,50,0.6,FALSE)</f>
        <v>9.5073795017117106E-19</v>
      </c>
      <c r="N4">
        <f t="shared" ref="N4:N53" si="2">M4*L4</f>
        <v>9.5073795017117106E-19</v>
      </c>
      <c r="O4">
        <f t="shared" ref="O4:O53" si="3">(L4-30)*M4</f>
        <v>-2.7571400554963962E-17</v>
      </c>
      <c r="P4">
        <f t="shared" ref="P4:P53" si="4">(L4-30)^2*M4</f>
        <v>7.9957061609395491E-16</v>
      </c>
      <c r="Q4">
        <f t="shared" ref="Q4:Q53" si="5">(L4-30)^3*M4</f>
        <v>-2.3187547866724692E-14</v>
      </c>
      <c r="R4">
        <f t="shared" ref="R4:R53" si="6">(L4-30)^4*M4</f>
        <v>6.7243888813501609E-13</v>
      </c>
    </row>
    <row r="5" spans="1:18">
      <c r="A5">
        <v>3</v>
      </c>
      <c r="B5">
        <f t="shared" si="0"/>
        <v>8.3855087205096689E-16</v>
      </c>
      <c r="L5">
        <v>2</v>
      </c>
      <c r="M5">
        <f t="shared" si="1"/>
        <v>3.4939619668790754E-17</v>
      </c>
      <c r="N5">
        <f t="shared" si="2"/>
        <v>6.9879239337581507E-17</v>
      </c>
      <c r="O5">
        <f t="shared" si="3"/>
        <v>-9.7830935072614117E-16</v>
      </c>
      <c r="P5">
        <f t="shared" si="4"/>
        <v>2.739266182033195E-14</v>
      </c>
      <c r="Q5">
        <f t="shared" si="5"/>
        <v>-7.669945309692946E-13</v>
      </c>
      <c r="R5">
        <f t="shared" si="6"/>
        <v>2.147584686714025E-11</v>
      </c>
    </row>
    <row r="6" spans="1:18">
      <c r="A6">
        <v>4</v>
      </c>
      <c r="B6">
        <f t="shared" si="0"/>
        <v>1.4779459119898525E-14</v>
      </c>
      <c r="L6">
        <v>3</v>
      </c>
      <c r="M6">
        <f t="shared" si="1"/>
        <v>8.3855087205096689E-16</v>
      </c>
      <c r="N6">
        <f t="shared" si="2"/>
        <v>2.5156526161529006E-15</v>
      </c>
      <c r="O6">
        <f t="shared" si="3"/>
        <v>-2.2640873545376105E-14</v>
      </c>
      <c r="P6">
        <f t="shared" si="4"/>
        <v>6.1130358572515483E-13</v>
      </c>
      <c r="Q6">
        <f t="shared" si="5"/>
        <v>-1.650519681457918E-11</v>
      </c>
      <c r="R6">
        <f t="shared" si="6"/>
        <v>4.4564031399363788E-10</v>
      </c>
    </row>
    <row r="7" spans="1:18">
      <c r="A7">
        <v>5</v>
      </c>
      <c r="B7">
        <f t="shared" si="0"/>
        <v>2.0395653585459816E-13</v>
      </c>
      <c r="L7">
        <v>4</v>
      </c>
      <c r="M7">
        <f t="shared" si="1"/>
        <v>1.4779459119898525E-14</v>
      </c>
      <c r="N7">
        <f t="shared" si="2"/>
        <v>5.9117836479594099E-14</v>
      </c>
      <c r="O7">
        <f t="shared" si="3"/>
        <v>-3.8426593711736163E-13</v>
      </c>
      <c r="P7">
        <f t="shared" si="4"/>
        <v>9.990914365051403E-12</v>
      </c>
      <c r="Q7">
        <f t="shared" si="5"/>
        <v>-2.5976377349133646E-10</v>
      </c>
      <c r="R7">
        <f t="shared" si="6"/>
        <v>6.7538581107747487E-9</v>
      </c>
    </row>
    <row r="8" spans="1:18">
      <c r="A8">
        <v>6</v>
      </c>
      <c r="B8">
        <f t="shared" si="0"/>
        <v>2.2945110283642206E-12</v>
      </c>
      <c r="L8">
        <v>5</v>
      </c>
      <c r="M8">
        <f t="shared" si="1"/>
        <v>2.0395653585459816E-13</v>
      </c>
      <c r="N8">
        <f t="shared" si="2"/>
        <v>1.0197826792729907E-12</v>
      </c>
      <c r="O8">
        <f t="shared" si="3"/>
        <v>-5.0989133963649541E-12</v>
      </c>
      <c r="P8">
        <f t="shared" si="4"/>
        <v>1.2747283490912386E-10</v>
      </c>
      <c r="Q8">
        <f t="shared" si="5"/>
        <v>-3.1868208727280962E-9</v>
      </c>
      <c r="R8">
        <f t="shared" si="6"/>
        <v>7.9670521818202403E-8</v>
      </c>
    </row>
    <row r="9" spans="1:18">
      <c r="A9">
        <v>7</v>
      </c>
      <c r="B9">
        <f t="shared" si="0"/>
        <v>2.1633961124577119E-11</v>
      </c>
      <c r="L9">
        <v>6</v>
      </c>
      <c r="M9">
        <f t="shared" si="1"/>
        <v>2.2945110283642206E-12</v>
      </c>
      <c r="N9">
        <f t="shared" si="2"/>
        <v>1.3767066170185323E-11</v>
      </c>
      <c r="O9">
        <f t="shared" si="3"/>
        <v>-5.506826468074129E-11</v>
      </c>
      <c r="P9">
        <f t="shared" si="4"/>
        <v>1.321638352337791E-9</v>
      </c>
      <c r="Q9">
        <f t="shared" si="5"/>
        <v>-3.1719320456106983E-8</v>
      </c>
      <c r="R9">
        <f t="shared" si="6"/>
        <v>7.612636909465676E-7</v>
      </c>
    </row>
    <row r="10" spans="1:18">
      <c r="A10">
        <v>8</v>
      </c>
      <c r="B10">
        <f t="shared" si="0"/>
        <v>1.744238115669023E-10</v>
      </c>
      <c r="L10">
        <v>7</v>
      </c>
      <c r="M10">
        <f t="shared" si="1"/>
        <v>2.1633961124577119E-11</v>
      </c>
      <c r="N10">
        <f t="shared" si="2"/>
        <v>1.5143772787203984E-10</v>
      </c>
      <c r="O10">
        <f t="shared" si="3"/>
        <v>-4.9758110586527374E-10</v>
      </c>
      <c r="P10">
        <f t="shared" si="4"/>
        <v>1.1444365434901297E-8</v>
      </c>
      <c r="Q10">
        <f t="shared" si="5"/>
        <v>-2.6322040500272981E-7</v>
      </c>
      <c r="R10">
        <f t="shared" si="6"/>
        <v>6.0540693150627854E-6</v>
      </c>
    </row>
    <row r="11" spans="1:18">
      <c r="A11">
        <v>9</v>
      </c>
      <c r="B11">
        <f t="shared" si="0"/>
        <v>1.2209666809683165E-9</v>
      </c>
      <c r="L11">
        <v>8</v>
      </c>
      <c r="M11">
        <f t="shared" si="1"/>
        <v>1.744238115669023E-10</v>
      </c>
      <c r="N11">
        <f t="shared" si="2"/>
        <v>1.3953904925352184E-9</v>
      </c>
      <c r="O11">
        <f t="shared" si="3"/>
        <v>-3.8373238544718506E-9</v>
      </c>
      <c r="P11">
        <f t="shared" si="4"/>
        <v>8.442112479838071E-8</v>
      </c>
      <c r="Q11">
        <f t="shared" si="5"/>
        <v>-1.8572647455643756E-6</v>
      </c>
      <c r="R11">
        <f t="shared" si="6"/>
        <v>4.0859824402416263E-5</v>
      </c>
    </row>
    <row r="12" spans="1:18">
      <c r="A12">
        <v>10</v>
      </c>
      <c r="B12">
        <f t="shared" si="0"/>
        <v>7.5089450879551504E-9</v>
      </c>
      <c r="L12">
        <v>9</v>
      </c>
      <c r="M12">
        <f t="shared" si="1"/>
        <v>1.2209666809683165E-9</v>
      </c>
      <c r="N12">
        <f t="shared" si="2"/>
        <v>1.0988700128714849E-8</v>
      </c>
      <c r="O12">
        <f t="shared" si="3"/>
        <v>-2.5640300300334646E-8</v>
      </c>
      <c r="P12">
        <f t="shared" si="4"/>
        <v>5.3844630630702758E-7</v>
      </c>
      <c r="Q12">
        <f t="shared" si="5"/>
        <v>-1.1307372432447578E-5</v>
      </c>
      <c r="R12">
        <f t="shared" si="6"/>
        <v>2.3745482108139917E-4</v>
      </c>
    </row>
    <row r="13" spans="1:18">
      <c r="A13">
        <v>11</v>
      </c>
      <c r="B13">
        <f t="shared" si="0"/>
        <v>4.0957882297937133E-8</v>
      </c>
      <c r="L13">
        <v>10</v>
      </c>
      <c r="M13">
        <f t="shared" si="1"/>
        <v>7.5089450879551504E-9</v>
      </c>
      <c r="N13">
        <f t="shared" si="2"/>
        <v>7.5089450879551504E-8</v>
      </c>
      <c r="O13">
        <f t="shared" si="3"/>
        <v>-1.5017890175910301E-7</v>
      </c>
      <c r="P13">
        <f t="shared" si="4"/>
        <v>3.00357803518206E-6</v>
      </c>
      <c r="Q13">
        <f t="shared" si="5"/>
        <v>-6.0071560703641206E-5</v>
      </c>
      <c r="R13">
        <f t="shared" si="6"/>
        <v>1.2014312140728241E-3</v>
      </c>
    </row>
    <row r="14" spans="1:18">
      <c r="A14">
        <v>12</v>
      </c>
      <c r="B14">
        <f t="shared" si="0"/>
        <v>1.9966967620244384E-7</v>
      </c>
      <c r="L14">
        <v>11</v>
      </c>
      <c r="M14">
        <f t="shared" si="1"/>
        <v>4.0957882297937133E-8</v>
      </c>
      <c r="N14">
        <f t="shared" si="2"/>
        <v>4.5053670527730844E-7</v>
      </c>
      <c r="O14">
        <f t="shared" si="3"/>
        <v>-7.7819976366080556E-7</v>
      </c>
      <c r="P14">
        <f t="shared" si="4"/>
        <v>1.4785795509555305E-5</v>
      </c>
      <c r="Q14">
        <f t="shared" si="5"/>
        <v>-2.809301146815508E-4</v>
      </c>
      <c r="R14">
        <f t="shared" si="6"/>
        <v>5.3376721789494654E-3</v>
      </c>
    </row>
    <row r="15" spans="1:18">
      <c r="A15">
        <v>13</v>
      </c>
      <c r="B15">
        <f t="shared" si="0"/>
        <v>8.7547473411840246E-7</v>
      </c>
      <c r="L15">
        <v>12</v>
      </c>
      <c r="M15">
        <f t="shared" si="1"/>
        <v>1.9966967620244384E-7</v>
      </c>
      <c r="N15">
        <f t="shared" si="2"/>
        <v>2.3960361144293262E-6</v>
      </c>
      <c r="O15">
        <f t="shared" si="3"/>
        <v>-3.5940541716439893E-6</v>
      </c>
      <c r="P15">
        <f t="shared" si="4"/>
        <v>6.4692975089591803E-5</v>
      </c>
      <c r="Q15">
        <f t="shared" si="5"/>
        <v>-1.1644735516126525E-3</v>
      </c>
      <c r="R15">
        <f t="shared" si="6"/>
        <v>2.0960523929027745E-2</v>
      </c>
    </row>
    <row r="16" spans="1:18">
      <c r="A16">
        <v>14</v>
      </c>
      <c r="B16">
        <f t="shared" si="0"/>
        <v>3.4706319816836722E-6</v>
      </c>
      <c r="L16">
        <v>13</v>
      </c>
      <c r="M16">
        <f t="shared" si="1"/>
        <v>8.7547473411840246E-7</v>
      </c>
      <c r="N16">
        <f t="shared" si="2"/>
        <v>1.1381171543539232E-5</v>
      </c>
      <c r="O16">
        <f t="shared" si="3"/>
        <v>-1.4883070480012842E-5</v>
      </c>
      <c r="P16">
        <f t="shared" si="4"/>
        <v>2.5301219816021832E-4</v>
      </c>
      <c r="Q16">
        <f t="shared" si="5"/>
        <v>-4.3012073687237109E-3</v>
      </c>
      <c r="R16">
        <f t="shared" si="6"/>
        <v>7.3120525268303094E-2</v>
      </c>
    </row>
    <row r="17" spans="1:18">
      <c r="A17">
        <v>15</v>
      </c>
      <c r="B17">
        <f t="shared" si="0"/>
        <v>1.2494275134061228E-5</v>
      </c>
      <c r="L17">
        <v>14</v>
      </c>
      <c r="M17">
        <f t="shared" si="1"/>
        <v>3.4706319816836722E-6</v>
      </c>
      <c r="N17">
        <f t="shared" si="2"/>
        <v>4.858884774357141E-5</v>
      </c>
      <c r="O17">
        <f t="shared" si="3"/>
        <v>-5.5530111706938755E-5</v>
      </c>
      <c r="P17">
        <f t="shared" si="4"/>
        <v>8.8848178731102008E-4</v>
      </c>
      <c r="Q17">
        <f t="shared" si="5"/>
        <v>-1.4215708596976321E-2</v>
      </c>
      <c r="R17">
        <f t="shared" si="6"/>
        <v>0.22745133755162114</v>
      </c>
    </row>
    <row r="18" spans="1:18">
      <c r="A18">
        <v>16</v>
      </c>
      <c r="B18">
        <f t="shared" si="0"/>
        <v>4.0996840283638554E-5</v>
      </c>
      <c r="L18">
        <v>15</v>
      </c>
      <c r="M18">
        <f t="shared" si="1"/>
        <v>1.2494275134061228E-5</v>
      </c>
      <c r="N18">
        <f t="shared" si="2"/>
        <v>1.8741412701091842E-4</v>
      </c>
      <c r="O18">
        <f t="shared" si="3"/>
        <v>-1.8741412701091842E-4</v>
      </c>
      <c r="P18">
        <f t="shared" si="4"/>
        <v>2.8112119051637761E-3</v>
      </c>
      <c r="Q18">
        <f t="shared" si="5"/>
        <v>-4.2168178577456646E-2</v>
      </c>
      <c r="R18">
        <f t="shared" si="6"/>
        <v>0.63252267866184964</v>
      </c>
    </row>
    <row r="19" spans="1:18">
      <c r="A19">
        <v>17</v>
      </c>
      <c r="B19">
        <f t="shared" si="0"/>
        <v>1.2299052085091563E-4</v>
      </c>
      <c r="D19" t="s">
        <v>68</v>
      </c>
      <c r="L19">
        <v>16</v>
      </c>
      <c r="M19">
        <f t="shared" si="1"/>
        <v>4.0996840283638554E-5</v>
      </c>
      <c r="N19">
        <f t="shared" si="2"/>
        <v>6.5594944453821686E-4</v>
      </c>
      <c r="O19">
        <f t="shared" si="3"/>
        <v>-5.739557639709398E-4</v>
      </c>
      <c r="P19">
        <f t="shared" si="4"/>
        <v>8.0353806955931559E-3</v>
      </c>
      <c r="Q19">
        <f t="shared" si="5"/>
        <v>-0.11249532973830419</v>
      </c>
      <c r="R19">
        <f t="shared" si="6"/>
        <v>1.5749346163362588</v>
      </c>
    </row>
    <row r="20" spans="1:18">
      <c r="A20">
        <v>18</v>
      </c>
      <c r="B20">
        <f t="shared" si="0"/>
        <v>3.3822393234001662E-4</v>
      </c>
      <c r="D20" t="s">
        <v>92</v>
      </c>
      <c r="E20">
        <f>B37</f>
        <v>4.1546672477004012E-2</v>
      </c>
      <c r="L20">
        <v>17</v>
      </c>
      <c r="M20">
        <f t="shared" si="1"/>
        <v>1.2299052085091563E-4</v>
      </c>
      <c r="N20">
        <f t="shared" si="2"/>
        <v>2.0908388544655658E-3</v>
      </c>
      <c r="O20">
        <f t="shared" si="3"/>
        <v>-1.5988767710619033E-3</v>
      </c>
      <c r="P20">
        <f t="shared" si="4"/>
        <v>2.0785398023804743E-2</v>
      </c>
      <c r="Q20">
        <f t="shared" si="5"/>
        <v>-0.27021017430946165</v>
      </c>
      <c r="R20">
        <f t="shared" si="6"/>
        <v>3.5127322660230016</v>
      </c>
    </row>
    <row r="21" spans="1:18">
      <c r="A21">
        <v>19</v>
      </c>
      <c r="B21">
        <f t="shared" si="0"/>
        <v>8.5446046064846428E-4</v>
      </c>
      <c r="D21" t="s">
        <v>93</v>
      </c>
      <c r="E21">
        <f>SUM(B2:B22)</f>
        <v>3.3603822630227458E-3</v>
      </c>
      <c r="L21">
        <v>18</v>
      </c>
      <c r="M21">
        <f t="shared" si="1"/>
        <v>3.3822393234001662E-4</v>
      </c>
      <c r="N21">
        <f t="shared" si="2"/>
        <v>6.0880307821202994E-3</v>
      </c>
      <c r="O21">
        <f t="shared" si="3"/>
        <v>-4.058687188080199E-3</v>
      </c>
      <c r="P21">
        <f t="shared" si="4"/>
        <v>4.8704246256962395E-2</v>
      </c>
      <c r="Q21">
        <f t="shared" si="5"/>
        <v>-0.58445095508354872</v>
      </c>
      <c r="R21">
        <f t="shared" si="6"/>
        <v>7.0134114610025851</v>
      </c>
    </row>
    <row r="22" spans="1:18">
      <c r="A22">
        <v>20</v>
      </c>
      <c r="B22">
        <f t="shared" si="0"/>
        <v>1.986620571007684E-3</v>
      </c>
      <c r="D22" t="s">
        <v>94</v>
      </c>
      <c r="E22">
        <f>SUM(B18:B52)</f>
        <v>0.99998291006210771</v>
      </c>
      <c r="L22">
        <v>19</v>
      </c>
      <c r="M22">
        <f t="shared" si="1"/>
        <v>8.5446046064846428E-4</v>
      </c>
      <c r="N22">
        <f t="shared" si="2"/>
        <v>1.623474875232082E-2</v>
      </c>
      <c r="O22">
        <f t="shared" si="3"/>
        <v>-9.3990650671331062E-3</v>
      </c>
      <c r="P22">
        <f t="shared" si="4"/>
        <v>0.10338971573846417</v>
      </c>
      <c r="Q22">
        <f t="shared" si="5"/>
        <v>-1.1372868731231061</v>
      </c>
      <c r="R22">
        <f t="shared" si="6"/>
        <v>12.510155604354166</v>
      </c>
    </row>
    <row r="23" spans="1:18">
      <c r="A23">
        <v>21</v>
      </c>
      <c r="B23">
        <f t="shared" si="0"/>
        <v>4.2570440807307413E-3</v>
      </c>
      <c r="D23" t="s">
        <v>95</v>
      </c>
      <c r="E23">
        <f>SUM(B23:B46)</f>
        <v>0.99663694320531193</v>
      </c>
      <c r="L23">
        <v>20</v>
      </c>
      <c r="M23">
        <f t="shared" si="1"/>
        <v>1.986620571007684E-3</v>
      </c>
      <c r="N23">
        <f t="shared" si="2"/>
        <v>3.9732411420153678E-2</v>
      </c>
      <c r="O23">
        <f t="shared" si="3"/>
        <v>-1.9866205710076839E-2</v>
      </c>
      <c r="P23">
        <f t="shared" si="4"/>
        <v>0.1986620571007684</v>
      </c>
      <c r="Q23">
        <f t="shared" si="5"/>
        <v>-1.9866205710076841</v>
      </c>
      <c r="R23">
        <f t="shared" si="6"/>
        <v>19.866205710076841</v>
      </c>
    </row>
    <row r="24" spans="1:18">
      <c r="A24">
        <v>22</v>
      </c>
      <c r="B24">
        <f t="shared" si="0"/>
        <v>8.4173371596267012E-3</v>
      </c>
      <c r="L24">
        <v>21</v>
      </c>
      <c r="M24">
        <f t="shared" si="1"/>
        <v>4.2570440807307413E-3</v>
      </c>
      <c r="N24">
        <f t="shared" si="2"/>
        <v>8.9397925695345562E-2</v>
      </c>
      <c r="O24">
        <f t="shared" si="3"/>
        <v>-3.8313396726576673E-2</v>
      </c>
      <c r="P24">
        <f t="shared" si="4"/>
        <v>0.34482057053919002</v>
      </c>
      <c r="Q24">
        <f t="shared" si="5"/>
        <v>-3.1033851348527106</v>
      </c>
      <c r="R24">
        <f t="shared" si="6"/>
        <v>27.930466213674393</v>
      </c>
    </row>
    <row r="25" spans="1:18">
      <c r="A25">
        <v>23</v>
      </c>
      <c r="B25">
        <f t="shared" si="0"/>
        <v>1.5370789595840064E-2</v>
      </c>
      <c r="L25">
        <v>22</v>
      </c>
      <c r="M25">
        <f t="shared" si="1"/>
        <v>8.4173371596267012E-3</v>
      </c>
      <c r="N25">
        <f t="shared" si="2"/>
        <v>0.18518141751178743</v>
      </c>
      <c r="O25">
        <f t="shared" si="3"/>
        <v>-6.7338697277013609E-2</v>
      </c>
      <c r="P25">
        <f t="shared" si="4"/>
        <v>0.53870957821610888</v>
      </c>
      <c r="Q25">
        <f t="shared" si="5"/>
        <v>-4.309676625728871</v>
      </c>
      <c r="R25">
        <f t="shared" si="6"/>
        <v>34.477413005830968</v>
      </c>
    </row>
    <row r="26" spans="1:18">
      <c r="A26">
        <v>24</v>
      </c>
      <c r="B26">
        <f t="shared" si="0"/>
        <v>2.5938207442980088E-2</v>
      </c>
      <c r="L26">
        <v>23</v>
      </c>
      <c r="M26">
        <f t="shared" si="1"/>
        <v>1.5370789595840064E-2</v>
      </c>
      <c r="N26">
        <f t="shared" si="2"/>
        <v>0.35352816070432147</v>
      </c>
      <c r="O26">
        <f t="shared" si="3"/>
        <v>-0.10759552717088045</v>
      </c>
      <c r="P26">
        <f t="shared" si="4"/>
        <v>0.75316869019616317</v>
      </c>
      <c r="Q26">
        <f t="shared" si="5"/>
        <v>-5.2721808313731424</v>
      </c>
      <c r="R26">
        <f t="shared" si="6"/>
        <v>36.905265819611991</v>
      </c>
    </row>
    <row r="27" spans="1:18">
      <c r="A27">
        <v>25</v>
      </c>
      <c r="B27">
        <f t="shared" si="0"/>
        <v>4.0463603611048948E-2</v>
      </c>
      <c r="L27">
        <v>24</v>
      </c>
      <c r="M27">
        <f t="shared" si="1"/>
        <v>2.5938207442980088E-2</v>
      </c>
      <c r="N27">
        <f t="shared" si="2"/>
        <v>0.62251697863152211</v>
      </c>
      <c r="O27">
        <f t="shared" si="3"/>
        <v>-0.15562924465788053</v>
      </c>
      <c r="P27">
        <f t="shared" si="4"/>
        <v>0.93377546794728317</v>
      </c>
      <c r="Q27">
        <f t="shared" si="5"/>
        <v>-5.6026528076836986</v>
      </c>
      <c r="R27">
        <f t="shared" si="6"/>
        <v>33.615916846102195</v>
      </c>
    </row>
    <row r="28" spans="1:18">
      <c r="A28">
        <v>26</v>
      </c>
      <c r="B28">
        <f t="shared" si="0"/>
        <v>5.8360966746705253E-2</v>
      </c>
      <c r="L28">
        <v>25</v>
      </c>
      <c r="M28">
        <f t="shared" si="1"/>
        <v>4.0463603611048948E-2</v>
      </c>
      <c r="N28">
        <f t="shared" si="2"/>
        <v>1.0115900902762238</v>
      </c>
      <c r="O28">
        <f t="shared" si="3"/>
        <v>-0.20231801805524474</v>
      </c>
      <c r="P28">
        <f t="shared" si="4"/>
        <v>1.0115900902762238</v>
      </c>
      <c r="Q28">
        <f t="shared" si="5"/>
        <v>-5.0579504513811182</v>
      </c>
      <c r="R28">
        <f t="shared" si="6"/>
        <v>25.289752256905594</v>
      </c>
    </row>
    <row r="29" spans="1:18">
      <c r="A29">
        <v>27</v>
      </c>
      <c r="B29">
        <f t="shared" si="0"/>
        <v>7.7814622328940292E-2</v>
      </c>
      <c r="L29">
        <v>26</v>
      </c>
      <c r="M29">
        <f t="shared" si="1"/>
        <v>5.8360966746705253E-2</v>
      </c>
      <c r="N29">
        <f t="shared" si="2"/>
        <v>1.5173851354143366</v>
      </c>
      <c r="O29">
        <f t="shared" si="3"/>
        <v>-0.23344386698682101</v>
      </c>
      <c r="P29">
        <f t="shared" si="4"/>
        <v>0.93377546794728405</v>
      </c>
      <c r="Q29">
        <f t="shared" si="5"/>
        <v>-3.7351018717891362</v>
      </c>
      <c r="R29">
        <f t="shared" si="6"/>
        <v>14.940407487156545</v>
      </c>
    </row>
    <row r="30" spans="1:18">
      <c r="A30">
        <v>28</v>
      </c>
      <c r="B30">
        <f t="shared" si="0"/>
        <v>9.5878731083872876E-2</v>
      </c>
      <c r="L30">
        <v>27</v>
      </c>
      <c r="M30">
        <f t="shared" si="1"/>
        <v>7.7814622328940292E-2</v>
      </c>
      <c r="N30">
        <f t="shared" si="2"/>
        <v>2.1009948028813881</v>
      </c>
      <c r="O30">
        <f t="shared" si="3"/>
        <v>-0.23344386698682087</v>
      </c>
      <c r="P30">
        <f t="shared" si="4"/>
        <v>0.70033160096046265</v>
      </c>
      <c r="Q30">
        <f t="shared" si="5"/>
        <v>-2.1009948028813881</v>
      </c>
      <c r="R30">
        <f t="shared" si="6"/>
        <v>6.3029844086441633</v>
      </c>
    </row>
    <row r="31" spans="1:18">
      <c r="A31">
        <v>29</v>
      </c>
      <c r="B31">
        <f t="shared" si="0"/>
        <v>0.10910338364716567</v>
      </c>
      <c r="L31">
        <v>28</v>
      </c>
      <c r="M31">
        <f t="shared" si="1"/>
        <v>9.5878731083872876E-2</v>
      </c>
      <c r="N31">
        <f t="shared" si="2"/>
        <v>2.6846044703484404</v>
      </c>
      <c r="O31">
        <f t="shared" si="3"/>
        <v>-0.19175746216774575</v>
      </c>
      <c r="P31">
        <f t="shared" si="4"/>
        <v>0.3835149243354915</v>
      </c>
      <c r="Q31">
        <f t="shared" si="5"/>
        <v>-0.76702984867098301</v>
      </c>
      <c r="R31">
        <f t="shared" si="6"/>
        <v>1.534059697341966</v>
      </c>
    </row>
    <row r="32" spans="1:18">
      <c r="A32">
        <v>30</v>
      </c>
      <c r="B32">
        <f t="shared" si="0"/>
        <v>0.11455855282952399</v>
      </c>
      <c r="L32">
        <v>29</v>
      </c>
      <c r="M32">
        <f t="shared" si="1"/>
        <v>0.10910338364716567</v>
      </c>
      <c r="N32">
        <f t="shared" si="2"/>
        <v>3.1639981257678045</v>
      </c>
      <c r="O32">
        <f t="shared" si="3"/>
        <v>-0.10910338364716567</v>
      </c>
      <c r="P32">
        <f t="shared" si="4"/>
        <v>0.10910338364716567</v>
      </c>
      <c r="Q32">
        <f t="shared" si="5"/>
        <v>-0.10910338364716567</v>
      </c>
      <c r="R32">
        <f t="shared" si="6"/>
        <v>0.10910338364716567</v>
      </c>
    </row>
    <row r="33" spans="1:18">
      <c r="A33">
        <v>31</v>
      </c>
      <c r="B33">
        <f t="shared" si="0"/>
        <v>0.11086311564147482</v>
      </c>
      <c r="L33">
        <v>30</v>
      </c>
      <c r="M33">
        <f t="shared" si="1"/>
        <v>0.11455855282952399</v>
      </c>
      <c r="N33">
        <f t="shared" si="2"/>
        <v>3.4367565848857193</v>
      </c>
      <c r="O33">
        <f t="shared" si="3"/>
        <v>0</v>
      </c>
      <c r="P33">
        <f t="shared" si="4"/>
        <v>0</v>
      </c>
      <c r="Q33">
        <f t="shared" si="5"/>
        <v>0</v>
      </c>
      <c r="R33">
        <f t="shared" si="6"/>
        <v>0</v>
      </c>
    </row>
    <row r="34" spans="1:18">
      <c r="A34">
        <v>32</v>
      </c>
      <c r="B34">
        <f t="shared" si="0"/>
        <v>9.8737462368188561E-2</v>
      </c>
      <c r="L34">
        <v>31</v>
      </c>
      <c r="M34">
        <f t="shared" si="1"/>
        <v>0.11086311564147482</v>
      </c>
      <c r="N34">
        <f t="shared" si="2"/>
        <v>3.4367565848857193</v>
      </c>
      <c r="O34">
        <f t="shared" si="3"/>
        <v>0.11086311564147482</v>
      </c>
      <c r="P34">
        <f t="shared" si="4"/>
        <v>0.11086311564147482</v>
      </c>
      <c r="Q34">
        <f t="shared" si="5"/>
        <v>0.11086311564147482</v>
      </c>
      <c r="R34">
        <f t="shared" si="6"/>
        <v>0.11086311564147482</v>
      </c>
    </row>
    <row r="35" spans="1:18">
      <c r="A35">
        <v>33</v>
      </c>
      <c r="B35">
        <f t="shared" si="0"/>
        <v>8.0785196483063329E-2</v>
      </c>
      <c r="L35">
        <v>32</v>
      </c>
      <c r="M35">
        <f t="shared" si="1"/>
        <v>9.8737462368188561E-2</v>
      </c>
      <c r="N35">
        <f t="shared" si="2"/>
        <v>3.159598795782034</v>
      </c>
      <c r="O35">
        <f t="shared" si="3"/>
        <v>0.19747492473637712</v>
      </c>
      <c r="P35">
        <f t="shared" si="4"/>
        <v>0.39494984947275424</v>
      </c>
      <c r="Q35">
        <f t="shared" si="5"/>
        <v>0.78989969894550849</v>
      </c>
      <c r="R35">
        <f t="shared" si="6"/>
        <v>1.579799397891017</v>
      </c>
    </row>
    <row r="36" spans="1:18">
      <c r="A36">
        <v>34</v>
      </c>
      <c r="B36">
        <f t="shared" si="0"/>
        <v>6.0588897362297466E-2</v>
      </c>
      <c r="L36">
        <v>33</v>
      </c>
      <c r="M36">
        <f t="shared" si="1"/>
        <v>8.0785196483063329E-2</v>
      </c>
      <c r="N36">
        <f t="shared" si="2"/>
        <v>2.6659114839410898</v>
      </c>
      <c r="O36">
        <f t="shared" si="3"/>
        <v>0.24235558944919</v>
      </c>
      <c r="P36">
        <f t="shared" si="4"/>
        <v>0.72706676834757</v>
      </c>
      <c r="Q36">
        <f t="shared" si="5"/>
        <v>2.1812003050427098</v>
      </c>
      <c r="R36">
        <f t="shared" si="6"/>
        <v>6.5436009151281294</v>
      </c>
    </row>
    <row r="37" spans="1:18">
      <c r="A37">
        <v>35</v>
      </c>
      <c r="B37">
        <f t="shared" si="0"/>
        <v>4.1546672477004012E-2</v>
      </c>
      <c r="L37">
        <v>34</v>
      </c>
      <c r="M37">
        <f t="shared" si="1"/>
        <v>6.0588897362297466E-2</v>
      </c>
      <c r="N37">
        <f t="shared" si="2"/>
        <v>2.060022510318114</v>
      </c>
      <c r="O37">
        <f t="shared" si="3"/>
        <v>0.24235558944918986</v>
      </c>
      <c r="P37">
        <f t="shared" si="4"/>
        <v>0.96942235779675945</v>
      </c>
      <c r="Q37">
        <f t="shared" si="5"/>
        <v>3.8776894311870378</v>
      </c>
      <c r="R37">
        <f t="shared" si="6"/>
        <v>15.510757724748151</v>
      </c>
    </row>
    <row r="38" spans="1:18">
      <c r="A38">
        <v>36</v>
      </c>
      <c r="B38">
        <f t="shared" si="0"/>
        <v>2.596667029812751E-2</v>
      </c>
      <c r="L38">
        <v>35</v>
      </c>
      <c r="M38">
        <f t="shared" si="1"/>
        <v>4.1546672477004012E-2</v>
      </c>
      <c r="N38">
        <f t="shared" si="2"/>
        <v>1.4541335366951404</v>
      </c>
      <c r="O38">
        <f t="shared" si="3"/>
        <v>0.20773336238502005</v>
      </c>
      <c r="P38">
        <f t="shared" si="4"/>
        <v>1.0386668119251004</v>
      </c>
      <c r="Q38">
        <f t="shared" si="5"/>
        <v>5.193334059625502</v>
      </c>
      <c r="R38">
        <f t="shared" si="6"/>
        <v>25.966670298127507</v>
      </c>
    </row>
    <row r="39" spans="1:18">
      <c r="A39">
        <v>37</v>
      </c>
      <c r="B39">
        <f t="shared" si="0"/>
        <v>1.4737839898937226E-2</v>
      </c>
      <c r="L39">
        <v>36</v>
      </c>
      <c r="M39">
        <f t="shared" si="1"/>
        <v>2.596667029812751E-2</v>
      </c>
      <c r="N39">
        <f t="shared" si="2"/>
        <v>0.93480013073259038</v>
      </c>
      <c r="O39">
        <f t="shared" si="3"/>
        <v>0.15580002178876506</v>
      </c>
      <c r="P39">
        <f t="shared" si="4"/>
        <v>0.93480013073259038</v>
      </c>
      <c r="Q39">
        <f t="shared" si="5"/>
        <v>5.6088007843955419</v>
      </c>
      <c r="R39">
        <f t="shared" si="6"/>
        <v>33.652804706373253</v>
      </c>
    </row>
    <row r="40" spans="1:18">
      <c r="A40">
        <v>38</v>
      </c>
      <c r="B40">
        <f t="shared" si="0"/>
        <v>7.5628388955072626E-3</v>
      </c>
      <c r="L40">
        <v>37</v>
      </c>
      <c r="M40">
        <f t="shared" si="1"/>
        <v>1.4737839898937226E-2</v>
      </c>
      <c r="N40">
        <f t="shared" si="2"/>
        <v>0.54530007626067734</v>
      </c>
      <c r="O40">
        <f t="shared" si="3"/>
        <v>0.10316487929256057</v>
      </c>
      <c r="P40">
        <f t="shared" si="4"/>
        <v>0.72215415504792402</v>
      </c>
      <c r="Q40">
        <f t="shared" si="5"/>
        <v>5.0550790853354686</v>
      </c>
      <c r="R40">
        <f t="shared" si="6"/>
        <v>35.385553597348277</v>
      </c>
    </row>
    <row r="41" spans="1:18">
      <c r="A41">
        <v>39</v>
      </c>
      <c r="B41">
        <f t="shared" si="0"/>
        <v>3.4905410286956537E-3</v>
      </c>
      <c r="L41">
        <v>38</v>
      </c>
      <c r="M41">
        <f t="shared" si="1"/>
        <v>7.5628388955072626E-3</v>
      </c>
      <c r="N41">
        <f t="shared" si="2"/>
        <v>0.28738787802927596</v>
      </c>
      <c r="O41">
        <f t="shared" si="3"/>
        <v>6.0502711164058101E-2</v>
      </c>
      <c r="P41">
        <f t="shared" si="4"/>
        <v>0.48402168931246481</v>
      </c>
      <c r="Q41">
        <f t="shared" si="5"/>
        <v>3.8721735144997185</v>
      </c>
      <c r="R41">
        <f t="shared" si="6"/>
        <v>30.977388115997748</v>
      </c>
    </row>
    <row r="42" spans="1:18">
      <c r="A42">
        <v>40</v>
      </c>
      <c r="B42">
        <f t="shared" si="0"/>
        <v>1.4398481743369603E-3</v>
      </c>
      <c r="L42">
        <v>39</v>
      </c>
      <c r="M42">
        <f t="shared" si="1"/>
        <v>3.4905410286956537E-3</v>
      </c>
      <c r="N42">
        <f t="shared" si="2"/>
        <v>0.13613110011913049</v>
      </c>
      <c r="O42">
        <f t="shared" si="3"/>
        <v>3.1414869258260883E-2</v>
      </c>
      <c r="P42">
        <f t="shared" si="4"/>
        <v>0.28273382332434793</v>
      </c>
      <c r="Q42">
        <f t="shared" si="5"/>
        <v>2.5446044099191316</v>
      </c>
      <c r="R42">
        <f t="shared" si="6"/>
        <v>22.901439689272184</v>
      </c>
    </row>
    <row r="43" spans="1:18">
      <c r="A43">
        <v>41</v>
      </c>
      <c r="B43">
        <f t="shared" si="0"/>
        <v>5.2677372231839988E-4</v>
      </c>
      <c r="L43">
        <v>40</v>
      </c>
      <c r="M43">
        <f t="shared" si="1"/>
        <v>1.4398481743369603E-3</v>
      </c>
      <c r="N43">
        <f t="shared" si="2"/>
        <v>5.7593926973478413E-2</v>
      </c>
      <c r="O43">
        <f t="shared" si="3"/>
        <v>1.4398481743369603E-2</v>
      </c>
      <c r="P43">
        <f t="shared" si="4"/>
        <v>0.14398481743369604</v>
      </c>
      <c r="Q43">
        <f t="shared" si="5"/>
        <v>1.4398481743369602</v>
      </c>
      <c r="R43">
        <f t="shared" si="6"/>
        <v>14.398481743369603</v>
      </c>
    </row>
    <row r="44" spans="1:18">
      <c r="A44">
        <v>42</v>
      </c>
      <c r="B44">
        <f t="shared" si="0"/>
        <v>1.6932012503091434E-4</v>
      </c>
      <c r="L44">
        <v>41</v>
      </c>
      <c r="M44">
        <f t="shared" si="1"/>
        <v>5.2677372231839988E-4</v>
      </c>
      <c r="N44">
        <f t="shared" si="2"/>
        <v>2.1597722615054396E-2</v>
      </c>
      <c r="O44">
        <f t="shared" si="3"/>
        <v>5.7945109455023987E-3</v>
      </c>
      <c r="P44">
        <f t="shared" si="4"/>
        <v>6.3739620400526387E-2</v>
      </c>
      <c r="Q44">
        <f t="shared" si="5"/>
        <v>0.70113582440579025</v>
      </c>
      <c r="R44">
        <f t="shared" si="6"/>
        <v>7.7124940684636929</v>
      </c>
    </row>
    <row r="45" spans="1:18">
      <c r="A45">
        <v>43</v>
      </c>
      <c r="B45">
        <f t="shared" si="0"/>
        <v>4.7252127915604095E-5</v>
      </c>
      <c r="L45">
        <v>42</v>
      </c>
      <c r="M45">
        <f t="shared" si="1"/>
        <v>1.6932012503091434E-4</v>
      </c>
      <c r="N45">
        <f t="shared" si="2"/>
        <v>7.1114452512984023E-3</v>
      </c>
      <c r="O45">
        <f t="shared" si="3"/>
        <v>2.031841500370972E-3</v>
      </c>
      <c r="P45">
        <f t="shared" si="4"/>
        <v>2.4382098004451666E-2</v>
      </c>
      <c r="Q45">
        <f t="shared" si="5"/>
        <v>0.29258517605341999</v>
      </c>
      <c r="R45">
        <f t="shared" si="6"/>
        <v>3.5110221126410397</v>
      </c>
    </row>
    <row r="46" spans="1:18">
      <c r="A46">
        <v>44</v>
      </c>
      <c r="B46">
        <f t="shared" si="0"/>
        <v>1.1276075979860058E-5</v>
      </c>
      <c r="L46">
        <v>43</v>
      </c>
      <c r="M46">
        <f t="shared" si="1"/>
        <v>4.7252127915604095E-5</v>
      </c>
      <c r="N46">
        <f t="shared" si="2"/>
        <v>2.0318415003709759E-3</v>
      </c>
      <c r="O46">
        <f t="shared" si="3"/>
        <v>6.1427766290285326E-4</v>
      </c>
      <c r="P46">
        <f t="shared" si="4"/>
        <v>7.9856096177370918E-3</v>
      </c>
      <c r="Q46">
        <f t="shared" si="5"/>
        <v>0.10381292503058219</v>
      </c>
      <c r="R46">
        <f t="shared" si="6"/>
        <v>1.3495680253975686</v>
      </c>
    </row>
    <row r="47" spans="1:18">
      <c r="A47">
        <v>45</v>
      </c>
      <c r="B47">
        <f t="shared" si="0"/>
        <v>2.2552151959720124E-6</v>
      </c>
      <c r="L47">
        <v>44</v>
      </c>
      <c r="M47">
        <f t="shared" si="1"/>
        <v>1.1276075979860058E-5</v>
      </c>
      <c r="N47">
        <f t="shared" si="2"/>
        <v>4.9614734311384252E-4</v>
      </c>
      <c r="O47">
        <f t="shared" si="3"/>
        <v>1.5786506371804081E-4</v>
      </c>
      <c r="P47">
        <f t="shared" si="4"/>
        <v>2.2101108920525715E-3</v>
      </c>
      <c r="Q47">
        <f t="shared" si="5"/>
        <v>3.0941552488736E-2</v>
      </c>
      <c r="R47">
        <f t="shared" si="6"/>
        <v>0.43318173484230399</v>
      </c>
    </row>
    <row r="48" spans="1:18">
      <c r="A48">
        <v>46</v>
      </c>
      <c r="B48">
        <f t="shared" si="0"/>
        <v>3.6769812977804516E-7</v>
      </c>
      <c r="L48">
        <v>45</v>
      </c>
      <c r="M48">
        <f t="shared" si="1"/>
        <v>2.2552151959720124E-6</v>
      </c>
      <c r="N48">
        <f t="shared" si="2"/>
        <v>1.0148468381874056E-4</v>
      </c>
      <c r="O48">
        <f t="shared" si="3"/>
        <v>3.3828227939580183E-5</v>
      </c>
      <c r="P48">
        <f t="shared" si="4"/>
        <v>5.0742341909370279E-4</v>
      </c>
      <c r="Q48">
        <f t="shared" si="5"/>
        <v>7.6113512864055422E-3</v>
      </c>
      <c r="R48">
        <f t="shared" si="6"/>
        <v>0.11417026929608314</v>
      </c>
    </row>
    <row r="49" spans="1:18">
      <c r="A49">
        <v>47</v>
      </c>
      <c r="B49">
        <f t="shared" si="0"/>
        <v>4.6940186780175838E-8</v>
      </c>
      <c r="L49">
        <v>46</v>
      </c>
      <c r="M49">
        <f t="shared" si="1"/>
        <v>3.6769812977804516E-7</v>
      </c>
      <c r="N49">
        <f t="shared" si="2"/>
        <v>1.6914113969790078E-5</v>
      </c>
      <c r="O49">
        <f t="shared" si="3"/>
        <v>5.8831700764487226E-6</v>
      </c>
      <c r="P49">
        <f t="shared" si="4"/>
        <v>9.4130721223179562E-5</v>
      </c>
      <c r="Q49">
        <f t="shared" si="5"/>
        <v>1.506091539570873E-3</v>
      </c>
      <c r="R49">
        <f t="shared" si="6"/>
        <v>2.4097464633133968E-2</v>
      </c>
    </row>
    <row r="50" spans="1:18">
      <c r="A50">
        <v>48</v>
      </c>
      <c r="B50">
        <f t="shared" si="0"/>
        <v>4.4006425106414753E-9</v>
      </c>
      <c r="L50">
        <v>47</v>
      </c>
      <c r="M50">
        <f t="shared" si="1"/>
        <v>4.6940186780175838E-8</v>
      </c>
      <c r="N50">
        <f t="shared" si="2"/>
        <v>2.2061887786682644E-6</v>
      </c>
      <c r="O50">
        <f t="shared" si="3"/>
        <v>7.979831752629892E-7</v>
      </c>
      <c r="P50">
        <f t="shared" si="4"/>
        <v>1.3565713979470818E-5</v>
      </c>
      <c r="Q50">
        <f t="shared" si="5"/>
        <v>2.3061713765100389E-4</v>
      </c>
      <c r="R50">
        <f t="shared" si="6"/>
        <v>3.9204913400670664E-3</v>
      </c>
    </row>
    <row r="51" spans="1:18">
      <c r="A51">
        <v>49</v>
      </c>
      <c r="B51">
        <f t="shared" si="0"/>
        <v>2.6942709248825439E-10</v>
      </c>
      <c r="L51">
        <v>48</v>
      </c>
      <c r="M51">
        <f t="shared" si="1"/>
        <v>4.4006425106414753E-9</v>
      </c>
      <c r="N51">
        <f t="shared" si="2"/>
        <v>2.1123084051079083E-7</v>
      </c>
      <c r="O51">
        <f t="shared" si="3"/>
        <v>7.9211565191546553E-8</v>
      </c>
      <c r="P51">
        <f t="shared" si="4"/>
        <v>1.425808173447838E-6</v>
      </c>
      <c r="Q51">
        <f t="shared" si="5"/>
        <v>2.5664547122061083E-5</v>
      </c>
      <c r="R51">
        <f t="shared" si="6"/>
        <v>4.6196184819709952E-4</v>
      </c>
    </row>
    <row r="52" spans="1:18">
      <c r="A52">
        <v>50</v>
      </c>
      <c r="B52">
        <f t="shared" si="0"/>
        <v>8.0828127746476279E-12</v>
      </c>
      <c r="L52">
        <v>49</v>
      </c>
      <c r="M52">
        <f t="shared" si="1"/>
        <v>2.6942709248825439E-10</v>
      </c>
      <c r="N52">
        <f t="shared" si="2"/>
        <v>1.3201927531924465E-8</v>
      </c>
      <c r="O52">
        <f t="shared" si="3"/>
        <v>5.1191147572768331E-9</v>
      </c>
      <c r="P52">
        <f t="shared" si="4"/>
        <v>9.7263180388259832E-8</v>
      </c>
      <c r="Q52">
        <f t="shared" si="5"/>
        <v>1.848000427376937E-6</v>
      </c>
      <c r="R52">
        <f t="shared" si="6"/>
        <v>3.5112008120161802E-5</v>
      </c>
    </row>
    <row r="53" spans="1:18">
      <c r="L53">
        <v>50</v>
      </c>
      <c r="M53">
        <f t="shared" si="1"/>
        <v>8.0828127746476279E-12</v>
      </c>
      <c r="N53">
        <f t="shared" si="2"/>
        <v>4.041406387323814E-10</v>
      </c>
      <c r="O53">
        <f t="shared" si="3"/>
        <v>1.6165625549295255E-10</v>
      </c>
      <c r="P53">
        <f t="shared" si="4"/>
        <v>3.2331251098590512E-9</v>
      </c>
      <c r="Q53">
        <f t="shared" si="5"/>
        <v>6.466250219718102E-8</v>
      </c>
      <c r="R53">
        <f t="shared" si="6"/>
        <v>1.2932500439436204E-6</v>
      </c>
    </row>
    <row r="54" spans="1:18">
      <c r="M54" t="s">
        <v>46</v>
      </c>
      <c r="N54">
        <f>SUM(N3:N53)</f>
        <v>29.999999999999993</v>
      </c>
      <c r="O54">
        <f t="shared" ref="O54:R54" si="7">SUM(O3:O53)</f>
        <v>5.4632553537117598E-17</v>
      </c>
      <c r="P54">
        <f t="shared" si="7"/>
        <v>12.000000000000002</v>
      </c>
      <c r="Q54">
        <f t="shared" si="7"/>
        <v>-2.4</v>
      </c>
      <c r="R54">
        <f t="shared" si="7"/>
        <v>426.71999999999997</v>
      </c>
    </row>
    <row r="57" spans="1:18">
      <c r="M57" t="s">
        <v>100</v>
      </c>
      <c r="O57">
        <f>Q54/SQRT(P54^3)</f>
        <v>-5.7735026918962561E-2</v>
      </c>
    </row>
    <row r="58" spans="1:18">
      <c r="M58" t="s">
        <v>101</v>
      </c>
      <c r="O58">
        <f>R54/(P54^2)</f>
        <v>2.963333333333332</v>
      </c>
      <c r="P58" t="s">
        <v>102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CAF7-2666-4B0F-8D86-688AA6F9729C}">
  <dimension ref="A1:L152"/>
  <sheetViews>
    <sheetView topLeftCell="A109" workbookViewId="0">
      <selection activeCell="D6" sqref="D6"/>
    </sheetView>
  </sheetViews>
  <sheetFormatPr defaultRowHeight="14.4"/>
  <cols>
    <col min="1" max="1" width="6" bestFit="1" customWidth="1"/>
    <col min="2" max="3" width="12" bestFit="1" customWidth="1"/>
  </cols>
  <sheetData>
    <row r="1" spans="1:12">
      <c r="A1" s="40" t="s">
        <v>23</v>
      </c>
      <c r="B1" s="40" t="s">
        <v>153</v>
      </c>
      <c r="C1" s="40" t="s">
        <v>154</v>
      </c>
      <c r="D1" s="40" t="s">
        <v>96</v>
      </c>
      <c r="E1" s="32" t="s">
        <v>155</v>
      </c>
    </row>
    <row r="2" spans="1:12">
      <c r="A2">
        <v>0</v>
      </c>
      <c r="B2">
        <f>_xlfn.BINOM.DIST(A2,150,0.5,FALSE)</f>
        <v>7.006492321624118E-46</v>
      </c>
      <c r="C2">
        <f>_xlfn.POISSON.DIST(A2,75,FALSE)</f>
        <v>2.6786369618080778E-33</v>
      </c>
      <c r="D2">
        <f>A2*B2</f>
        <v>0</v>
      </c>
      <c r="E2" s="39">
        <f>SUMPRODUCT(A2:A152,B2:B152)</f>
        <v>75.000000000000028</v>
      </c>
      <c r="F2" t="s">
        <v>176</v>
      </c>
    </row>
    <row r="3" spans="1:12">
      <c r="A3">
        <v>1</v>
      </c>
      <c r="B3">
        <f t="shared" ref="B3:B66" si="0">_xlfn.BINOM.DIST(A3,150,0.5,FALSE)</f>
        <v>1.0509738482436228E-43</v>
      </c>
      <c r="C3">
        <f t="shared" ref="C3:C66" si="1">_xlfn.POISSON.DIST(A3,75,FALSE)</f>
        <v>2.008977721356058E-31</v>
      </c>
      <c r="D3">
        <f t="shared" ref="D3:D66" si="2">A3*B3</f>
        <v>1.0509738482436228E-43</v>
      </c>
      <c r="E3" s="39">
        <f>SUM(D3:D152)</f>
        <v>75.000000000000028</v>
      </c>
      <c r="F3" t="s">
        <v>177</v>
      </c>
    </row>
    <row r="4" spans="1:12">
      <c r="A4">
        <v>2</v>
      </c>
      <c r="B4">
        <f t="shared" si="0"/>
        <v>7.8297551694148478E-42</v>
      </c>
      <c r="C4">
        <f t="shared" si="1"/>
        <v>7.5336664550852185E-30</v>
      </c>
      <c r="D4">
        <f t="shared" si="2"/>
        <v>1.5659510338829696E-41</v>
      </c>
      <c r="E4" s="64" t="s">
        <v>156</v>
      </c>
      <c r="F4" s="64"/>
      <c r="G4" s="64"/>
      <c r="H4" s="64"/>
      <c r="I4" s="64"/>
      <c r="J4" s="64"/>
      <c r="K4" s="64"/>
      <c r="L4" s="64"/>
    </row>
    <row r="5" spans="1:12">
      <c r="A5">
        <v>3</v>
      </c>
      <c r="B5">
        <f t="shared" si="0"/>
        <v>3.8626792169114202E-40</v>
      </c>
      <c r="C5">
        <f t="shared" si="1"/>
        <v>1.8834166137713108E-28</v>
      </c>
      <c r="D5">
        <f t="shared" si="2"/>
        <v>1.1588037650734261E-39</v>
      </c>
    </row>
    <row r="6" spans="1:12">
      <c r="A6">
        <v>4</v>
      </c>
      <c r="B6">
        <f t="shared" si="0"/>
        <v>1.4195346122149142E-38</v>
      </c>
      <c r="C6">
        <f t="shared" si="1"/>
        <v>3.5314061508211917E-27</v>
      </c>
      <c r="D6">
        <f t="shared" si="2"/>
        <v>5.678138448859657E-38</v>
      </c>
    </row>
    <row r="7" spans="1:12">
      <c r="A7">
        <v>5</v>
      </c>
      <c r="B7">
        <f t="shared" si="0"/>
        <v>4.1450410676675652E-37</v>
      </c>
      <c r="C7">
        <f t="shared" si="1"/>
        <v>5.2971092262318248E-26</v>
      </c>
      <c r="D7">
        <f t="shared" si="2"/>
        <v>2.0725205338337826E-36</v>
      </c>
    </row>
    <row r="8" spans="1:12">
      <c r="A8">
        <v>6</v>
      </c>
      <c r="B8">
        <f t="shared" si="0"/>
        <v>1.0017182580196846E-35</v>
      </c>
      <c r="C8">
        <f t="shared" si="1"/>
        <v>6.6213865327897471E-25</v>
      </c>
      <c r="D8">
        <f t="shared" si="2"/>
        <v>6.0103095481181076E-35</v>
      </c>
    </row>
    <row r="9" spans="1:12">
      <c r="A9">
        <v>7</v>
      </c>
      <c r="B9">
        <f t="shared" si="0"/>
        <v>2.0606775593547322E-34</v>
      </c>
      <c r="C9">
        <f t="shared" si="1"/>
        <v>7.0943427137032938E-24</v>
      </c>
      <c r="D9">
        <f t="shared" si="2"/>
        <v>1.4424742915483125E-33</v>
      </c>
    </row>
    <row r="10" spans="1:12">
      <c r="A10">
        <v>8</v>
      </c>
      <c r="B10">
        <f t="shared" si="0"/>
        <v>3.6834611373465735E-33</v>
      </c>
      <c r="C10">
        <f t="shared" si="1"/>
        <v>6.6509462940968118E-23</v>
      </c>
      <c r="D10">
        <f t="shared" si="2"/>
        <v>2.9467689098772588E-32</v>
      </c>
    </row>
    <row r="11" spans="1:12">
      <c r="A11">
        <v>9</v>
      </c>
      <c r="B11">
        <f t="shared" si="0"/>
        <v>5.8116831278135489E-32</v>
      </c>
      <c r="C11">
        <f t="shared" si="1"/>
        <v>5.5424552450806907E-22</v>
      </c>
      <c r="D11">
        <f t="shared" si="2"/>
        <v>5.2305148150321944E-31</v>
      </c>
    </row>
    <row r="12" spans="1:12">
      <c r="A12">
        <v>10</v>
      </c>
      <c r="B12">
        <f t="shared" si="0"/>
        <v>8.1944732102170624E-31</v>
      </c>
      <c r="C12">
        <f t="shared" si="1"/>
        <v>4.1568414338105324E-21</v>
      </c>
      <c r="D12">
        <f t="shared" si="2"/>
        <v>8.1944732102170621E-30</v>
      </c>
    </row>
    <row r="13" spans="1:12">
      <c r="A13">
        <v>11</v>
      </c>
      <c r="B13">
        <f t="shared" si="0"/>
        <v>1.0429329540276408E-29</v>
      </c>
      <c r="C13">
        <f t="shared" si="1"/>
        <v>2.834210068507171E-20</v>
      </c>
      <c r="D13">
        <f t="shared" si="2"/>
        <v>1.1472262494304048E-28</v>
      </c>
    </row>
    <row r="14" spans="1:12">
      <c r="A14">
        <v>12</v>
      </c>
      <c r="B14">
        <f t="shared" si="0"/>
        <v>1.2080640050819962E-28</v>
      </c>
      <c r="C14">
        <f t="shared" si="1"/>
        <v>1.771381292816991E-19</v>
      </c>
      <c r="D14">
        <f t="shared" si="2"/>
        <v>1.4496768060983954E-27</v>
      </c>
    </row>
    <row r="15" spans="1:12">
      <c r="A15">
        <v>13</v>
      </c>
      <c r="B15">
        <f t="shared" si="0"/>
        <v>1.2824064053947353E-27</v>
      </c>
      <c r="C15">
        <f t="shared" si="1"/>
        <v>1.0219507458559482E-18</v>
      </c>
      <c r="D15">
        <f t="shared" si="2"/>
        <v>1.6671283270131561E-26</v>
      </c>
    </row>
    <row r="16" spans="1:12">
      <c r="A16">
        <v>14</v>
      </c>
      <c r="B16">
        <f t="shared" si="0"/>
        <v>1.2549262681362819E-26</v>
      </c>
      <c r="C16">
        <f t="shared" si="1"/>
        <v>5.4747361385140163E-18</v>
      </c>
      <c r="D16">
        <f t="shared" si="2"/>
        <v>1.7568967753907946E-25</v>
      </c>
    </row>
    <row r="17" spans="1:8">
      <c r="A17">
        <v>15</v>
      </c>
      <c r="B17">
        <f t="shared" si="0"/>
        <v>1.1377998164435499E-25</v>
      </c>
      <c r="C17">
        <f t="shared" si="1"/>
        <v>2.7373680692570212E-17</v>
      </c>
      <c r="D17">
        <f t="shared" si="2"/>
        <v>1.7066997246653249E-24</v>
      </c>
    </row>
    <row r="18" spans="1:8">
      <c r="A18">
        <v>16</v>
      </c>
      <c r="B18">
        <f t="shared" si="0"/>
        <v>9.6001859512425543E-25</v>
      </c>
      <c r="C18">
        <f t="shared" si="1"/>
        <v>1.2831412824642278E-16</v>
      </c>
      <c r="D18">
        <f t="shared" si="2"/>
        <v>1.5360297521988087E-23</v>
      </c>
    </row>
    <row r="19" spans="1:8">
      <c r="A19">
        <v>17</v>
      </c>
      <c r="B19">
        <f t="shared" si="0"/>
        <v>7.5672053968617139E-24</v>
      </c>
      <c r="C19">
        <f t="shared" si="1"/>
        <v>5.6609174226362885E-16</v>
      </c>
      <c r="D19">
        <f t="shared" si="2"/>
        <v>1.2864249174664913E-22</v>
      </c>
    </row>
    <row r="20" spans="1:8">
      <c r="A20">
        <v>18</v>
      </c>
      <c r="B20">
        <f t="shared" si="0"/>
        <v>5.5913239876811938E-23</v>
      </c>
      <c r="C20">
        <f t="shared" si="1"/>
        <v>2.3587155927651277E-15</v>
      </c>
      <c r="D20">
        <f t="shared" si="2"/>
        <v>1.0064383177826149E-21</v>
      </c>
    </row>
    <row r="21" spans="1:8">
      <c r="A21">
        <v>19</v>
      </c>
      <c r="B21">
        <f t="shared" si="0"/>
        <v>3.8844987703890734E-22</v>
      </c>
      <c r="C21">
        <f t="shared" si="1"/>
        <v>9.3107194451254424E-15</v>
      </c>
      <c r="D21">
        <f t="shared" si="2"/>
        <v>7.3805476637392391E-21</v>
      </c>
    </row>
    <row r="22" spans="1:8">
      <c r="A22">
        <v>20</v>
      </c>
      <c r="B22">
        <f t="shared" si="0"/>
        <v>2.5443466946048164E-21</v>
      </c>
      <c r="C22">
        <f t="shared" si="1"/>
        <v>3.4915197919220622E-14</v>
      </c>
      <c r="D22">
        <f t="shared" si="2"/>
        <v>5.0886933892096329E-20</v>
      </c>
    </row>
    <row r="23" spans="1:8">
      <c r="A23">
        <v>21</v>
      </c>
      <c r="B23">
        <f t="shared" si="0"/>
        <v>1.5750717633267819E-20</v>
      </c>
      <c r="C23">
        <f t="shared" si="1"/>
        <v>1.2469713542578752E-13</v>
      </c>
      <c r="D23">
        <f t="shared" si="2"/>
        <v>3.3076507029862418E-19</v>
      </c>
    </row>
    <row r="24" spans="1:8">
      <c r="A24">
        <v>22</v>
      </c>
      <c r="B24">
        <f t="shared" si="0"/>
        <v>9.2356480667798307E-20</v>
      </c>
      <c r="C24">
        <f t="shared" si="1"/>
        <v>4.2510387076973089E-13</v>
      </c>
      <c r="D24">
        <f t="shared" si="2"/>
        <v>2.0318425746915629E-18</v>
      </c>
      <c r="H24" t="s">
        <v>157</v>
      </c>
    </row>
    <row r="25" spans="1:8">
      <c r="A25">
        <v>23</v>
      </c>
      <c r="B25">
        <f t="shared" si="0"/>
        <v>5.1398389241209323E-19</v>
      </c>
      <c r="C25">
        <f t="shared" si="1"/>
        <v>1.3862082742491292E-12</v>
      </c>
      <c r="D25">
        <f t="shared" si="2"/>
        <v>1.1821629525478145E-17</v>
      </c>
    </row>
    <row r="26" spans="1:8">
      <c r="A26">
        <v>24</v>
      </c>
      <c r="B26">
        <f t="shared" si="0"/>
        <v>2.7198314306807092E-18</v>
      </c>
      <c r="C26">
        <f t="shared" si="1"/>
        <v>4.331900857028505E-12</v>
      </c>
      <c r="D26">
        <f t="shared" si="2"/>
        <v>6.5275954336337026E-17</v>
      </c>
    </row>
    <row r="27" spans="1:8">
      <c r="A27">
        <v>25</v>
      </c>
      <c r="B27">
        <f t="shared" si="0"/>
        <v>1.3707950410630521E-17</v>
      </c>
      <c r="C27">
        <f t="shared" si="1"/>
        <v>1.2995702571085546E-11</v>
      </c>
      <c r="D27">
        <f t="shared" si="2"/>
        <v>3.4269876026576305E-16</v>
      </c>
    </row>
    <row r="28" spans="1:8">
      <c r="A28">
        <v>26</v>
      </c>
      <c r="B28">
        <f t="shared" si="0"/>
        <v>6.5903607743416455E-17</v>
      </c>
      <c r="C28">
        <f t="shared" si="1"/>
        <v>3.7487603570439063E-11</v>
      </c>
      <c r="D28">
        <f t="shared" si="2"/>
        <v>1.7134938013288278E-15</v>
      </c>
    </row>
    <row r="29" spans="1:8">
      <c r="A29">
        <v>27</v>
      </c>
      <c r="B29">
        <f t="shared" si="0"/>
        <v>3.02668420747544E-16</v>
      </c>
      <c r="C29">
        <f t="shared" si="1"/>
        <v>1.0413223214010841E-10</v>
      </c>
      <c r="D29">
        <f t="shared" si="2"/>
        <v>8.1720473601836883E-15</v>
      </c>
    </row>
    <row r="30" spans="1:8">
      <c r="A30">
        <v>28</v>
      </c>
      <c r="B30">
        <f t="shared" si="0"/>
        <v>1.3295791339981186E-15</v>
      </c>
      <c r="C30">
        <f t="shared" si="1"/>
        <v>2.7892562180386096E-10</v>
      </c>
      <c r="D30">
        <f t="shared" si="2"/>
        <v>3.7228215751947323E-14</v>
      </c>
    </row>
    <row r="31" spans="1:8">
      <c r="A31">
        <v>29</v>
      </c>
      <c r="B31">
        <f t="shared" si="0"/>
        <v>5.5934018740610964E-15</v>
      </c>
      <c r="C31">
        <f t="shared" si="1"/>
        <v>7.2135936673412578E-10</v>
      </c>
      <c r="D31">
        <f t="shared" si="2"/>
        <v>1.6220865434777179E-13</v>
      </c>
    </row>
    <row r="32" spans="1:8">
      <c r="A32">
        <v>30</v>
      </c>
      <c r="B32">
        <f t="shared" si="0"/>
        <v>2.2560054225379517E-14</v>
      </c>
      <c r="C32">
        <f t="shared" si="1"/>
        <v>1.8033984168353112E-9</v>
      </c>
      <c r="D32">
        <f t="shared" si="2"/>
        <v>6.7680162676138553E-13</v>
      </c>
    </row>
    <row r="33" spans="1:4">
      <c r="A33">
        <v>31</v>
      </c>
      <c r="B33">
        <f t="shared" si="0"/>
        <v>8.7329242162760296E-14</v>
      </c>
      <c r="C33">
        <f t="shared" si="1"/>
        <v>4.3630606858918848E-9</v>
      </c>
      <c r="D33">
        <f t="shared" si="2"/>
        <v>2.7072065070455692E-12</v>
      </c>
    </row>
    <row r="34" spans="1:4">
      <c r="A34">
        <v>32</v>
      </c>
      <c r="B34">
        <f t="shared" si="0"/>
        <v>3.2475561929276727E-13</v>
      </c>
      <c r="C34">
        <f t="shared" si="1"/>
        <v>1.0225923482559078E-8</v>
      </c>
      <c r="D34">
        <f t="shared" si="2"/>
        <v>1.0392179817368553E-11</v>
      </c>
    </row>
    <row r="35" spans="1:4">
      <c r="A35">
        <v>33</v>
      </c>
      <c r="B35">
        <f t="shared" si="0"/>
        <v>1.1612473659559358E-12</v>
      </c>
      <c r="C35">
        <f t="shared" si="1"/>
        <v>2.3240735187634359E-8</v>
      </c>
      <c r="D35">
        <f t="shared" si="2"/>
        <v>3.8321163076545881E-11</v>
      </c>
    </row>
    <row r="36" spans="1:4">
      <c r="A36">
        <v>34</v>
      </c>
      <c r="B36">
        <f t="shared" si="0"/>
        <v>3.9960571122601796E-12</v>
      </c>
      <c r="C36">
        <f t="shared" si="1"/>
        <v>5.1266327619781742E-8</v>
      </c>
      <c r="D36">
        <f t="shared" si="2"/>
        <v>1.358659418168461E-10</v>
      </c>
    </row>
    <row r="37" spans="1:4">
      <c r="A37">
        <v>35</v>
      </c>
      <c r="B37">
        <f t="shared" si="0"/>
        <v>1.3244075000633628E-11</v>
      </c>
      <c r="C37">
        <f t="shared" si="1"/>
        <v>1.0985641632810318E-7</v>
      </c>
      <c r="D37">
        <f t="shared" si="2"/>
        <v>4.6354262502217696E-10</v>
      </c>
    </row>
    <row r="38" spans="1:4">
      <c r="A38">
        <v>36</v>
      </c>
      <c r="B38">
        <f t="shared" si="0"/>
        <v>4.2307461807579658E-11</v>
      </c>
      <c r="C38">
        <f t="shared" si="1"/>
        <v>2.2886753401688196E-7</v>
      </c>
      <c r="D38">
        <f t="shared" si="2"/>
        <v>1.5230686250728678E-9</v>
      </c>
    </row>
    <row r="39" spans="1:4">
      <c r="A39">
        <v>37</v>
      </c>
      <c r="B39">
        <f t="shared" si="0"/>
        <v>1.3035272016389525E-10</v>
      </c>
      <c r="C39">
        <f t="shared" si="1"/>
        <v>4.639206770612478E-7</v>
      </c>
      <c r="D39">
        <f t="shared" si="2"/>
        <v>4.8230506460641241E-9</v>
      </c>
    </row>
    <row r="40" spans="1:4">
      <c r="A40">
        <v>38</v>
      </c>
      <c r="B40">
        <f t="shared" si="0"/>
        <v>3.8762782575052838E-10</v>
      </c>
      <c r="C40">
        <f t="shared" si="1"/>
        <v>9.1563291525245874E-7</v>
      </c>
      <c r="D40">
        <f t="shared" si="2"/>
        <v>1.4729857378520079E-8</v>
      </c>
    </row>
    <row r="41" spans="1:4">
      <c r="A41">
        <v>39</v>
      </c>
      <c r="B41">
        <f t="shared" si="0"/>
        <v>1.1131876021553637E-9</v>
      </c>
      <c r="C41">
        <f t="shared" si="1"/>
        <v>1.7608325293316535E-6</v>
      </c>
      <c r="D41">
        <f t="shared" si="2"/>
        <v>4.3414316484059182E-8</v>
      </c>
    </row>
    <row r="42" spans="1:4">
      <c r="A42">
        <v>40</v>
      </c>
      <c r="B42">
        <f t="shared" si="0"/>
        <v>3.0890955959811329E-9</v>
      </c>
      <c r="C42">
        <f t="shared" si="1"/>
        <v>3.3015609924968749E-6</v>
      </c>
      <c r="D42">
        <f t="shared" si="2"/>
        <v>1.2356382383924533E-7</v>
      </c>
    </row>
    <row r="43" spans="1:4">
      <c r="A43">
        <v>41</v>
      </c>
      <c r="B43">
        <f t="shared" si="0"/>
        <v>8.2878174526323783E-9</v>
      </c>
      <c r="C43">
        <f t="shared" si="1"/>
        <v>6.0394408399333098E-6</v>
      </c>
      <c r="D43">
        <f t="shared" si="2"/>
        <v>3.398005155579275E-7</v>
      </c>
    </row>
    <row r="44" spans="1:4">
      <c r="A44">
        <v>42</v>
      </c>
      <c r="B44">
        <f t="shared" si="0"/>
        <v>2.1508859579450411E-8</v>
      </c>
      <c r="C44">
        <f t="shared" si="1"/>
        <v>1.0784715785595121E-5</v>
      </c>
      <c r="D44">
        <f t="shared" si="2"/>
        <v>9.0337210233691723E-7</v>
      </c>
    </row>
    <row r="45" spans="1:4">
      <c r="A45">
        <v>43</v>
      </c>
      <c r="B45">
        <f t="shared" si="0"/>
        <v>5.4022251966991847E-8</v>
      </c>
      <c r="C45">
        <f t="shared" si="1"/>
        <v>1.8810550788828684E-5</v>
      </c>
      <c r="D45">
        <f t="shared" si="2"/>
        <v>2.3229568345806495E-6</v>
      </c>
    </row>
    <row r="46" spans="1:4">
      <c r="A46">
        <v>44</v>
      </c>
      <c r="B46">
        <f t="shared" si="0"/>
        <v>1.3137229455609447E-7</v>
      </c>
      <c r="C46">
        <f t="shared" si="1"/>
        <v>3.2063438844594481E-5</v>
      </c>
      <c r="D46">
        <f t="shared" si="2"/>
        <v>5.7803809604681569E-6</v>
      </c>
    </row>
    <row r="47" spans="1:4">
      <c r="A47">
        <v>45</v>
      </c>
      <c r="B47">
        <f t="shared" si="0"/>
        <v>3.0945473828769134E-7</v>
      </c>
      <c r="C47">
        <f t="shared" si="1"/>
        <v>5.3439064740990788E-5</v>
      </c>
      <c r="D47">
        <f t="shared" si="2"/>
        <v>1.392546322294611E-5</v>
      </c>
    </row>
    <row r="48" spans="1:4">
      <c r="A48">
        <v>46</v>
      </c>
      <c r="B48">
        <f t="shared" si="0"/>
        <v>7.0636407652624944E-7</v>
      </c>
      <c r="C48">
        <f t="shared" si="1"/>
        <v>8.7128909903789532E-5</v>
      </c>
      <c r="D48">
        <f t="shared" si="2"/>
        <v>3.2492747520207477E-5</v>
      </c>
    </row>
    <row r="49" spans="1:4">
      <c r="A49">
        <v>47</v>
      </c>
      <c r="B49">
        <f t="shared" si="0"/>
        <v>1.5630183821006257E-6</v>
      </c>
      <c r="C49">
        <f t="shared" si="1"/>
        <v>1.3903549452732287E-4</v>
      </c>
      <c r="D49">
        <f t="shared" si="2"/>
        <v>7.3461863958729408E-5</v>
      </c>
    </row>
    <row r="50" spans="1:4">
      <c r="A50">
        <v>48</v>
      </c>
      <c r="B50">
        <f t="shared" si="0"/>
        <v>3.3539769449242648E-6</v>
      </c>
      <c r="C50">
        <f t="shared" si="1"/>
        <v>2.172429601989425E-4</v>
      </c>
      <c r="D50">
        <f t="shared" si="2"/>
        <v>1.609908933563647E-4</v>
      </c>
    </row>
    <row r="51" spans="1:4">
      <c r="A51">
        <v>49</v>
      </c>
      <c r="B51">
        <f t="shared" si="0"/>
        <v>6.9817479261689009E-6</v>
      </c>
      <c r="C51">
        <f t="shared" si="1"/>
        <v>3.3251473499838091E-4</v>
      </c>
      <c r="D51">
        <f t="shared" si="2"/>
        <v>3.4210564838227614E-4</v>
      </c>
    </row>
    <row r="52" spans="1:4">
      <c r="A52">
        <v>50</v>
      </c>
      <c r="B52">
        <f t="shared" si="0"/>
        <v>1.4103130810861158E-5</v>
      </c>
      <c r="C52">
        <f t="shared" si="1"/>
        <v>4.9877210249757193E-4</v>
      </c>
      <c r="D52">
        <f t="shared" si="2"/>
        <v>7.0515654054305787E-4</v>
      </c>
    </row>
    <row r="53" spans="1:4">
      <c r="A53">
        <v>51</v>
      </c>
      <c r="B53">
        <f t="shared" si="0"/>
        <v>2.7653197668355155E-5</v>
      </c>
      <c r="C53">
        <f t="shared" si="1"/>
        <v>7.3348838602584239E-4</v>
      </c>
      <c r="D53">
        <f t="shared" si="2"/>
        <v>1.4103130810861129E-3</v>
      </c>
    </row>
    <row r="54" spans="1:4">
      <c r="A54">
        <v>52</v>
      </c>
      <c r="B54">
        <f t="shared" si="0"/>
        <v>5.264743402244535E-5</v>
      </c>
      <c r="C54">
        <f t="shared" si="1"/>
        <v>1.0579159413834235E-3</v>
      </c>
      <c r="D54">
        <f t="shared" si="2"/>
        <v>2.737666569167158E-3</v>
      </c>
    </row>
    <row r="55" spans="1:4">
      <c r="A55">
        <v>53</v>
      </c>
      <c r="B55">
        <f t="shared" si="0"/>
        <v>9.734808555093689E-5</v>
      </c>
      <c r="C55">
        <f t="shared" si="1"/>
        <v>1.4970508604482448E-3</v>
      </c>
      <c r="D55">
        <f t="shared" si="2"/>
        <v>5.1594485341996555E-3</v>
      </c>
    </row>
    <row r="56" spans="1:4">
      <c r="A56">
        <v>54</v>
      </c>
      <c r="B56">
        <f t="shared" si="0"/>
        <v>1.7486600552668314E-4</v>
      </c>
      <c r="C56">
        <f t="shared" si="1"/>
        <v>2.0792373061781183E-3</v>
      </c>
      <c r="D56">
        <f t="shared" si="2"/>
        <v>9.4427642984408894E-3</v>
      </c>
    </row>
    <row r="57" spans="1:4">
      <c r="A57">
        <v>55</v>
      </c>
      <c r="B57">
        <f t="shared" si="0"/>
        <v>3.052206641920284E-4</v>
      </c>
      <c r="C57">
        <f t="shared" si="1"/>
        <v>2.8353235993337973E-3</v>
      </c>
      <c r="D57">
        <f t="shared" si="2"/>
        <v>1.6787136530561561E-2</v>
      </c>
    </row>
    <row r="58" spans="1:4">
      <c r="A58">
        <v>56</v>
      </c>
      <c r="B58">
        <f t="shared" si="0"/>
        <v>5.1778505532576295E-4</v>
      </c>
      <c r="C58">
        <f t="shared" si="1"/>
        <v>3.797308391964896E-3</v>
      </c>
      <c r="D58">
        <f t="shared" si="2"/>
        <v>2.8995963098242726E-2</v>
      </c>
    </row>
    <row r="59" spans="1:4">
      <c r="A59">
        <v>57</v>
      </c>
      <c r="B59">
        <f t="shared" si="0"/>
        <v>8.5389114387055323E-4</v>
      </c>
      <c r="C59">
        <f t="shared" si="1"/>
        <v>4.9964584104801278E-3</v>
      </c>
      <c r="D59">
        <f t="shared" si="2"/>
        <v>4.8671795200621537E-2</v>
      </c>
    </row>
    <row r="60" spans="1:4">
      <c r="A60">
        <v>58</v>
      </c>
      <c r="B60">
        <f t="shared" si="0"/>
        <v>1.3691702824131316E-3</v>
      </c>
      <c r="C60">
        <f t="shared" si="1"/>
        <v>6.4609375997587981E-3</v>
      </c>
      <c r="D60">
        <f t="shared" si="2"/>
        <v>7.9411876379961638E-2</v>
      </c>
    </row>
    <row r="61" spans="1:4">
      <c r="A61">
        <v>59</v>
      </c>
      <c r="B61">
        <f t="shared" si="0"/>
        <v>2.1349773895255647E-3</v>
      </c>
      <c r="C61">
        <f t="shared" si="1"/>
        <v>8.2130562708798219E-3</v>
      </c>
      <c r="D61">
        <f t="shared" si="2"/>
        <v>0.12596366598200831</v>
      </c>
    </row>
    <row r="62" spans="1:4">
      <c r="A62">
        <v>60</v>
      </c>
      <c r="B62">
        <f t="shared" si="0"/>
        <v>3.2380490407804413E-3</v>
      </c>
      <c r="C62">
        <f t="shared" si="1"/>
        <v>1.0266320338599788E-2</v>
      </c>
      <c r="D62">
        <f t="shared" si="2"/>
        <v>0.19428294244682648</v>
      </c>
    </row>
    <row r="63" spans="1:4">
      <c r="A63">
        <v>61</v>
      </c>
      <c r="B63">
        <f t="shared" si="0"/>
        <v>4.7774494044301652E-3</v>
      </c>
      <c r="C63">
        <f t="shared" si="1"/>
        <v>1.2622525006475148E-2</v>
      </c>
      <c r="D63">
        <f t="shared" si="2"/>
        <v>0.29142441367024008</v>
      </c>
    </row>
    <row r="64" spans="1:4">
      <c r="A64">
        <v>62</v>
      </c>
      <c r="B64">
        <f t="shared" si="0"/>
        <v>6.8579515644239392E-3</v>
      </c>
      <c r="C64">
        <f t="shared" si="1"/>
        <v>1.5269183475574769E-2</v>
      </c>
      <c r="D64">
        <f t="shared" si="2"/>
        <v>0.42519299699428426</v>
      </c>
    </row>
    <row r="65" spans="1:4">
      <c r="A65">
        <v>63</v>
      </c>
      <c r="B65">
        <f t="shared" si="0"/>
        <v>9.5793609153858022E-3</v>
      </c>
      <c r="C65">
        <f t="shared" si="1"/>
        <v>1.817759937568425E-2</v>
      </c>
      <c r="D65">
        <f t="shared" si="2"/>
        <v>0.60349973766930554</v>
      </c>
    </row>
    <row r="66" spans="1:4">
      <c r="A66">
        <v>64</v>
      </c>
      <c r="B66">
        <f t="shared" si="0"/>
        <v>1.3021943744352596E-2</v>
      </c>
      <c r="C66">
        <f t="shared" si="1"/>
        <v>2.1301874268379987E-2</v>
      </c>
      <c r="D66">
        <f t="shared" si="2"/>
        <v>0.83340439963856616</v>
      </c>
    </row>
    <row r="67" spans="1:4">
      <c r="A67">
        <v>65</v>
      </c>
      <c r="B67">
        <f t="shared" ref="B67:B130" si="3">_xlfn.BINOM.DIST(A67,150,0.5,FALSE)</f>
        <v>1.7229033261758828E-2</v>
      </c>
      <c r="C67">
        <f t="shared" ref="C67:C130" si="4">_xlfn.POISSON.DIST(A67,75,FALSE)</f>
        <v>2.4579085694284634E-2</v>
      </c>
      <c r="D67">
        <f t="shared" ref="D67:D130" si="5">A67*B67</f>
        <v>1.1198871620143238</v>
      </c>
    </row>
    <row r="68" spans="1:4">
      <c r="A68">
        <v>66</v>
      </c>
      <c r="B68">
        <f t="shared" si="3"/>
        <v>2.2188906473477259E-2</v>
      </c>
      <c r="C68">
        <f t="shared" si="4"/>
        <v>2.7930779198050683E-2</v>
      </c>
      <c r="D68">
        <f t="shared" si="5"/>
        <v>1.4644678272494991</v>
      </c>
    </row>
    <row r="69" spans="1:4">
      <c r="A69">
        <v>67</v>
      </c>
      <c r="B69">
        <f t="shared" si="3"/>
        <v>2.7818927518986382E-2</v>
      </c>
      <c r="C69">
        <f t="shared" si="4"/>
        <v>3.1265797609758214E-2</v>
      </c>
      <c r="D69">
        <f t="shared" si="5"/>
        <v>1.8638681437720876</v>
      </c>
    </row>
    <row r="70" spans="1:4">
      <c r="A70">
        <v>68</v>
      </c>
      <c r="B70">
        <f t="shared" si="3"/>
        <v>3.3955455648174579E-2</v>
      </c>
      <c r="C70">
        <f t="shared" si="4"/>
        <v>3.4484335598998057E-2</v>
      </c>
      <c r="D70">
        <f t="shared" si="5"/>
        <v>2.3089709840758714</v>
      </c>
    </row>
    <row r="71" spans="1:4">
      <c r="A71">
        <v>69</v>
      </c>
      <c r="B71">
        <f t="shared" si="3"/>
        <v>4.0352860335511803E-2</v>
      </c>
      <c r="C71">
        <f t="shared" si="4"/>
        <v>3.7482973477171756E-2</v>
      </c>
      <c r="D71">
        <f t="shared" si="5"/>
        <v>2.7843473631503146</v>
      </c>
    </row>
    <row r="72" spans="1:4">
      <c r="A72">
        <v>70</v>
      </c>
      <c r="B72">
        <f t="shared" si="3"/>
        <v>4.6694024102520847E-2</v>
      </c>
      <c r="C72">
        <f t="shared" si="4"/>
        <v>4.0160328725541206E-2</v>
      </c>
      <c r="D72">
        <f t="shared" si="5"/>
        <v>3.2685816871764595</v>
      </c>
    </row>
    <row r="73" spans="1:4">
      <c r="A73">
        <v>71</v>
      </c>
      <c r="B73">
        <f t="shared" si="3"/>
        <v>5.2612984904248795E-2</v>
      </c>
      <c r="C73">
        <f t="shared" si="4"/>
        <v>4.2422882456557585E-2</v>
      </c>
      <c r="D73">
        <f t="shared" si="5"/>
        <v>3.7355219282016643</v>
      </c>
    </row>
    <row r="74" spans="1:4">
      <c r="A74">
        <v>72</v>
      </c>
      <c r="B74">
        <f t="shared" si="3"/>
        <v>5.7728136214384142E-2</v>
      </c>
      <c r="C74">
        <f t="shared" si="4"/>
        <v>4.4190502558914165E-2</v>
      </c>
      <c r="D74">
        <f t="shared" si="5"/>
        <v>4.1564258074356584</v>
      </c>
    </row>
    <row r="75" spans="1:4">
      <c r="A75">
        <v>73</v>
      </c>
      <c r="B75">
        <f t="shared" si="3"/>
        <v>6.16821181468762E-2</v>
      </c>
      <c r="C75">
        <f t="shared" si="4"/>
        <v>4.5401201259158384E-2</v>
      </c>
      <c r="D75">
        <f t="shared" si="5"/>
        <v>4.5027946247219628</v>
      </c>
    </row>
    <row r="76" spans="1:4">
      <c r="A76">
        <v>74</v>
      </c>
      <c r="B76">
        <f t="shared" si="3"/>
        <v>6.4182744558236027E-2</v>
      </c>
      <c r="C76">
        <f t="shared" si="4"/>
        <v>4.6014731005903774E-2</v>
      </c>
      <c r="D76">
        <f t="shared" si="5"/>
        <v>4.7495230973094662</v>
      </c>
    </row>
    <row r="77" spans="1:4">
      <c r="A77">
        <v>75</v>
      </c>
      <c r="B77">
        <f t="shared" si="3"/>
        <v>6.5038514485679211E-2</v>
      </c>
      <c r="C77">
        <f t="shared" si="4"/>
        <v>4.6014731005903774E-2</v>
      </c>
      <c r="D77">
        <f t="shared" si="5"/>
        <v>4.8778885864259411</v>
      </c>
    </row>
    <row r="78" spans="1:4">
      <c r="A78">
        <v>76</v>
      </c>
      <c r="B78">
        <f t="shared" si="3"/>
        <v>6.4182744558236027E-2</v>
      </c>
      <c r="C78">
        <f t="shared" si="4"/>
        <v>4.5409274018983987E-2</v>
      </c>
      <c r="D78">
        <f t="shared" si="5"/>
        <v>4.8778885864259376</v>
      </c>
    </row>
    <row r="79" spans="1:4">
      <c r="A79">
        <v>77</v>
      </c>
      <c r="B79">
        <f t="shared" si="3"/>
        <v>6.16821181468762E-2</v>
      </c>
      <c r="C79">
        <f t="shared" si="4"/>
        <v>4.4229812356153239E-2</v>
      </c>
      <c r="D79">
        <f t="shared" si="5"/>
        <v>4.7495230973094671</v>
      </c>
    </row>
    <row r="80" spans="1:4">
      <c r="A80">
        <v>78</v>
      </c>
      <c r="B80">
        <f t="shared" si="3"/>
        <v>5.7728136214384142E-2</v>
      </c>
      <c r="C80">
        <f t="shared" si="4"/>
        <v>4.2528665727070418E-2</v>
      </c>
      <c r="D80">
        <f t="shared" si="5"/>
        <v>4.5027946247219628</v>
      </c>
    </row>
    <row r="81" spans="1:4">
      <c r="A81">
        <v>79</v>
      </c>
      <c r="B81">
        <f t="shared" si="3"/>
        <v>5.2612984904248795E-2</v>
      </c>
      <c r="C81">
        <f t="shared" si="4"/>
        <v>4.0375315563674422E-2</v>
      </c>
      <c r="D81">
        <f t="shared" si="5"/>
        <v>4.1564258074356548</v>
      </c>
    </row>
    <row r="82" spans="1:4">
      <c r="A82">
        <v>80</v>
      </c>
      <c r="B82">
        <f t="shared" si="3"/>
        <v>4.6694024102520847E-2</v>
      </c>
      <c r="C82">
        <f t="shared" si="4"/>
        <v>3.7851858340944788E-2</v>
      </c>
      <c r="D82">
        <f t="shared" si="5"/>
        <v>3.7355219282016678</v>
      </c>
    </row>
    <row r="83" spans="1:4">
      <c r="A83">
        <v>81</v>
      </c>
      <c r="B83">
        <f t="shared" si="3"/>
        <v>4.0352860335511803E-2</v>
      </c>
      <c r="C83">
        <f t="shared" si="4"/>
        <v>3.5048016982356288E-2</v>
      </c>
      <c r="D83">
        <f t="shared" si="5"/>
        <v>3.2685816871764559</v>
      </c>
    </row>
    <row r="84" spans="1:4">
      <c r="A84">
        <v>82</v>
      </c>
      <c r="B84">
        <f t="shared" si="3"/>
        <v>3.3955455648174579E-2</v>
      </c>
      <c r="C84">
        <f t="shared" si="4"/>
        <v>3.2056113093618541E-2</v>
      </c>
      <c r="D84">
        <f t="shared" si="5"/>
        <v>2.7843473631503155</v>
      </c>
    </row>
    <row r="85" spans="1:4">
      <c r="A85">
        <v>83</v>
      </c>
      <c r="B85">
        <f t="shared" si="3"/>
        <v>2.7818927518986382E-2</v>
      </c>
      <c r="C85">
        <f t="shared" si="4"/>
        <v>2.8966367253269752E-2</v>
      </c>
      <c r="D85">
        <f t="shared" si="5"/>
        <v>2.3089709840758696</v>
      </c>
    </row>
    <row r="86" spans="1:4">
      <c r="A86">
        <v>84</v>
      </c>
      <c r="B86">
        <f t="shared" si="3"/>
        <v>2.2188906473477259E-2</v>
      </c>
      <c r="C86">
        <f t="shared" si="4"/>
        <v>2.5862827904705146E-2</v>
      </c>
      <c r="D86">
        <f t="shared" si="5"/>
        <v>1.8638681437720896</v>
      </c>
    </row>
    <row r="87" spans="1:4">
      <c r="A87">
        <v>85</v>
      </c>
      <c r="B87">
        <f t="shared" si="3"/>
        <v>1.7229033261758828E-2</v>
      </c>
      <c r="C87">
        <f t="shared" si="4"/>
        <v>2.2820142268857476E-2</v>
      </c>
      <c r="D87">
        <f t="shared" si="5"/>
        <v>1.4644678272495004</v>
      </c>
    </row>
    <row r="88" spans="1:4">
      <c r="A88">
        <v>86</v>
      </c>
      <c r="B88">
        <f t="shared" si="3"/>
        <v>1.3021943744352596E-2</v>
      </c>
      <c r="C88">
        <f t="shared" si="4"/>
        <v>1.990128686237572E-2</v>
      </c>
      <c r="D88">
        <f t="shared" si="5"/>
        <v>1.1198871620143234</v>
      </c>
    </row>
    <row r="89" spans="1:4">
      <c r="A89">
        <v>87</v>
      </c>
      <c r="B89">
        <f t="shared" si="3"/>
        <v>9.5793609153858057E-3</v>
      </c>
      <c r="C89">
        <f t="shared" si="4"/>
        <v>1.7156281777910093E-2</v>
      </c>
      <c r="D89">
        <f t="shared" si="5"/>
        <v>0.83340439963856505</v>
      </c>
    </row>
    <row r="90" spans="1:4">
      <c r="A90">
        <v>88</v>
      </c>
      <c r="B90">
        <f t="shared" si="3"/>
        <v>6.8579515644239392E-3</v>
      </c>
      <c r="C90">
        <f t="shared" si="4"/>
        <v>1.462183106071885E-2</v>
      </c>
      <c r="D90">
        <f t="shared" si="5"/>
        <v>0.60349973766930665</v>
      </c>
    </row>
    <row r="91" spans="1:4">
      <c r="A91">
        <v>89</v>
      </c>
      <c r="B91">
        <f t="shared" si="3"/>
        <v>4.7774494044301669E-3</v>
      </c>
      <c r="C91">
        <f t="shared" si="4"/>
        <v>1.2321767747796794E-2</v>
      </c>
      <c r="D91">
        <f t="shared" si="5"/>
        <v>0.42519299699428487</v>
      </c>
    </row>
    <row r="92" spans="1:4">
      <c r="A92">
        <v>90</v>
      </c>
      <c r="B92">
        <f t="shared" si="3"/>
        <v>3.2380490407804413E-3</v>
      </c>
      <c r="C92">
        <f t="shared" si="4"/>
        <v>1.0268139789830644E-2</v>
      </c>
      <c r="D92">
        <f t="shared" si="5"/>
        <v>0.29142441367023975</v>
      </c>
    </row>
    <row r="93" spans="1:4">
      <c r="A93">
        <v>91</v>
      </c>
      <c r="B93">
        <f t="shared" si="3"/>
        <v>2.134977389525566E-3</v>
      </c>
      <c r="C93">
        <f t="shared" si="4"/>
        <v>8.462752574036253E-3</v>
      </c>
      <c r="D93">
        <f t="shared" si="5"/>
        <v>0.19428294244682651</v>
      </c>
    </row>
    <row r="94" spans="1:4">
      <c r="A94">
        <v>92</v>
      </c>
      <c r="B94">
        <f t="shared" si="3"/>
        <v>1.3691702824131316E-3</v>
      </c>
      <c r="C94">
        <f t="shared" si="4"/>
        <v>6.8989830766599709E-3</v>
      </c>
      <c r="D94">
        <f t="shared" si="5"/>
        <v>0.12596366598200812</v>
      </c>
    </row>
    <row r="95" spans="1:4">
      <c r="A95">
        <v>93</v>
      </c>
      <c r="B95">
        <f t="shared" si="3"/>
        <v>8.5389114387055323E-4</v>
      </c>
      <c r="C95">
        <f t="shared" si="4"/>
        <v>5.5636960295644914E-3</v>
      </c>
      <c r="D95">
        <f t="shared" si="5"/>
        <v>7.9411876379961457E-2</v>
      </c>
    </row>
    <row r="96" spans="1:4">
      <c r="A96">
        <v>94</v>
      </c>
      <c r="B96">
        <f t="shared" si="3"/>
        <v>5.1778505532576295E-4</v>
      </c>
      <c r="C96">
        <f t="shared" si="4"/>
        <v>4.4391191725248772E-3</v>
      </c>
      <c r="D96">
        <f t="shared" si="5"/>
        <v>4.8671795200621717E-2</v>
      </c>
    </row>
    <row r="97" spans="1:4">
      <c r="A97">
        <v>95</v>
      </c>
      <c r="B97">
        <f t="shared" si="3"/>
        <v>3.0522066419202818E-4</v>
      </c>
      <c r="C97">
        <f t="shared" si="4"/>
        <v>3.5045677677827823E-3</v>
      </c>
      <c r="D97">
        <f t="shared" si="5"/>
        <v>2.8995963098242677E-2</v>
      </c>
    </row>
    <row r="98" spans="1:4">
      <c r="A98">
        <v>96</v>
      </c>
      <c r="B98">
        <f t="shared" si="3"/>
        <v>1.7486600552668314E-4</v>
      </c>
      <c r="C98">
        <f t="shared" si="4"/>
        <v>2.7379435685803027E-3</v>
      </c>
      <c r="D98">
        <f t="shared" si="5"/>
        <v>1.6787136530561582E-2</v>
      </c>
    </row>
    <row r="99" spans="1:4">
      <c r="A99">
        <v>97</v>
      </c>
      <c r="B99">
        <f t="shared" si="3"/>
        <v>9.734808555093689E-5</v>
      </c>
      <c r="C99">
        <f t="shared" si="4"/>
        <v>2.1169666767373451E-3</v>
      </c>
      <c r="D99">
        <f t="shared" si="5"/>
        <v>9.442764298440879E-3</v>
      </c>
    </row>
    <row r="100" spans="1:4">
      <c r="A100">
        <v>98</v>
      </c>
      <c r="B100">
        <f t="shared" si="3"/>
        <v>5.264743402244535E-5</v>
      </c>
      <c r="C100">
        <f t="shared" si="4"/>
        <v>1.6201275587275621E-3</v>
      </c>
      <c r="D100">
        <f t="shared" si="5"/>
        <v>5.1594485341996442E-3</v>
      </c>
    </row>
    <row r="101" spans="1:4">
      <c r="A101">
        <v>99</v>
      </c>
      <c r="B101">
        <f t="shared" si="3"/>
        <v>2.7653197668355155E-5</v>
      </c>
      <c r="C101">
        <f t="shared" si="4"/>
        <v>1.2273693626723926E-3</v>
      </c>
      <c r="D101">
        <f t="shared" si="5"/>
        <v>2.7376665691671602E-3</v>
      </c>
    </row>
    <row r="102" spans="1:4">
      <c r="A102">
        <v>100</v>
      </c>
      <c r="B102">
        <f t="shared" si="3"/>
        <v>1.4103130810861158E-5</v>
      </c>
      <c r="C102">
        <f t="shared" si="4"/>
        <v>9.2052702200429875E-4</v>
      </c>
      <c r="D102">
        <f t="shared" si="5"/>
        <v>1.4103130810861157E-3</v>
      </c>
    </row>
    <row r="103" spans="1:4">
      <c r="A103">
        <v>101</v>
      </c>
      <c r="B103">
        <f t="shared" si="3"/>
        <v>6.9817479261689001E-6</v>
      </c>
      <c r="C103">
        <f t="shared" si="4"/>
        <v>6.8355966980517425E-4</v>
      </c>
      <c r="D103">
        <f t="shared" si="5"/>
        <v>7.0515654054305896E-4</v>
      </c>
    </row>
    <row r="104" spans="1:4">
      <c r="A104">
        <v>102</v>
      </c>
      <c r="B104">
        <f t="shared" si="3"/>
        <v>3.3539769449242648E-6</v>
      </c>
      <c r="C104">
        <f t="shared" si="4"/>
        <v>5.0261740426850725E-4</v>
      </c>
      <c r="D104">
        <f t="shared" si="5"/>
        <v>3.42105648382275E-4</v>
      </c>
    </row>
    <row r="105" spans="1:4">
      <c r="A105">
        <v>103</v>
      </c>
      <c r="B105">
        <f t="shared" si="3"/>
        <v>1.5630183821006257E-6</v>
      </c>
      <c r="C105">
        <f t="shared" si="4"/>
        <v>3.659835467974572E-4</v>
      </c>
      <c r="D105">
        <f t="shared" si="5"/>
        <v>1.6099089335636446E-4</v>
      </c>
    </row>
    <row r="106" spans="1:4">
      <c r="A106">
        <v>104</v>
      </c>
      <c r="B106">
        <f t="shared" si="3"/>
        <v>7.0636407652624944E-7</v>
      </c>
      <c r="C106">
        <f t="shared" si="4"/>
        <v>2.6393044240201276E-4</v>
      </c>
      <c r="D106">
        <f t="shared" si="5"/>
        <v>7.3461863958729936E-5</v>
      </c>
    </row>
    <row r="107" spans="1:4">
      <c r="A107">
        <v>105</v>
      </c>
      <c r="B107">
        <f t="shared" si="3"/>
        <v>3.0945473828769134E-7</v>
      </c>
      <c r="C107">
        <f t="shared" si="4"/>
        <v>1.8852174457286734E-4</v>
      </c>
      <c r="D107">
        <f t="shared" si="5"/>
        <v>3.2492747520207592E-5</v>
      </c>
    </row>
    <row r="108" spans="1:4">
      <c r="A108">
        <v>106</v>
      </c>
      <c r="B108">
        <f t="shared" si="3"/>
        <v>1.3137229455609447E-7</v>
      </c>
      <c r="C108">
        <f t="shared" si="4"/>
        <v>1.3338802682042405E-4</v>
      </c>
      <c r="D108">
        <f t="shared" si="5"/>
        <v>1.3925463222946014E-5</v>
      </c>
    </row>
    <row r="109" spans="1:4">
      <c r="A109">
        <v>107</v>
      </c>
      <c r="B109">
        <f t="shared" si="3"/>
        <v>5.4022251966991847E-8</v>
      </c>
      <c r="C109">
        <f t="shared" si="4"/>
        <v>9.3496280481605729E-5</v>
      </c>
      <c r="D109">
        <f t="shared" si="5"/>
        <v>5.7803809604681273E-6</v>
      </c>
    </row>
    <row r="110" spans="1:4">
      <c r="A110">
        <v>108</v>
      </c>
      <c r="B110">
        <f t="shared" si="3"/>
        <v>2.150885957945045E-8</v>
      </c>
      <c r="C110">
        <f t="shared" si="4"/>
        <v>6.4927972556670435E-5</v>
      </c>
      <c r="D110">
        <f t="shared" si="5"/>
        <v>2.3229568345806486E-6</v>
      </c>
    </row>
    <row r="111" spans="1:4">
      <c r="A111">
        <v>109</v>
      </c>
      <c r="B111">
        <f t="shared" si="3"/>
        <v>8.287817452632365E-9</v>
      </c>
      <c r="C111">
        <f t="shared" si="4"/>
        <v>4.4675210474773374E-5</v>
      </c>
      <c r="D111">
        <f t="shared" si="5"/>
        <v>9.0337210233692781E-7</v>
      </c>
    </row>
    <row r="112" spans="1:4">
      <c r="A112">
        <v>110</v>
      </c>
      <c r="B112">
        <f t="shared" si="3"/>
        <v>3.0890955959811437E-9</v>
      </c>
      <c r="C112">
        <f t="shared" si="4"/>
        <v>3.0460370778254467E-5</v>
      </c>
      <c r="D112">
        <f t="shared" si="5"/>
        <v>3.3980051555792581E-7</v>
      </c>
    </row>
    <row r="113" spans="1:4">
      <c r="A113">
        <v>111</v>
      </c>
      <c r="B113">
        <f t="shared" si="3"/>
        <v>1.1131876021553637E-9</v>
      </c>
      <c r="C113">
        <f t="shared" si="4"/>
        <v>2.0581331606928797E-5</v>
      </c>
      <c r="D113">
        <f t="shared" si="5"/>
        <v>1.2356382383924535E-7</v>
      </c>
    </row>
    <row r="114" spans="1:4">
      <c r="A114">
        <v>112</v>
      </c>
      <c r="B114">
        <f t="shared" si="3"/>
        <v>3.8762782575052704E-10</v>
      </c>
      <c r="C114">
        <f t="shared" si="4"/>
        <v>1.3782141701068379E-5</v>
      </c>
      <c r="D114">
        <f t="shared" si="5"/>
        <v>4.3414316484059029E-8</v>
      </c>
    </row>
    <row r="115" spans="1:4">
      <c r="A115">
        <v>113</v>
      </c>
      <c r="B115">
        <f t="shared" si="3"/>
        <v>1.3035272016389572E-10</v>
      </c>
      <c r="C115">
        <f t="shared" si="4"/>
        <v>9.1474391821250889E-6</v>
      </c>
      <c r="D115">
        <f t="shared" si="5"/>
        <v>1.4729857378520217E-8</v>
      </c>
    </row>
    <row r="116" spans="1:4">
      <c r="A116">
        <v>114</v>
      </c>
      <c r="B116">
        <f t="shared" si="3"/>
        <v>4.2307461807579658E-11</v>
      </c>
      <c r="C116">
        <f t="shared" si="4"/>
        <v>6.018052093503278E-6</v>
      </c>
      <c r="D116">
        <f t="shared" si="5"/>
        <v>4.8230506460640811E-9</v>
      </c>
    </row>
    <row r="117" spans="1:4">
      <c r="A117">
        <v>115</v>
      </c>
      <c r="B117">
        <f t="shared" si="3"/>
        <v>1.3244075000633628E-11</v>
      </c>
      <c r="C117">
        <f t="shared" si="4"/>
        <v>3.9248165827195345E-6</v>
      </c>
      <c r="D117">
        <f t="shared" si="5"/>
        <v>1.5230686250728671E-9</v>
      </c>
    </row>
    <row r="118" spans="1:4">
      <c r="A118">
        <v>116</v>
      </c>
      <c r="B118">
        <f t="shared" si="3"/>
        <v>3.9960571122601796E-12</v>
      </c>
      <c r="C118">
        <f t="shared" si="4"/>
        <v>2.5375969284824657E-6</v>
      </c>
      <c r="D118">
        <f t="shared" si="5"/>
        <v>4.6354262502218084E-10</v>
      </c>
    </row>
    <row r="119" spans="1:4">
      <c r="A119">
        <v>117</v>
      </c>
      <c r="B119">
        <f t="shared" si="3"/>
        <v>1.16124736595594E-12</v>
      </c>
      <c r="C119">
        <f t="shared" si="4"/>
        <v>1.6266646977451588E-6</v>
      </c>
      <c r="D119">
        <f t="shared" si="5"/>
        <v>1.3586594181684499E-10</v>
      </c>
    </row>
    <row r="120" spans="1:4">
      <c r="A120">
        <v>118</v>
      </c>
      <c r="B120">
        <f t="shared" si="3"/>
        <v>3.2475561929276727E-13</v>
      </c>
      <c r="C120">
        <f t="shared" si="4"/>
        <v>1.0338970536516004E-6</v>
      </c>
      <c r="D120">
        <f t="shared" si="5"/>
        <v>3.832116307654654E-11</v>
      </c>
    </row>
    <row r="121" spans="1:4">
      <c r="A121">
        <v>119</v>
      </c>
      <c r="B121">
        <f t="shared" si="3"/>
        <v>8.7329242162759981E-14</v>
      </c>
      <c r="C121">
        <f t="shared" si="4"/>
        <v>6.5161579011654933E-7</v>
      </c>
      <c r="D121">
        <f t="shared" si="5"/>
        <v>1.0392179817368438E-11</v>
      </c>
    </row>
    <row r="122" spans="1:4">
      <c r="A122">
        <v>120</v>
      </c>
      <c r="B122">
        <f t="shared" si="3"/>
        <v>2.2560054225379517E-14</v>
      </c>
      <c r="C122">
        <f t="shared" si="4"/>
        <v>4.0725986882283957E-7</v>
      </c>
      <c r="D122">
        <f t="shared" si="5"/>
        <v>2.7072065070455421E-12</v>
      </c>
    </row>
    <row r="123" spans="1:4">
      <c r="A123">
        <v>121</v>
      </c>
      <c r="B123">
        <f t="shared" si="3"/>
        <v>5.5934018740610964E-15</v>
      </c>
      <c r="C123">
        <f t="shared" si="4"/>
        <v>2.5243380298936653E-7</v>
      </c>
      <c r="D123">
        <f t="shared" si="5"/>
        <v>6.7680162676139269E-13</v>
      </c>
    </row>
    <row r="124" spans="1:4">
      <c r="A124">
        <v>122</v>
      </c>
      <c r="B124">
        <f t="shared" si="3"/>
        <v>1.3295791339981233E-15</v>
      </c>
      <c r="C124">
        <f t="shared" si="4"/>
        <v>1.5518471495247898E-7</v>
      </c>
      <c r="D124">
        <f t="shared" si="5"/>
        <v>1.6220865434777106E-13</v>
      </c>
    </row>
    <row r="125" spans="1:4">
      <c r="A125">
        <v>123</v>
      </c>
      <c r="B125">
        <f t="shared" si="3"/>
        <v>3.0266842074754395E-16</v>
      </c>
      <c r="C125">
        <f t="shared" si="4"/>
        <v>9.4624826190536454E-8</v>
      </c>
      <c r="D125">
        <f t="shared" si="5"/>
        <v>3.7228215751947909E-14</v>
      </c>
    </row>
    <row r="126" spans="1:4">
      <c r="A126">
        <v>124</v>
      </c>
      <c r="B126">
        <f t="shared" si="3"/>
        <v>6.5903607743416455E-17</v>
      </c>
      <c r="C126">
        <f t="shared" si="4"/>
        <v>5.7232757776533984E-8</v>
      </c>
      <c r="D126">
        <f t="shared" si="5"/>
        <v>8.1720473601836409E-15</v>
      </c>
    </row>
    <row r="127" spans="1:4">
      <c r="A127">
        <v>125</v>
      </c>
      <c r="B127">
        <f t="shared" si="3"/>
        <v>1.3707950410630521E-17</v>
      </c>
      <c r="C127">
        <f t="shared" si="4"/>
        <v>3.4339654665920181E-8</v>
      </c>
      <c r="D127">
        <f t="shared" si="5"/>
        <v>1.7134938013288152E-15</v>
      </c>
    </row>
    <row r="128" spans="1:4">
      <c r="A128">
        <v>126</v>
      </c>
      <c r="B128">
        <f t="shared" si="3"/>
        <v>2.7198314306807092E-18</v>
      </c>
      <c r="C128">
        <f t="shared" si="4"/>
        <v>2.0440270634476577E-8</v>
      </c>
      <c r="D128">
        <f t="shared" si="5"/>
        <v>3.4269876026576936E-16</v>
      </c>
    </row>
    <row r="129" spans="1:4">
      <c r="A129">
        <v>127</v>
      </c>
      <c r="B129">
        <f t="shared" si="3"/>
        <v>5.1398389241209323E-19</v>
      </c>
      <c r="C129">
        <f t="shared" si="4"/>
        <v>1.2071025965241852E-8</v>
      </c>
      <c r="D129">
        <f t="shared" si="5"/>
        <v>6.5275954336335843E-17</v>
      </c>
    </row>
    <row r="130" spans="1:4">
      <c r="A130">
        <v>128</v>
      </c>
      <c r="B130">
        <f t="shared" si="3"/>
        <v>9.2356480667797657E-20</v>
      </c>
      <c r="C130">
        <f t="shared" si="4"/>
        <v>7.0728667765089197E-9</v>
      </c>
      <c r="D130">
        <f t="shared" si="5"/>
        <v>1.18216295254781E-17</v>
      </c>
    </row>
    <row r="131" spans="1:4">
      <c r="A131">
        <v>129</v>
      </c>
      <c r="B131">
        <f t="shared" ref="B131:B152" si="6">_xlfn.BINOM.DIST(A131,150,0.5,FALSE)</f>
        <v>1.5750717633267819E-20</v>
      </c>
      <c r="C131">
        <f t="shared" ref="C131:C152" si="7">_xlfn.POISSON.DIST(A131,75,FALSE)</f>
        <v>4.112131846807511E-9</v>
      </c>
      <c r="D131">
        <f t="shared" ref="D131:D152" si="8">A131*B131</f>
        <v>2.0318425746915487E-18</v>
      </c>
    </row>
    <row r="132" spans="1:4">
      <c r="A132">
        <v>130</v>
      </c>
      <c r="B132">
        <f t="shared" si="6"/>
        <v>2.5443466946048164E-21</v>
      </c>
      <c r="C132">
        <f t="shared" si="7"/>
        <v>2.3723837577735745E-9</v>
      </c>
      <c r="D132">
        <f t="shared" si="8"/>
        <v>3.3076507029862611E-19</v>
      </c>
    </row>
    <row r="133" spans="1:4">
      <c r="A133">
        <v>131</v>
      </c>
      <c r="B133">
        <f t="shared" si="6"/>
        <v>3.8844987703890734E-22</v>
      </c>
      <c r="C133">
        <f t="shared" si="7"/>
        <v>1.358234975824578E-9</v>
      </c>
      <c r="D133">
        <f t="shared" si="8"/>
        <v>5.0886933892096859E-20</v>
      </c>
    </row>
    <row r="134" spans="1:4">
      <c r="A134">
        <v>132</v>
      </c>
      <c r="B134">
        <f t="shared" si="6"/>
        <v>5.5913239876811938E-23</v>
      </c>
      <c r="C134">
        <f t="shared" si="7"/>
        <v>7.7172441808213485E-10</v>
      </c>
      <c r="D134">
        <f t="shared" si="8"/>
        <v>7.3805476637391759E-21</v>
      </c>
    </row>
    <row r="135" spans="1:4">
      <c r="A135">
        <v>133</v>
      </c>
      <c r="B135">
        <f t="shared" si="6"/>
        <v>7.5672053968617139E-24</v>
      </c>
      <c r="C135">
        <f t="shared" si="7"/>
        <v>4.3518294252751965E-10</v>
      </c>
      <c r="D135">
        <f t="shared" si="8"/>
        <v>1.006438317782608E-21</v>
      </c>
    </row>
    <row r="136" spans="1:4">
      <c r="A136">
        <v>134</v>
      </c>
      <c r="B136">
        <f t="shared" si="6"/>
        <v>9.6001859512426222E-25</v>
      </c>
      <c r="C136">
        <f t="shared" si="7"/>
        <v>2.4357254245943421E-10</v>
      </c>
      <c r="D136">
        <f t="shared" si="8"/>
        <v>1.2864249174665115E-22</v>
      </c>
    </row>
    <row r="137" spans="1:4">
      <c r="A137">
        <v>135</v>
      </c>
      <c r="B137">
        <f t="shared" si="6"/>
        <v>1.1377998164435499E-25</v>
      </c>
      <c r="C137">
        <f t="shared" si="7"/>
        <v>1.3531807914412864E-10</v>
      </c>
      <c r="D137">
        <f t="shared" si="8"/>
        <v>1.5360297521987922E-23</v>
      </c>
    </row>
    <row r="138" spans="1:4">
      <c r="A138">
        <v>136</v>
      </c>
      <c r="B138">
        <f t="shared" si="6"/>
        <v>1.2549262681362819E-26</v>
      </c>
      <c r="C138">
        <f t="shared" si="7"/>
        <v>7.4623940704483577E-11</v>
      </c>
      <c r="D138">
        <f t="shared" si="8"/>
        <v>1.7066997246653433E-24</v>
      </c>
    </row>
    <row r="139" spans="1:4">
      <c r="A139">
        <v>137</v>
      </c>
      <c r="B139">
        <f t="shared" si="6"/>
        <v>1.2824064053947353E-27</v>
      </c>
      <c r="C139">
        <f t="shared" si="7"/>
        <v>4.0852522283476323E-11</v>
      </c>
      <c r="D139">
        <f t="shared" si="8"/>
        <v>1.7568967753907875E-25</v>
      </c>
    </row>
    <row r="140" spans="1:4">
      <c r="A140">
        <v>138</v>
      </c>
      <c r="B140">
        <f t="shared" si="6"/>
        <v>1.2080640050819874E-28</v>
      </c>
      <c r="C140">
        <f t="shared" si="7"/>
        <v>2.220245776275868E-11</v>
      </c>
      <c r="D140">
        <f t="shared" si="8"/>
        <v>1.6671283270131426E-26</v>
      </c>
    </row>
    <row r="141" spans="1:4">
      <c r="A141">
        <v>139</v>
      </c>
      <c r="B141">
        <f t="shared" si="6"/>
        <v>1.0429329540276408E-29</v>
      </c>
      <c r="C141">
        <f t="shared" si="7"/>
        <v>1.1979743397172174E-11</v>
      </c>
      <c r="D141">
        <f t="shared" si="8"/>
        <v>1.4496768060984207E-27</v>
      </c>
    </row>
    <row r="142" spans="1:4">
      <c r="A142">
        <v>140</v>
      </c>
      <c r="B142">
        <f t="shared" si="6"/>
        <v>8.1944732102170624E-31</v>
      </c>
      <c r="C142">
        <f t="shared" si="7"/>
        <v>6.41771967705643E-12</v>
      </c>
      <c r="D142">
        <f t="shared" si="8"/>
        <v>1.1472262494303887E-28</v>
      </c>
    </row>
    <row r="143" spans="1:4">
      <c r="A143">
        <v>141</v>
      </c>
      <c r="B143">
        <f t="shared" si="6"/>
        <v>5.811683127813631E-32</v>
      </c>
      <c r="C143">
        <f t="shared" si="7"/>
        <v>3.4136806792854015E-12</v>
      </c>
      <c r="D143">
        <f t="shared" si="8"/>
        <v>8.194473210217219E-30</v>
      </c>
    </row>
    <row r="144" spans="1:4">
      <c r="A144">
        <v>142</v>
      </c>
      <c r="B144">
        <f t="shared" si="6"/>
        <v>3.6834611373465735E-33</v>
      </c>
      <c r="C144">
        <f t="shared" si="7"/>
        <v>1.8030003587774846E-12</v>
      </c>
      <c r="D144">
        <f t="shared" si="8"/>
        <v>5.230514815032134E-31</v>
      </c>
    </row>
    <row r="145" spans="1:4">
      <c r="A145">
        <v>143</v>
      </c>
      <c r="B145">
        <f t="shared" si="6"/>
        <v>2.0606775593547322E-34</v>
      </c>
      <c r="C145">
        <f t="shared" si="7"/>
        <v>9.4562955879937532E-13</v>
      </c>
      <c r="D145">
        <f t="shared" si="8"/>
        <v>2.946768909877267E-32</v>
      </c>
    </row>
    <row r="146" spans="1:4">
      <c r="A146">
        <v>144</v>
      </c>
      <c r="B146">
        <f t="shared" si="6"/>
        <v>1.0017182580196846E-35</v>
      </c>
      <c r="C146">
        <f t="shared" si="7"/>
        <v>4.9251539520801384E-13</v>
      </c>
      <c r="D146">
        <f t="shared" si="8"/>
        <v>1.4424742915483457E-33</v>
      </c>
    </row>
    <row r="147" spans="1:4">
      <c r="A147">
        <v>145</v>
      </c>
      <c r="B147">
        <f t="shared" si="6"/>
        <v>4.1450410676675652E-37</v>
      </c>
      <c r="C147">
        <f t="shared" si="7"/>
        <v>2.5474934234896907E-13</v>
      </c>
      <c r="D147">
        <f t="shared" si="8"/>
        <v>6.0103095481179696E-35</v>
      </c>
    </row>
    <row r="148" spans="1:4">
      <c r="A148">
        <v>146</v>
      </c>
      <c r="B148">
        <f t="shared" si="6"/>
        <v>1.4195346122149142E-38</v>
      </c>
      <c r="C148">
        <f t="shared" si="7"/>
        <v>1.3086438819296305E-13</v>
      </c>
      <c r="D148">
        <f t="shared" si="8"/>
        <v>2.0725205338337749E-36</v>
      </c>
    </row>
    <row r="149" spans="1:4">
      <c r="A149">
        <v>147</v>
      </c>
      <c r="B149">
        <f t="shared" si="6"/>
        <v>3.8626792169114202E-40</v>
      </c>
      <c r="C149">
        <f t="shared" si="7"/>
        <v>6.6767544996410957E-14</v>
      </c>
      <c r="D149">
        <f t="shared" si="8"/>
        <v>5.6781384488597875E-38</v>
      </c>
    </row>
    <row r="150" spans="1:4">
      <c r="A150">
        <v>148</v>
      </c>
      <c r="B150">
        <f t="shared" si="6"/>
        <v>7.8297551694148478E-42</v>
      </c>
      <c r="C150">
        <f t="shared" si="7"/>
        <v>3.3834904558991205E-14</v>
      </c>
      <c r="D150">
        <f t="shared" si="8"/>
        <v>1.1588037650733975E-39</v>
      </c>
    </row>
    <row r="151" spans="1:4">
      <c r="A151">
        <v>149</v>
      </c>
      <c r="B151">
        <f t="shared" si="6"/>
        <v>1.0509738482436228E-43</v>
      </c>
      <c r="C151">
        <f t="shared" si="7"/>
        <v>1.7030992227680428E-14</v>
      </c>
      <c r="D151">
        <f t="shared" si="8"/>
        <v>1.5659510338829979E-41</v>
      </c>
    </row>
    <row r="152" spans="1:4">
      <c r="A152">
        <v>150</v>
      </c>
      <c r="B152">
        <f t="shared" si="6"/>
        <v>7.006492321624118E-46</v>
      </c>
      <c r="C152">
        <f t="shared" si="7"/>
        <v>8.5154961138402091E-15</v>
      </c>
      <c r="D152">
        <f t="shared" si="8"/>
        <v>1.0509738482436178E-43</v>
      </c>
    </row>
  </sheetData>
  <mergeCells count="1">
    <mergeCell ref="E4:L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056E2-B5F8-4C4B-AC23-94A37EE76E73}">
  <dimension ref="A1:P84"/>
  <sheetViews>
    <sheetView workbookViewId="0">
      <selection activeCell="P6" sqref="P6"/>
    </sheetView>
  </sheetViews>
  <sheetFormatPr defaultRowHeight="15.6"/>
  <cols>
    <col min="1" max="1" width="5.109375" style="1" bestFit="1" customWidth="1"/>
    <col min="2" max="2" width="13.33203125" style="1" bestFit="1" customWidth="1"/>
    <col min="3" max="6" width="8.88671875" style="1"/>
    <col min="7" max="7" width="17.44140625" style="1" bestFit="1" customWidth="1"/>
    <col min="8" max="8" width="13.33203125" style="1" bestFit="1" customWidth="1"/>
    <col min="9" max="11" width="8.88671875" style="1"/>
    <col min="12" max="12" width="5.109375" style="1" bestFit="1" customWidth="1"/>
    <col min="13" max="13" width="13.33203125" style="1" bestFit="1" customWidth="1"/>
    <col min="14" max="14" width="6.21875" style="1" bestFit="1" customWidth="1"/>
    <col min="15" max="16" width="13.6640625" style="1" bestFit="1" customWidth="1"/>
    <col min="17" max="16384" width="8.88671875" style="1"/>
  </cols>
  <sheetData>
    <row r="1" spans="1:16">
      <c r="A1" s="1" t="s">
        <v>103</v>
      </c>
      <c r="B1" s="1" t="s">
        <v>104</v>
      </c>
    </row>
    <row r="2" spans="1:16">
      <c r="A2" s="1">
        <v>-4</v>
      </c>
      <c r="B2" s="1">
        <f>_xlfn.NORM.S.DIST(A2,FALSE)</f>
        <v>1.3383022576488537E-4</v>
      </c>
      <c r="D2" s="1" t="s">
        <v>29</v>
      </c>
      <c r="L2" s="1" t="s">
        <v>68</v>
      </c>
    </row>
    <row r="3" spans="1:16">
      <c r="A3" s="1">
        <v>-3.9</v>
      </c>
      <c r="B3" s="1">
        <f t="shared" ref="B3:B66" si="0">_xlfn.NORM.S.DIST(A3,FALSE)</f>
        <v>1.9865547139277272E-4</v>
      </c>
      <c r="L3" s="1" t="s">
        <v>103</v>
      </c>
      <c r="M3" s="1" t="s">
        <v>104</v>
      </c>
      <c r="N3" s="1" t="s">
        <v>23</v>
      </c>
      <c r="O3" s="1" t="s">
        <v>91</v>
      </c>
      <c r="P3" s="1" t="s">
        <v>105</v>
      </c>
    </row>
    <row r="4" spans="1:16">
      <c r="A4" s="1">
        <v>-3.8</v>
      </c>
      <c r="B4" s="1">
        <f t="shared" si="0"/>
        <v>2.9194692579146027E-4</v>
      </c>
      <c r="L4" s="1">
        <v>-4</v>
      </c>
      <c r="M4" s="1">
        <f>_xlfn.NORM.S.DIST(L4,FALSE)</f>
        <v>1.3383022576488537E-4</v>
      </c>
      <c r="N4" s="1">
        <f>1000 +(L4*500)</f>
        <v>-1000</v>
      </c>
      <c r="O4" s="1">
        <f>_xlfn.NORM.DIST(N4,1000,500,FALSE)</f>
        <v>2.6766045152977077E-7</v>
      </c>
      <c r="P4" s="1">
        <f>_xlfn.NORM.DIST(N4,1000,500,TRUE)</f>
        <v>3.1671241833119857E-5</v>
      </c>
    </row>
    <row r="5" spans="1:16">
      <c r="A5" s="1">
        <v>-3.7</v>
      </c>
      <c r="B5" s="1">
        <f t="shared" si="0"/>
        <v>4.2478027055075143E-4</v>
      </c>
      <c r="L5" s="1">
        <v>-3.9</v>
      </c>
      <c r="M5" s="1">
        <f t="shared" ref="M5:M68" si="1">_xlfn.NORM.S.DIST(L5,FALSE)</f>
        <v>1.9865547139277272E-4</v>
      </c>
      <c r="N5" s="1">
        <f t="shared" ref="N5:N68" si="2">1000 +(L5*500)</f>
        <v>-950</v>
      </c>
      <c r="O5" s="1">
        <f t="shared" ref="O5:O68" si="3">_xlfn.NORM.DIST(N5,1000,500,FALSE)</f>
        <v>3.9731094278554548E-7</v>
      </c>
      <c r="P5" s="1">
        <f t="shared" ref="P5:P68" si="4">_xlfn.NORM.DIST(N5,1000,500,TRUE)</f>
        <v>4.8096344017602614E-5</v>
      </c>
    </row>
    <row r="6" spans="1:16">
      <c r="A6" s="1">
        <v>-3.6</v>
      </c>
      <c r="B6" s="1">
        <f t="shared" si="0"/>
        <v>6.119019301137719E-4</v>
      </c>
      <c r="L6" s="1">
        <v>-3.8</v>
      </c>
      <c r="M6" s="1">
        <f t="shared" si="1"/>
        <v>2.9194692579146027E-4</v>
      </c>
      <c r="N6" s="1">
        <f t="shared" si="2"/>
        <v>-900</v>
      </c>
      <c r="O6" s="1">
        <f t="shared" si="3"/>
        <v>5.8389385158292052E-7</v>
      </c>
      <c r="P6" s="1">
        <f t="shared" si="4"/>
        <v>7.234804392511999E-5</v>
      </c>
    </row>
    <row r="7" spans="1:16">
      <c r="A7" s="1">
        <v>-3.5</v>
      </c>
      <c r="B7" s="1">
        <f t="shared" si="0"/>
        <v>8.7268269504576015E-4</v>
      </c>
      <c r="L7" s="1">
        <v>-3.7</v>
      </c>
      <c r="M7" s="1">
        <f t="shared" si="1"/>
        <v>4.2478027055075143E-4</v>
      </c>
      <c r="N7" s="1">
        <f t="shared" si="2"/>
        <v>-850</v>
      </c>
      <c r="O7" s="1">
        <f t="shared" si="3"/>
        <v>8.4956054110150292E-7</v>
      </c>
      <c r="P7" s="1">
        <f t="shared" si="4"/>
        <v>1.0779973347738824E-4</v>
      </c>
    </row>
    <row r="8" spans="1:16">
      <c r="A8" s="1">
        <v>-3.4</v>
      </c>
      <c r="B8" s="1">
        <f t="shared" si="0"/>
        <v>1.2322191684730199E-3</v>
      </c>
      <c r="L8" s="1">
        <v>-3.6</v>
      </c>
      <c r="M8" s="1">
        <f t="shared" si="1"/>
        <v>6.119019301137719E-4</v>
      </c>
      <c r="N8" s="1">
        <f t="shared" si="2"/>
        <v>-800</v>
      </c>
      <c r="O8" s="1">
        <f t="shared" si="3"/>
        <v>1.2238038602275438E-6</v>
      </c>
      <c r="P8" s="1">
        <f t="shared" si="4"/>
        <v>1.5910859015753364E-4</v>
      </c>
    </row>
    <row r="9" spans="1:16">
      <c r="A9" s="1">
        <v>-3.3</v>
      </c>
      <c r="B9" s="1">
        <f t="shared" si="0"/>
        <v>1.7225689390536812E-3</v>
      </c>
      <c r="L9" s="1">
        <v>-3.5</v>
      </c>
      <c r="M9" s="1">
        <f t="shared" si="1"/>
        <v>8.7268269504576015E-4</v>
      </c>
      <c r="N9" s="1">
        <f t="shared" si="2"/>
        <v>-750</v>
      </c>
      <c r="O9" s="1">
        <f t="shared" si="3"/>
        <v>1.7453653900915201E-6</v>
      </c>
      <c r="P9" s="1">
        <f t="shared" si="4"/>
        <v>2.3262907903552504E-4</v>
      </c>
    </row>
    <row r="10" spans="1:16">
      <c r="A10" s="1">
        <v>-3.2</v>
      </c>
      <c r="B10" s="1">
        <f t="shared" si="0"/>
        <v>2.3840882014648404E-3</v>
      </c>
      <c r="L10" s="1">
        <v>-3.4</v>
      </c>
      <c r="M10" s="1">
        <f t="shared" si="1"/>
        <v>1.2322191684730199E-3</v>
      </c>
      <c r="N10" s="1">
        <f t="shared" si="2"/>
        <v>-700</v>
      </c>
      <c r="O10" s="1">
        <f t="shared" si="3"/>
        <v>2.4644383369460399E-6</v>
      </c>
      <c r="P10" s="1">
        <f t="shared" si="4"/>
        <v>3.369292656768808E-4</v>
      </c>
    </row>
    <row r="11" spans="1:16">
      <c r="A11" s="1">
        <v>-3.1</v>
      </c>
      <c r="B11" s="1">
        <f t="shared" si="0"/>
        <v>3.2668190561999182E-3</v>
      </c>
      <c r="L11" s="1">
        <v>-3.3</v>
      </c>
      <c r="M11" s="1">
        <f t="shared" si="1"/>
        <v>1.7225689390536812E-3</v>
      </c>
      <c r="N11" s="1">
        <f t="shared" si="2"/>
        <v>-650</v>
      </c>
      <c r="O11" s="1">
        <f t="shared" si="3"/>
        <v>3.4451378781073621E-6</v>
      </c>
      <c r="P11" s="1">
        <f t="shared" si="4"/>
        <v>4.8342414238377744E-4</v>
      </c>
    </row>
    <row r="12" spans="1:16">
      <c r="A12" s="1">
        <v>-3</v>
      </c>
      <c r="B12" s="1">
        <f t="shared" si="0"/>
        <v>4.4318484119380075E-3</v>
      </c>
      <c r="L12" s="1">
        <v>-3.2</v>
      </c>
      <c r="M12" s="1">
        <f t="shared" si="1"/>
        <v>2.3840882014648404E-3</v>
      </c>
      <c r="N12" s="1">
        <f t="shared" si="2"/>
        <v>-600</v>
      </c>
      <c r="O12" s="1">
        <f t="shared" si="3"/>
        <v>4.7681764029296806E-6</v>
      </c>
      <c r="P12" s="1">
        <f t="shared" si="4"/>
        <v>6.8713793791584719E-4</v>
      </c>
    </row>
    <row r="13" spans="1:16">
      <c r="A13" s="1">
        <v>-2.9</v>
      </c>
      <c r="B13" s="1">
        <f t="shared" si="0"/>
        <v>5.9525324197758538E-3</v>
      </c>
      <c r="L13" s="1">
        <v>-3.1</v>
      </c>
      <c r="M13" s="1">
        <f t="shared" si="1"/>
        <v>3.2668190561999182E-3</v>
      </c>
      <c r="N13" s="1">
        <f t="shared" si="2"/>
        <v>-550</v>
      </c>
      <c r="O13" s="1">
        <f t="shared" si="3"/>
        <v>6.5336381123998366E-6</v>
      </c>
      <c r="P13" s="1">
        <f t="shared" si="4"/>
        <v>9.676032132183561E-4</v>
      </c>
    </row>
    <row r="14" spans="1:16">
      <c r="A14" s="1">
        <v>-2.8</v>
      </c>
      <c r="B14" s="1">
        <f t="shared" si="0"/>
        <v>7.9154515829799686E-3</v>
      </c>
      <c r="L14" s="1">
        <v>-3</v>
      </c>
      <c r="M14" s="1">
        <f t="shared" si="1"/>
        <v>4.4318484119380075E-3</v>
      </c>
      <c r="N14" s="1">
        <f t="shared" si="2"/>
        <v>-500</v>
      </c>
      <c r="O14" s="1">
        <f t="shared" si="3"/>
        <v>8.8636968238760154E-6</v>
      </c>
      <c r="P14" s="1">
        <f t="shared" si="4"/>
        <v>1.3498980316300933E-3</v>
      </c>
    </row>
    <row r="15" spans="1:16">
      <c r="A15" s="1">
        <v>-2.7</v>
      </c>
      <c r="B15" s="1">
        <f t="shared" si="0"/>
        <v>1.0420934814422592E-2</v>
      </c>
      <c r="L15" s="1">
        <v>-2.9</v>
      </c>
      <c r="M15" s="1">
        <f t="shared" si="1"/>
        <v>5.9525324197758538E-3</v>
      </c>
      <c r="N15" s="1">
        <f t="shared" si="2"/>
        <v>-450</v>
      </c>
      <c r="O15" s="1">
        <f t="shared" si="3"/>
        <v>1.1905064839551707E-5</v>
      </c>
      <c r="P15" s="1">
        <f t="shared" si="4"/>
        <v>1.8658133003840378E-3</v>
      </c>
    </row>
    <row r="16" spans="1:16">
      <c r="A16" s="1">
        <v>-2.6</v>
      </c>
      <c r="B16" s="1">
        <f t="shared" si="0"/>
        <v>1.3582969233685613E-2</v>
      </c>
      <c r="L16" s="1">
        <v>-2.8</v>
      </c>
      <c r="M16" s="1">
        <f t="shared" si="1"/>
        <v>7.9154515829799686E-3</v>
      </c>
      <c r="N16" s="1">
        <f t="shared" si="2"/>
        <v>-400</v>
      </c>
      <c r="O16" s="1">
        <f t="shared" si="3"/>
        <v>1.5830903165959934E-5</v>
      </c>
      <c r="P16" s="1">
        <f t="shared" si="4"/>
        <v>2.5551303304279312E-3</v>
      </c>
    </row>
    <row r="17" spans="1:16">
      <c r="A17" s="1">
        <v>-2.5</v>
      </c>
      <c r="B17" s="1">
        <f t="shared" si="0"/>
        <v>1.752830049356854E-2</v>
      </c>
      <c r="L17" s="1">
        <v>-2.7</v>
      </c>
      <c r="M17" s="1">
        <f t="shared" si="1"/>
        <v>1.0420934814422592E-2</v>
      </c>
      <c r="N17" s="1">
        <f t="shared" si="2"/>
        <v>-350</v>
      </c>
      <c r="O17" s="1">
        <f t="shared" si="3"/>
        <v>2.0841869628845181E-5</v>
      </c>
      <c r="P17" s="1">
        <f t="shared" si="4"/>
        <v>3.4669738030406643E-3</v>
      </c>
    </row>
    <row r="18" spans="1:16">
      <c r="A18" s="1">
        <v>-2.4</v>
      </c>
      <c r="B18" s="1">
        <f t="shared" si="0"/>
        <v>2.2394530294842899E-2</v>
      </c>
      <c r="L18" s="1">
        <v>-2.6</v>
      </c>
      <c r="M18" s="1">
        <f t="shared" si="1"/>
        <v>1.3582969233685613E-2</v>
      </c>
      <c r="N18" s="1">
        <f t="shared" si="2"/>
        <v>-300</v>
      </c>
      <c r="O18" s="1">
        <f t="shared" si="3"/>
        <v>2.7165938467371226E-5</v>
      </c>
      <c r="P18" s="1">
        <f t="shared" si="4"/>
        <v>4.6611880237187476E-3</v>
      </c>
    </row>
    <row r="19" spans="1:16">
      <c r="A19" s="1">
        <v>-2.2999999999999998</v>
      </c>
      <c r="B19" s="1">
        <f t="shared" si="0"/>
        <v>2.8327037741601186E-2</v>
      </c>
      <c r="G19" s="1" t="s">
        <v>69</v>
      </c>
      <c r="L19" s="1">
        <v>-2.5</v>
      </c>
      <c r="M19" s="1">
        <f t="shared" si="1"/>
        <v>1.752830049356854E-2</v>
      </c>
      <c r="N19" s="1">
        <f t="shared" si="2"/>
        <v>-250</v>
      </c>
      <c r="O19" s="1">
        <f t="shared" si="3"/>
        <v>3.5056600987137081E-5</v>
      </c>
      <c r="P19" s="1">
        <f t="shared" si="4"/>
        <v>6.2096653257761331E-3</v>
      </c>
    </row>
    <row r="20" spans="1:16">
      <c r="A20" s="1">
        <v>-2.2000000000000002</v>
      </c>
      <c r="B20" s="1">
        <f t="shared" si="0"/>
        <v>3.5474592846231424E-2</v>
      </c>
      <c r="G20" s="1" t="s">
        <v>106</v>
      </c>
      <c r="H20" s="1">
        <f>O41</f>
        <v>7.627756309210483E-4</v>
      </c>
      <c r="L20" s="1">
        <v>-2.4</v>
      </c>
      <c r="M20" s="1">
        <f t="shared" si="1"/>
        <v>2.2394530294842899E-2</v>
      </c>
      <c r="N20" s="1">
        <f t="shared" si="2"/>
        <v>-200</v>
      </c>
      <c r="O20" s="1">
        <f t="shared" si="3"/>
        <v>4.4789060589685803E-5</v>
      </c>
      <c r="P20" s="1">
        <f t="shared" si="4"/>
        <v>8.1975359245961311E-3</v>
      </c>
    </row>
    <row r="21" spans="1:16">
      <c r="A21" s="1">
        <v>-2.1</v>
      </c>
      <c r="B21" s="1">
        <f t="shared" si="0"/>
        <v>4.3983595980427191E-2</v>
      </c>
      <c r="G21" s="1" t="s">
        <v>107</v>
      </c>
      <c r="H21" s="1">
        <f>SUM(O49:O84)</f>
        <v>6.5252428278317299E-3</v>
      </c>
      <c r="L21" s="1">
        <v>-2.2999999999999998</v>
      </c>
      <c r="M21" s="1">
        <f t="shared" si="1"/>
        <v>2.8327037741601186E-2</v>
      </c>
      <c r="N21" s="1">
        <f t="shared" si="2"/>
        <v>-150</v>
      </c>
      <c r="O21" s="1">
        <f t="shared" si="3"/>
        <v>5.6654075483202381E-5</v>
      </c>
      <c r="P21" s="1">
        <f t="shared" si="4"/>
        <v>1.0724110021675811E-2</v>
      </c>
    </row>
    <row r="22" spans="1:16">
      <c r="A22" s="1">
        <v>-2</v>
      </c>
      <c r="B22" s="1">
        <f t="shared" si="0"/>
        <v>5.3990966513188063E-2</v>
      </c>
      <c r="G22" s="1" t="s">
        <v>108</v>
      </c>
      <c r="H22" s="1">
        <f>SUM(O45:O63)</f>
        <v>9.0902647158313445E-3</v>
      </c>
      <c r="L22" s="1">
        <v>-2.2000000000000002</v>
      </c>
      <c r="M22" s="1">
        <f t="shared" si="1"/>
        <v>3.5474592846231424E-2</v>
      </c>
      <c r="N22" s="1">
        <f t="shared" si="2"/>
        <v>-100</v>
      </c>
      <c r="O22" s="1">
        <f t="shared" si="3"/>
        <v>7.0949185692462845E-5</v>
      </c>
      <c r="P22" s="1">
        <f t="shared" si="4"/>
        <v>1.3903447513498597E-2</v>
      </c>
    </row>
    <row r="23" spans="1:16">
      <c r="A23" s="1">
        <v>-1.9</v>
      </c>
      <c r="B23" s="1">
        <f t="shared" si="0"/>
        <v>6.5615814774676595E-2</v>
      </c>
      <c r="L23" s="1">
        <v>-2.1</v>
      </c>
      <c r="M23" s="1">
        <f t="shared" si="1"/>
        <v>4.3983595980427191E-2</v>
      </c>
      <c r="N23" s="1">
        <f t="shared" si="2"/>
        <v>-50</v>
      </c>
      <c r="O23" s="1">
        <f t="shared" si="3"/>
        <v>8.7967191960854391E-5</v>
      </c>
      <c r="P23" s="1">
        <f t="shared" si="4"/>
        <v>1.7864420562816546E-2</v>
      </c>
    </row>
    <row r="24" spans="1:16">
      <c r="A24" s="1">
        <v>-1.8</v>
      </c>
      <c r="B24" s="1">
        <f t="shared" si="0"/>
        <v>7.8950158300894149E-2</v>
      </c>
      <c r="D24" s="1" t="s">
        <v>78</v>
      </c>
      <c r="L24" s="1">
        <v>-2</v>
      </c>
      <c r="M24" s="1">
        <f t="shared" si="1"/>
        <v>5.3990966513188063E-2</v>
      </c>
      <c r="N24" s="1">
        <f t="shared" si="2"/>
        <v>0</v>
      </c>
      <c r="O24" s="1">
        <f t="shared" si="3"/>
        <v>1.0798193302637613E-4</v>
      </c>
      <c r="P24" s="1">
        <f t="shared" si="4"/>
        <v>2.2750131948179191E-2</v>
      </c>
    </row>
    <row r="25" spans="1:16">
      <c r="A25" s="1">
        <v>-1.7</v>
      </c>
      <c r="B25" s="1">
        <f t="shared" si="0"/>
        <v>9.4049077376886947E-2</v>
      </c>
      <c r="L25" s="1">
        <v>-1.9</v>
      </c>
      <c r="M25" s="1">
        <f t="shared" si="1"/>
        <v>6.5615814774676595E-2</v>
      </c>
      <c r="N25" s="1">
        <f t="shared" si="2"/>
        <v>50</v>
      </c>
      <c r="O25" s="1">
        <f t="shared" si="3"/>
        <v>1.3123162954935318E-4</v>
      </c>
      <c r="P25" s="1">
        <f t="shared" si="4"/>
        <v>2.87165598160018E-2</v>
      </c>
    </row>
    <row r="26" spans="1:16">
      <c r="A26" s="1">
        <v>-1.6</v>
      </c>
      <c r="B26" s="1">
        <f t="shared" si="0"/>
        <v>0.11092083467945554</v>
      </c>
      <c r="L26" s="1">
        <v>-1.8</v>
      </c>
      <c r="M26" s="1">
        <f t="shared" si="1"/>
        <v>7.8950158300894149E-2</v>
      </c>
      <c r="N26" s="1">
        <f t="shared" si="2"/>
        <v>100</v>
      </c>
      <c r="O26" s="1">
        <f t="shared" si="3"/>
        <v>1.5790031660178831E-4</v>
      </c>
      <c r="P26" s="1">
        <f t="shared" si="4"/>
        <v>3.5930319112925789E-2</v>
      </c>
    </row>
    <row r="27" spans="1:16">
      <c r="A27" s="1">
        <v>-1.5</v>
      </c>
      <c r="B27" s="1">
        <f t="shared" si="0"/>
        <v>0.12951759566589174</v>
      </c>
      <c r="L27" s="1">
        <v>-1.7</v>
      </c>
      <c r="M27" s="1">
        <f t="shared" si="1"/>
        <v>9.4049077376886947E-2</v>
      </c>
      <c r="N27" s="1">
        <f t="shared" si="2"/>
        <v>150</v>
      </c>
      <c r="O27" s="1">
        <f t="shared" si="3"/>
        <v>1.8809815475377388E-4</v>
      </c>
      <c r="P27" s="1">
        <f t="shared" si="4"/>
        <v>4.4565462758543041E-2</v>
      </c>
    </row>
    <row r="28" spans="1:16">
      <c r="A28" s="1">
        <v>-1.4</v>
      </c>
      <c r="B28" s="1">
        <f t="shared" si="0"/>
        <v>0.14972746563574488</v>
      </c>
      <c r="L28" s="1">
        <v>-1.6</v>
      </c>
      <c r="M28" s="1">
        <f t="shared" si="1"/>
        <v>0.11092083467945554</v>
      </c>
      <c r="N28" s="1">
        <f t="shared" si="2"/>
        <v>200</v>
      </c>
      <c r="O28" s="1">
        <f t="shared" si="3"/>
        <v>2.2184166935891109E-4</v>
      </c>
      <c r="P28" s="1">
        <f t="shared" si="4"/>
        <v>5.4799291699557967E-2</v>
      </c>
    </row>
    <row r="29" spans="1:16">
      <c r="A29" s="1">
        <v>-1.3</v>
      </c>
      <c r="B29" s="1">
        <f t="shared" si="0"/>
        <v>0.17136859204780736</v>
      </c>
      <c r="L29" s="1">
        <v>-1.5</v>
      </c>
      <c r="M29" s="1">
        <f t="shared" si="1"/>
        <v>0.12951759566589174</v>
      </c>
      <c r="N29" s="1">
        <f t="shared" si="2"/>
        <v>250</v>
      </c>
      <c r="O29" s="1">
        <f t="shared" si="3"/>
        <v>2.5903519133178349E-4</v>
      </c>
      <c r="P29" s="1">
        <f t="shared" si="4"/>
        <v>6.6807201268858057E-2</v>
      </c>
    </row>
    <row r="30" spans="1:16">
      <c r="A30" s="1">
        <v>-1.2</v>
      </c>
      <c r="B30" s="1">
        <f t="shared" si="0"/>
        <v>0.19418605498321295</v>
      </c>
      <c r="L30" s="1">
        <v>-1.4</v>
      </c>
      <c r="M30" s="1">
        <f t="shared" si="1"/>
        <v>0.14972746563574488</v>
      </c>
      <c r="N30" s="1">
        <f t="shared" si="2"/>
        <v>300</v>
      </c>
      <c r="O30" s="1">
        <f t="shared" si="3"/>
        <v>2.9945493127148977E-4</v>
      </c>
      <c r="P30" s="1">
        <f t="shared" si="4"/>
        <v>8.0756659233771053E-2</v>
      </c>
    </row>
    <row r="31" spans="1:16">
      <c r="A31" s="1">
        <v>-1.1000000000000001</v>
      </c>
      <c r="B31" s="1">
        <f t="shared" si="0"/>
        <v>0.21785217703255053</v>
      </c>
      <c r="L31" s="1">
        <v>-1.3</v>
      </c>
      <c r="M31" s="1">
        <f t="shared" si="1"/>
        <v>0.17136859204780736</v>
      </c>
      <c r="N31" s="1">
        <f t="shared" si="2"/>
        <v>350</v>
      </c>
      <c r="O31" s="1">
        <f t="shared" si="3"/>
        <v>3.427371840956147E-4</v>
      </c>
      <c r="P31" s="1">
        <f t="shared" si="4"/>
        <v>9.6800484585610316E-2</v>
      </c>
    </row>
    <row r="32" spans="1:16">
      <c r="A32" s="1">
        <v>-1</v>
      </c>
      <c r="B32" s="1">
        <f t="shared" si="0"/>
        <v>0.24197072451914337</v>
      </c>
      <c r="L32" s="1">
        <v>-1.2</v>
      </c>
      <c r="M32" s="1">
        <f t="shared" si="1"/>
        <v>0.19418605498321295</v>
      </c>
      <c r="N32" s="1">
        <f t="shared" si="2"/>
        <v>400</v>
      </c>
      <c r="O32" s="1">
        <f t="shared" si="3"/>
        <v>3.8837210996642594E-4</v>
      </c>
      <c r="P32" s="1">
        <f t="shared" si="4"/>
        <v>0.11506967022170828</v>
      </c>
    </row>
    <row r="33" spans="1:16">
      <c r="A33" s="1">
        <v>-0.9</v>
      </c>
      <c r="B33" s="1">
        <f t="shared" si="0"/>
        <v>0.26608524989875482</v>
      </c>
      <c r="L33" s="1">
        <v>-1.1000000000000001</v>
      </c>
      <c r="M33" s="1">
        <f t="shared" si="1"/>
        <v>0.21785217703255053</v>
      </c>
      <c r="N33" s="1">
        <f t="shared" si="2"/>
        <v>450</v>
      </c>
      <c r="O33" s="1">
        <f t="shared" si="3"/>
        <v>4.3570435406510105E-4</v>
      </c>
      <c r="P33" s="1">
        <f t="shared" si="4"/>
        <v>0.13566606094638264</v>
      </c>
    </row>
    <row r="34" spans="1:16">
      <c r="A34" s="1">
        <v>-0.8</v>
      </c>
      <c r="B34" s="1">
        <f t="shared" si="0"/>
        <v>0.28969155276148273</v>
      </c>
      <c r="L34" s="1">
        <v>-1</v>
      </c>
      <c r="M34" s="1">
        <f t="shared" si="1"/>
        <v>0.24197072451914337</v>
      </c>
      <c r="N34" s="1">
        <f t="shared" si="2"/>
        <v>500</v>
      </c>
      <c r="O34" s="1">
        <f t="shared" si="3"/>
        <v>4.8394144903828674E-4</v>
      </c>
      <c r="P34" s="1">
        <f t="shared" si="4"/>
        <v>0.15865525393145699</v>
      </c>
    </row>
    <row r="35" spans="1:16">
      <c r="A35" s="1">
        <v>-0.7</v>
      </c>
      <c r="B35" s="1">
        <f t="shared" si="0"/>
        <v>0.31225393336676127</v>
      </c>
      <c r="L35" s="1">
        <v>-0.9</v>
      </c>
      <c r="M35" s="1">
        <f t="shared" si="1"/>
        <v>0.26608524989875482</v>
      </c>
      <c r="N35" s="1">
        <f t="shared" si="2"/>
        <v>550</v>
      </c>
      <c r="O35" s="1">
        <f t="shared" si="3"/>
        <v>5.3217049979750958E-4</v>
      </c>
      <c r="P35" s="1">
        <f t="shared" si="4"/>
        <v>0.1840601253467595</v>
      </c>
    </row>
    <row r="36" spans="1:16">
      <c r="A36" s="1">
        <v>-0.6</v>
      </c>
      <c r="B36" s="1">
        <f t="shared" si="0"/>
        <v>0.33322460289179967</v>
      </c>
      <c r="L36" s="1">
        <v>-0.8</v>
      </c>
      <c r="M36" s="1">
        <f t="shared" si="1"/>
        <v>0.28969155276148273</v>
      </c>
      <c r="N36" s="1">
        <f t="shared" si="2"/>
        <v>600</v>
      </c>
      <c r="O36" s="1">
        <f t="shared" si="3"/>
        <v>5.7938310552296541E-4</v>
      </c>
      <c r="P36" s="1">
        <f t="shared" si="4"/>
        <v>0.21185539858339661</v>
      </c>
    </row>
    <row r="37" spans="1:16">
      <c r="A37" s="1">
        <v>-0.5</v>
      </c>
      <c r="B37" s="1">
        <f t="shared" si="0"/>
        <v>0.35206532676429952</v>
      </c>
      <c r="L37" s="1">
        <v>-0.7</v>
      </c>
      <c r="M37" s="1">
        <f t="shared" si="1"/>
        <v>0.31225393336676127</v>
      </c>
      <c r="N37" s="1">
        <f t="shared" si="2"/>
        <v>650</v>
      </c>
      <c r="O37" s="1">
        <f t="shared" si="3"/>
        <v>6.2450786673352258E-4</v>
      </c>
      <c r="P37" s="1">
        <f t="shared" si="4"/>
        <v>0.24196365222307298</v>
      </c>
    </row>
    <row r="38" spans="1:16">
      <c r="A38" s="1">
        <v>-0.4</v>
      </c>
      <c r="B38" s="1">
        <f t="shared" si="0"/>
        <v>0.36827014030332333</v>
      </c>
      <c r="L38" s="1">
        <v>-0.6</v>
      </c>
      <c r="M38" s="1">
        <f t="shared" si="1"/>
        <v>0.33322460289179967</v>
      </c>
      <c r="N38" s="1">
        <f t="shared" si="2"/>
        <v>700</v>
      </c>
      <c r="O38" s="1">
        <f t="shared" si="3"/>
        <v>6.6644920578359931E-4</v>
      </c>
      <c r="P38" s="1">
        <f t="shared" si="4"/>
        <v>0.27425311775007355</v>
      </c>
    </row>
    <row r="39" spans="1:16">
      <c r="A39" s="1">
        <v>-0.3</v>
      </c>
      <c r="B39" s="1">
        <f t="shared" si="0"/>
        <v>0.38138781546052414</v>
      </c>
      <c r="L39" s="1">
        <v>-0.5</v>
      </c>
      <c r="M39" s="1">
        <f t="shared" si="1"/>
        <v>0.35206532676429952</v>
      </c>
      <c r="N39" s="1">
        <f t="shared" si="2"/>
        <v>750</v>
      </c>
      <c r="O39" s="1">
        <f t="shared" si="3"/>
        <v>7.0413065352859904E-4</v>
      </c>
      <c r="P39" s="1">
        <f t="shared" si="4"/>
        <v>0.30853753872598688</v>
      </c>
    </row>
    <row r="40" spans="1:16">
      <c r="A40" s="1">
        <v>-0.2</v>
      </c>
      <c r="B40" s="1">
        <f t="shared" si="0"/>
        <v>0.39104269397545588</v>
      </c>
      <c r="L40" s="1">
        <v>-0.4</v>
      </c>
      <c r="M40" s="1">
        <f t="shared" si="1"/>
        <v>0.36827014030332333</v>
      </c>
      <c r="N40" s="1">
        <f t="shared" si="2"/>
        <v>800</v>
      </c>
      <c r="O40" s="1">
        <f t="shared" si="3"/>
        <v>7.3654028060664658E-4</v>
      </c>
      <c r="P40" s="1">
        <f t="shared" si="4"/>
        <v>0.34457825838967576</v>
      </c>
    </row>
    <row r="41" spans="1:16">
      <c r="A41" s="1">
        <v>-0.1</v>
      </c>
      <c r="B41" s="1">
        <f t="shared" si="0"/>
        <v>0.39695254747701181</v>
      </c>
      <c r="L41" s="1">
        <v>-0.3</v>
      </c>
      <c r="M41" s="1">
        <f t="shared" si="1"/>
        <v>0.38138781546052414</v>
      </c>
      <c r="N41" s="1">
        <f t="shared" si="2"/>
        <v>850</v>
      </c>
      <c r="O41" s="1">
        <f t="shared" si="3"/>
        <v>7.627756309210483E-4</v>
      </c>
      <c r="P41" s="1">
        <f t="shared" si="4"/>
        <v>0.38208857781104733</v>
      </c>
    </row>
    <row r="42" spans="1:16">
      <c r="A42" s="1">
        <v>0</v>
      </c>
      <c r="B42" s="1">
        <f t="shared" si="0"/>
        <v>0.3989422804014327</v>
      </c>
      <c r="L42" s="1">
        <v>-0.2</v>
      </c>
      <c r="M42" s="1">
        <f t="shared" si="1"/>
        <v>0.39104269397545588</v>
      </c>
      <c r="N42" s="1">
        <f t="shared" si="2"/>
        <v>900</v>
      </c>
      <c r="O42" s="1">
        <f t="shared" si="3"/>
        <v>7.820853879509117E-4</v>
      </c>
      <c r="P42" s="1">
        <f t="shared" si="4"/>
        <v>0.42074029056089696</v>
      </c>
    </row>
    <row r="43" spans="1:16">
      <c r="A43" s="1">
        <v>9.9999999999999603E-2</v>
      </c>
      <c r="B43" s="1">
        <f t="shared" si="0"/>
        <v>0.39695254747701181</v>
      </c>
      <c r="L43" s="1">
        <v>-0.1</v>
      </c>
      <c r="M43" s="1">
        <f t="shared" si="1"/>
        <v>0.39695254747701181</v>
      </c>
      <c r="N43" s="1">
        <f t="shared" si="2"/>
        <v>950</v>
      </c>
      <c r="O43" s="1">
        <f t="shared" si="3"/>
        <v>7.9390509495402351E-4</v>
      </c>
      <c r="P43" s="1">
        <f t="shared" si="4"/>
        <v>0.46017216272297101</v>
      </c>
    </row>
    <row r="44" spans="1:16">
      <c r="A44" s="1">
        <v>0.2</v>
      </c>
      <c r="B44" s="1">
        <f t="shared" si="0"/>
        <v>0.39104269397545588</v>
      </c>
      <c r="L44" s="1">
        <v>0</v>
      </c>
      <c r="M44" s="1">
        <f t="shared" si="1"/>
        <v>0.3989422804014327</v>
      </c>
      <c r="N44" s="1">
        <f t="shared" si="2"/>
        <v>1000</v>
      </c>
      <c r="O44" s="1">
        <f t="shared" si="3"/>
        <v>7.9788456080286542E-4</v>
      </c>
      <c r="P44" s="1">
        <f t="shared" si="4"/>
        <v>0.5</v>
      </c>
    </row>
    <row r="45" spans="1:16">
      <c r="A45" s="1">
        <v>0.3</v>
      </c>
      <c r="B45" s="1">
        <f t="shared" si="0"/>
        <v>0.38138781546052414</v>
      </c>
      <c r="L45" s="1">
        <v>9.9999999999999603E-2</v>
      </c>
      <c r="M45" s="1">
        <f t="shared" si="1"/>
        <v>0.39695254747701181</v>
      </c>
      <c r="N45" s="1">
        <f t="shared" si="2"/>
        <v>1049.9999999999998</v>
      </c>
      <c r="O45" s="1">
        <f t="shared" si="3"/>
        <v>7.9390509495402351E-4</v>
      </c>
      <c r="P45" s="1">
        <f t="shared" si="4"/>
        <v>0.53982783727702888</v>
      </c>
    </row>
    <row r="46" spans="1:16">
      <c r="A46" s="1">
        <v>0.4</v>
      </c>
      <c r="B46" s="1">
        <f t="shared" si="0"/>
        <v>0.36827014030332333</v>
      </c>
      <c r="L46" s="1">
        <v>0.2</v>
      </c>
      <c r="M46" s="1">
        <f t="shared" si="1"/>
        <v>0.39104269397545588</v>
      </c>
      <c r="N46" s="1">
        <f t="shared" si="2"/>
        <v>1100</v>
      </c>
      <c r="O46" s="1">
        <f t="shared" si="3"/>
        <v>7.820853879509117E-4</v>
      </c>
      <c r="P46" s="1">
        <f t="shared" si="4"/>
        <v>0.57925970943910299</v>
      </c>
    </row>
    <row r="47" spans="1:16">
      <c r="A47" s="1">
        <v>0.5</v>
      </c>
      <c r="B47" s="1">
        <f t="shared" si="0"/>
        <v>0.35206532676429952</v>
      </c>
      <c r="L47" s="1">
        <v>0.3</v>
      </c>
      <c r="M47" s="1">
        <f t="shared" si="1"/>
        <v>0.38138781546052414</v>
      </c>
      <c r="N47" s="1">
        <f t="shared" si="2"/>
        <v>1150</v>
      </c>
      <c r="O47" s="1">
        <f t="shared" si="3"/>
        <v>7.627756309210483E-4</v>
      </c>
      <c r="P47" s="1">
        <f t="shared" si="4"/>
        <v>0.61791142218895267</v>
      </c>
    </row>
    <row r="48" spans="1:16">
      <c r="A48" s="1">
        <v>0.6</v>
      </c>
      <c r="B48" s="1">
        <f t="shared" si="0"/>
        <v>0.33322460289179967</v>
      </c>
      <c r="L48" s="1">
        <v>0.4</v>
      </c>
      <c r="M48" s="1">
        <f t="shared" si="1"/>
        <v>0.36827014030332333</v>
      </c>
      <c r="N48" s="1">
        <f t="shared" si="2"/>
        <v>1200</v>
      </c>
      <c r="O48" s="1">
        <f t="shared" si="3"/>
        <v>7.3654028060664658E-4</v>
      </c>
      <c r="P48" s="1">
        <f t="shared" si="4"/>
        <v>0.65542174161032429</v>
      </c>
    </row>
    <row r="49" spans="1:16">
      <c r="A49" s="1">
        <v>0.7</v>
      </c>
      <c r="B49" s="1">
        <f t="shared" si="0"/>
        <v>0.31225393336676127</v>
      </c>
      <c r="L49" s="1">
        <v>0.5</v>
      </c>
      <c r="M49" s="1">
        <f t="shared" si="1"/>
        <v>0.35206532676429952</v>
      </c>
      <c r="N49" s="1">
        <f t="shared" si="2"/>
        <v>1250</v>
      </c>
      <c r="O49" s="1">
        <f t="shared" si="3"/>
        <v>7.0413065352859904E-4</v>
      </c>
      <c r="P49" s="1">
        <f t="shared" si="4"/>
        <v>0.69146246127401312</v>
      </c>
    </row>
    <row r="50" spans="1:16">
      <c r="A50" s="1">
        <v>0.8</v>
      </c>
      <c r="B50" s="1">
        <f t="shared" si="0"/>
        <v>0.28969155276148273</v>
      </c>
      <c r="L50" s="1">
        <v>0.6</v>
      </c>
      <c r="M50" s="1">
        <f t="shared" si="1"/>
        <v>0.33322460289179967</v>
      </c>
      <c r="N50" s="1">
        <f t="shared" si="2"/>
        <v>1300</v>
      </c>
      <c r="O50" s="1">
        <f t="shared" si="3"/>
        <v>6.6644920578359931E-4</v>
      </c>
      <c r="P50" s="1">
        <f t="shared" si="4"/>
        <v>0.72574688224992645</v>
      </c>
    </row>
    <row r="51" spans="1:16">
      <c r="A51" s="1">
        <v>0.9</v>
      </c>
      <c r="B51" s="1">
        <f t="shared" si="0"/>
        <v>0.26608524989875482</v>
      </c>
      <c r="L51" s="1">
        <v>0.7</v>
      </c>
      <c r="M51" s="1">
        <f t="shared" si="1"/>
        <v>0.31225393336676127</v>
      </c>
      <c r="N51" s="1">
        <f t="shared" si="2"/>
        <v>1350</v>
      </c>
      <c r="O51" s="1">
        <f t="shared" si="3"/>
        <v>6.2450786673352258E-4</v>
      </c>
      <c r="P51" s="1">
        <f t="shared" si="4"/>
        <v>0.75803634777692697</v>
      </c>
    </row>
    <row r="52" spans="1:16">
      <c r="A52" s="1">
        <v>1</v>
      </c>
      <c r="B52" s="1">
        <f t="shared" si="0"/>
        <v>0.24197072451914337</v>
      </c>
      <c r="L52" s="1">
        <v>0.8</v>
      </c>
      <c r="M52" s="1">
        <f t="shared" si="1"/>
        <v>0.28969155276148273</v>
      </c>
      <c r="N52" s="1">
        <f t="shared" si="2"/>
        <v>1400</v>
      </c>
      <c r="O52" s="1">
        <f t="shared" si="3"/>
        <v>5.7938310552296541E-4</v>
      </c>
      <c r="P52" s="1">
        <f t="shared" si="4"/>
        <v>0.78814460141660336</v>
      </c>
    </row>
    <row r="53" spans="1:16">
      <c r="A53" s="1">
        <v>1.1000000000000001</v>
      </c>
      <c r="B53" s="1">
        <f t="shared" si="0"/>
        <v>0.21785217703255053</v>
      </c>
      <c r="L53" s="1">
        <v>0.9</v>
      </c>
      <c r="M53" s="1">
        <f t="shared" si="1"/>
        <v>0.26608524989875482</v>
      </c>
      <c r="N53" s="1">
        <f t="shared" si="2"/>
        <v>1450</v>
      </c>
      <c r="O53" s="1">
        <f t="shared" si="3"/>
        <v>5.3217049979750958E-4</v>
      </c>
      <c r="P53" s="1">
        <f t="shared" si="4"/>
        <v>0.81593987465324047</v>
      </c>
    </row>
    <row r="54" spans="1:16">
      <c r="A54" s="1">
        <v>1.2</v>
      </c>
      <c r="B54" s="1">
        <f t="shared" si="0"/>
        <v>0.19418605498321295</v>
      </c>
      <c r="L54" s="1">
        <v>1</v>
      </c>
      <c r="M54" s="1">
        <f t="shared" si="1"/>
        <v>0.24197072451914337</v>
      </c>
      <c r="N54" s="1">
        <f t="shared" si="2"/>
        <v>1500</v>
      </c>
      <c r="O54" s="1">
        <f t="shared" si="3"/>
        <v>4.8394144903828674E-4</v>
      </c>
      <c r="P54" s="1">
        <f t="shared" si="4"/>
        <v>0.84134474606854304</v>
      </c>
    </row>
    <row r="55" spans="1:16">
      <c r="A55" s="1">
        <v>1.3</v>
      </c>
      <c r="B55" s="1">
        <f t="shared" si="0"/>
        <v>0.17136859204780736</v>
      </c>
      <c r="L55" s="1">
        <v>1.1000000000000001</v>
      </c>
      <c r="M55" s="1">
        <f t="shared" si="1"/>
        <v>0.21785217703255053</v>
      </c>
      <c r="N55" s="1">
        <f t="shared" si="2"/>
        <v>1550</v>
      </c>
      <c r="O55" s="1">
        <f t="shared" si="3"/>
        <v>4.3570435406510105E-4</v>
      </c>
      <c r="P55" s="1">
        <f t="shared" si="4"/>
        <v>0.86433393905361733</v>
      </c>
    </row>
    <row r="56" spans="1:16">
      <c r="A56" s="1">
        <v>1.4</v>
      </c>
      <c r="B56" s="1">
        <f t="shared" si="0"/>
        <v>0.14972746563574488</v>
      </c>
      <c r="L56" s="1">
        <v>1.2</v>
      </c>
      <c r="M56" s="1">
        <f t="shared" si="1"/>
        <v>0.19418605498321295</v>
      </c>
      <c r="N56" s="1">
        <f t="shared" si="2"/>
        <v>1600</v>
      </c>
      <c r="O56" s="1">
        <f t="shared" si="3"/>
        <v>3.8837210996642594E-4</v>
      </c>
      <c r="P56" s="1">
        <f t="shared" si="4"/>
        <v>0.88493032977829178</v>
      </c>
    </row>
    <row r="57" spans="1:16">
      <c r="A57" s="1">
        <v>1.50000000000001</v>
      </c>
      <c r="B57" s="1">
        <f t="shared" si="0"/>
        <v>0.1295175956658898</v>
      </c>
      <c r="L57" s="1">
        <v>1.3</v>
      </c>
      <c r="M57" s="1">
        <f t="shared" si="1"/>
        <v>0.17136859204780736</v>
      </c>
      <c r="N57" s="1">
        <f t="shared" si="2"/>
        <v>1650</v>
      </c>
      <c r="O57" s="1">
        <f t="shared" si="3"/>
        <v>3.427371840956147E-4</v>
      </c>
      <c r="P57" s="1">
        <f t="shared" si="4"/>
        <v>0.9031995154143897</v>
      </c>
    </row>
    <row r="58" spans="1:16">
      <c r="A58" s="1">
        <v>1.6</v>
      </c>
      <c r="B58" s="1">
        <f t="shared" si="0"/>
        <v>0.11092083467945554</v>
      </c>
      <c r="L58" s="1">
        <v>1.4</v>
      </c>
      <c r="M58" s="1">
        <f t="shared" si="1"/>
        <v>0.14972746563574488</v>
      </c>
      <c r="N58" s="1">
        <f t="shared" si="2"/>
        <v>1700</v>
      </c>
      <c r="O58" s="1">
        <f t="shared" si="3"/>
        <v>2.9945493127148977E-4</v>
      </c>
      <c r="P58" s="1">
        <f t="shared" si="4"/>
        <v>0.91924334076622893</v>
      </c>
    </row>
    <row r="59" spans="1:16">
      <c r="A59" s="1">
        <v>1.7</v>
      </c>
      <c r="B59" s="1">
        <f t="shared" si="0"/>
        <v>9.4049077376886947E-2</v>
      </c>
      <c r="L59" s="1">
        <v>1.50000000000001</v>
      </c>
      <c r="M59" s="1">
        <f t="shared" si="1"/>
        <v>0.1295175956658898</v>
      </c>
      <c r="N59" s="1">
        <f t="shared" si="2"/>
        <v>1750.000000000005</v>
      </c>
      <c r="O59" s="1">
        <f t="shared" si="3"/>
        <v>2.5903519133177959E-4</v>
      </c>
      <c r="P59" s="1">
        <f t="shared" si="4"/>
        <v>0.93319279873114325</v>
      </c>
    </row>
    <row r="60" spans="1:16">
      <c r="A60" s="1">
        <v>1.80000000000001</v>
      </c>
      <c r="B60" s="1">
        <f t="shared" si="0"/>
        <v>7.8950158300892734E-2</v>
      </c>
      <c r="L60" s="1">
        <v>1.6</v>
      </c>
      <c r="M60" s="1">
        <f t="shared" si="1"/>
        <v>0.11092083467945554</v>
      </c>
      <c r="N60" s="1">
        <f t="shared" si="2"/>
        <v>1800</v>
      </c>
      <c r="O60" s="1">
        <f t="shared" si="3"/>
        <v>2.2184166935891109E-4</v>
      </c>
      <c r="P60" s="1">
        <f t="shared" si="4"/>
        <v>0.94520070830044201</v>
      </c>
    </row>
    <row r="61" spans="1:16">
      <c r="A61" s="1">
        <v>1.9000000000000099</v>
      </c>
      <c r="B61" s="1">
        <f t="shared" si="0"/>
        <v>6.561581477467536E-2</v>
      </c>
      <c r="L61" s="1">
        <v>1.7</v>
      </c>
      <c r="M61" s="1">
        <f t="shared" si="1"/>
        <v>9.4049077376886947E-2</v>
      </c>
      <c r="N61" s="1">
        <f t="shared" si="2"/>
        <v>1850</v>
      </c>
      <c r="O61" s="1">
        <f t="shared" si="3"/>
        <v>1.8809815475377388E-4</v>
      </c>
      <c r="P61" s="1">
        <f t="shared" si="4"/>
        <v>0.95543453724145699</v>
      </c>
    </row>
    <row r="62" spans="1:16">
      <c r="A62" s="1">
        <v>2.0000000000000102</v>
      </c>
      <c r="B62" s="1">
        <f t="shared" si="0"/>
        <v>5.3990966513186953E-2</v>
      </c>
      <c r="L62" s="1">
        <v>1.80000000000001</v>
      </c>
      <c r="M62" s="1">
        <f t="shared" si="1"/>
        <v>7.8950158300892734E-2</v>
      </c>
      <c r="N62" s="1">
        <f t="shared" si="2"/>
        <v>1900.000000000005</v>
      </c>
      <c r="O62" s="1">
        <f t="shared" si="3"/>
        <v>1.5790031660178547E-4</v>
      </c>
      <c r="P62" s="1">
        <f t="shared" si="4"/>
        <v>0.96406968088707501</v>
      </c>
    </row>
    <row r="63" spans="1:16">
      <c r="A63" s="1">
        <v>2.1</v>
      </c>
      <c r="B63" s="1">
        <f t="shared" si="0"/>
        <v>4.3983595980427191E-2</v>
      </c>
      <c r="L63" s="1">
        <v>1.9000000000000099</v>
      </c>
      <c r="M63" s="1">
        <f t="shared" si="1"/>
        <v>6.561581477467536E-2</v>
      </c>
      <c r="N63" s="1">
        <f t="shared" si="2"/>
        <v>1950.000000000005</v>
      </c>
      <c r="O63" s="1">
        <f t="shared" si="3"/>
        <v>1.3123162954935071E-4</v>
      </c>
      <c r="P63" s="1">
        <f t="shared" si="4"/>
        <v>0.97128344018399881</v>
      </c>
    </row>
    <row r="64" spans="1:16">
      <c r="A64" s="1">
        <v>2.2000000000000099</v>
      </c>
      <c r="B64" s="1">
        <f t="shared" si="0"/>
        <v>3.5474592846230668E-2</v>
      </c>
      <c r="L64" s="1">
        <v>2.0000000000000102</v>
      </c>
      <c r="M64" s="1">
        <f t="shared" si="1"/>
        <v>5.3990966513186953E-2</v>
      </c>
      <c r="N64" s="1">
        <f t="shared" si="2"/>
        <v>2000.000000000005</v>
      </c>
      <c r="O64" s="1">
        <f t="shared" si="3"/>
        <v>1.0798193302637392E-4</v>
      </c>
      <c r="P64" s="1">
        <f t="shared" si="4"/>
        <v>0.97724986805182135</v>
      </c>
    </row>
    <row r="65" spans="1:16">
      <c r="A65" s="1">
        <v>2.30000000000001</v>
      </c>
      <c r="B65" s="1">
        <f t="shared" si="0"/>
        <v>2.8327037741600516E-2</v>
      </c>
      <c r="L65" s="1">
        <v>2.1</v>
      </c>
      <c r="M65" s="1">
        <f t="shared" si="1"/>
        <v>4.3983595980427191E-2</v>
      </c>
      <c r="N65" s="1">
        <f t="shared" si="2"/>
        <v>2050</v>
      </c>
      <c r="O65" s="1">
        <f t="shared" si="3"/>
        <v>8.7967191960854391E-5</v>
      </c>
      <c r="P65" s="1">
        <f t="shared" si="4"/>
        <v>0.98213557943718344</v>
      </c>
    </row>
    <row r="66" spans="1:16">
      <c r="A66" s="1">
        <v>2.4000000000000101</v>
      </c>
      <c r="B66" s="1">
        <f t="shared" si="0"/>
        <v>2.2394530294842355E-2</v>
      </c>
      <c r="L66" s="1">
        <v>2.2000000000000099</v>
      </c>
      <c r="M66" s="1">
        <f t="shared" si="1"/>
        <v>3.5474592846230668E-2</v>
      </c>
      <c r="N66" s="1">
        <f t="shared" si="2"/>
        <v>2100.000000000005</v>
      </c>
      <c r="O66" s="1">
        <f t="shared" si="3"/>
        <v>7.0949185692461327E-5</v>
      </c>
      <c r="P66" s="1">
        <f t="shared" si="4"/>
        <v>0.98609655248650174</v>
      </c>
    </row>
    <row r="67" spans="1:16">
      <c r="A67" s="1">
        <v>2.5000000000000102</v>
      </c>
      <c r="B67" s="1">
        <f t="shared" ref="B67:B82" si="5">_xlfn.NORM.S.DIST(A67,FALSE)</f>
        <v>1.7528300493568086E-2</v>
      </c>
      <c r="L67" s="1">
        <v>2.30000000000001</v>
      </c>
      <c r="M67" s="1">
        <f t="shared" si="1"/>
        <v>2.8327037741600516E-2</v>
      </c>
      <c r="N67" s="1">
        <f t="shared" si="2"/>
        <v>2150.000000000005</v>
      </c>
      <c r="O67" s="1">
        <f t="shared" si="3"/>
        <v>5.6654075483201039E-5</v>
      </c>
      <c r="P67" s="1">
        <f t="shared" si="4"/>
        <v>0.9892758899783245</v>
      </c>
    </row>
    <row r="68" spans="1:16">
      <c r="A68" s="1">
        <v>2.6000000000000099</v>
      </c>
      <c r="B68" s="1">
        <f t="shared" si="5"/>
        <v>1.3582969233685271E-2</v>
      </c>
      <c r="L68" s="1">
        <v>2.4000000000000101</v>
      </c>
      <c r="M68" s="1">
        <f t="shared" si="1"/>
        <v>2.2394530294842355E-2</v>
      </c>
      <c r="N68" s="1">
        <f t="shared" si="2"/>
        <v>2200.000000000005</v>
      </c>
      <c r="O68" s="1">
        <f t="shared" si="3"/>
        <v>4.4789060589684705E-5</v>
      </c>
      <c r="P68" s="1">
        <f t="shared" si="4"/>
        <v>0.99180246407540407</v>
      </c>
    </row>
    <row r="69" spans="1:16">
      <c r="A69" s="1">
        <v>2.7000000000000099</v>
      </c>
      <c r="B69" s="1">
        <f t="shared" si="5"/>
        <v>1.0420934814422318E-2</v>
      </c>
      <c r="L69" s="1">
        <v>2.5000000000000102</v>
      </c>
      <c r="M69" s="1">
        <f t="shared" ref="M69:M84" si="6">_xlfn.NORM.S.DIST(L69,FALSE)</f>
        <v>1.7528300493568086E-2</v>
      </c>
      <c r="N69" s="1">
        <f t="shared" ref="N69:N84" si="7">1000 +(L69*500)</f>
        <v>2250.000000000005</v>
      </c>
      <c r="O69" s="1">
        <f t="shared" ref="O69:O84" si="8">_xlfn.NORM.DIST(N69,1000,500,FALSE)</f>
        <v>3.5056600987136173E-5</v>
      </c>
      <c r="P69" s="1">
        <f t="shared" ref="P69:P84" si="9">_xlfn.NORM.DIST(N69,1000,500,TRUE)</f>
        <v>0.99379033467422406</v>
      </c>
    </row>
    <row r="70" spans="1:16">
      <c r="A70" s="1">
        <v>2.80000000000001</v>
      </c>
      <c r="B70" s="1">
        <f t="shared" si="5"/>
        <v>7.915451582979743E-3</v>
      </c>
      <c r="L70" s="1">
        <v>2.6000000000000099</v>
      </c>
      <c r="M70" s="1">
        <f t="shared" si="6"/>
        <v>1.3582969233685271E-2</v>
      </c>
      <c r="N70" s="1">
        <f t="shared" si="7"/>
        <v>2300.000000000005</v>
      </c>
      <c r="O70" s="1">
        <f t="shared" si="8"/>
        <v>2.7165938467370538E-5</v>
      </c>
      <c r="P70" s="1">
        <f t="shared" si="9"/>
        <v>0.99533881197628138</v>
      </c>
    </row>
    <row r="71" spans="1:16">
      <c r="A71" s="1">
        <v>2.9000000000000101</v>
      </c>
      <c r="B71" s="1">
        <f t="shared" si="5"/>
        <v>5.9525324197756795E-3</v>
      </c>
      <c r="L71" s="1">
        <v>2.7000000000000099</v>
      </c>
      <c r="M71" s="1">
        <f t="shared" si="6"/>
        <v>1.0420934814422318E-2</v>
      </c>
      <c r="N71" s="1">
        <f t="shared" si="7"/>
        <v>2350.000000000005</v>
      </c>
      <c r="O71" s="1">
        <f t="shared" si="8"/>
        <v>2.0841869628844636E-5</v>
      </c>
      <c r="P71" s="1">
        <f t="shared" si="9"/>
        <v>0.99653302619695949</v>
      </c>
    </row>
    <row r="72" spans="1:16">
      <c r="A72" s="1">
        <v>3.0000000000000102</v>
      </c>
      <c r="B72" s="1">
        <f t="shared" si="5"/>
        <v>4.431848411937874E-3</v>
      </c>
      <c r="L72" s="1">
        <v>2.80000000000001</v>
      </c>
      <c r="M72" s="1">
        <f t="shared" si="6"/>
        <v>7.915451582979743E-3</v>
      </c>
      <c r="N72" s="1">
        <f t="shared" si="7"/>
        <v>2400.000000000005</v>
      </c>
      <c r="O72" s="1">
        <f t="shared" si="8"/>
        <v>1.5830903165959487E-5</v>
      </c>
      <c r="P72" s="1">
        <f t="shared" si="9"/>
        <v>0.99744486966957213</v>
      </c>
    </row>
    <row r="73" spans="1:16">
      <c r="A73" s="1">
        <v>3.1000000000000099</v>
      </c>
      <c r="B73" s="1">
        <f t="shared" si="5"/>
        <v>3.2668190561998202E-3</v>
      </c>
      <c r="L73" s="1">
        <v>2.9000000000000101</v>
      </c>
      <c r="M73" s="1">
        <f t="shared" si="6"/>
        <v>5.9525324197756795E-3</v>
      </c>
      <c r="N73" s="1">
        <f t="shared" si="7"/>
        <v>2450.000000000005</v>
      </c>
      <c r="O73" s="1">
        <f t="shared" si="8"/>
        <v>1.1905064839551358E-5</v>
      </c>
      <c r="P73" s="1">
        <f t="shared" si="9"/>
        <v>0.99813418669961607</v>
      </c>
    </row>
    <row r="74" spans="1:16">
      <c r="A74" s="1">
        <v>3.2000000000000099</v>
      </c>
      <c r="B74" s="1">
        <f t="shared" si="5"/>
        <v>2.3840882014647662E-3</v>
      </c>
      <c r="L74" s="1">
        <v>3.0000000000000102</v>
      </c>
      <c r="M74" s="1">
        <f t="shared" si="6"/>
        <v>4.431848411937874E-3</v>
      </c>
      <c r="N74" s="1">
        <f t="shared" si="7"/>
        <v>2500.000000000005</v>
      </c>
      <c r="O74" s="1">
        <f t="shared" si="8"/>
        <v>8.8636968238757477E-6</v>
      </c>
      <c r="P74" s="1">
        <f t="shared" si="9"/>
        <v>0.9986501019683699</v>
      </c>
    </row>
    <row r="75" spans="1:16">
      <c r="A75" s="1">
        <v>3.30000000000001</v>
      </c>
      <c r="B75" s="1">
        <f t="shared" si="5"/>
        <v>1.7225689390536229E-3</v>
      </c>
      <c r="L75" s="1">
        <v>3.1000000000000099</v>
      </c>
      <c r="M75" s="1">
        <f t="shared" si="6"/>
        <v>3.2668190561998202E-3</v>
      </c>
      <c r="N75" s="1">
        <f t="shared" si="7"/>
        <v>2550.000000000005</v>
      </c>
      <c r="O75" s="1">
        <f t="shared" si="8"/>
        <v>6.5336381123996401E-6</v>
      </c>
      <c r="P75" s="1">
        <f t="shared" si="9"/>
        <v>0.99903239678678168</v>
      </c>
    </row>
    <row r="76" spans="1:16">
      <c r="A76" s="1">
        <v>3.4000000000000101</v>
      </c>
      <c r="B76" s="1">
        <f t="shared" si="5"/>
        <v>1.2322191684729772E-3</v>
      </c>
      <c r="L76" s="1">
        <v>3.2000000000000099</v>
      </c>
      <c r="M76" s="1">
        <f t="shared" si="6"/>
        <v>2.3840882014647662E-3</v>
      </c>
      <c r="N76" s="1">
        <f t="shared" si="7"/>
        <v>2600.000000000005</v>
      </c>
      <c r="O76" s="1">
        <f t="shared" si="8"/>
        <v>4.7681764029295324E-6</v>
      </c>
      <c r="P76" s="1">
        <f t="shared" si="9"/>
        <v>0.99931286206208414</v>
      </c>
    </row>
    <row r="77" spans="1:16">
      <c r="A77" s="1">
        <v>3.5000000000000102</v>
      </c>
      <c r="B77" s="1">
        <f t="shared" si="5"/>
        <v>8.7268269504572915E-4</v>
      </c>
      <c r="L77" s="1">
        <v>3.30000000000001</v>
      </c>
      <c r="M77" s="1">
        <f t="shared" si="6"/>
        <v>1.7225689390536229E-3</v>
      </c>
      <c r="N77" s="1">
        <f t="shared" si="7"/>
        <v>2650.000000000005</v>
      </c>
      <c r="O77" s="1">
        <f t="shared" si="8"/>
        <v>3.4451378781072456E-6</v>
      </c>
      <c r="P77" s="1">
        <f t="shared" si="9"/>
        <v>0.99951657585761622</v>
      </c>
    </row>
    <row r="78" spans="1:16">
      <c r="A78" s="1">
        <v>3.6000000000000099</v>
      </c>
      <c r="B78" s="1">
        <f t="shared" si="5"/>
        <v>6.1190193011375076E-4</v>
      </c>
      <c r="L78" s="1">
        <v>3.4000000000000101</v>
      </c>
      <c r="M78" s="1">
        <f t="shared" si="6"/>
        <v>1.2322191684729772E-3</v>
      </c>
      <c r="N78" s="1">
        <f t="shared" si="7"/>
        <v>2700.000000000005</v>
      </c>
      <c r="O78" s="1">
        <f t="shared" si="8"/>
        <v>2.4644383369459543E-6</v>
      </c>
      <c r="P78" s="1">
        <f t="shared" si="9"/>
        <v>0.99966307073432314</v>
      </c>
    </row>
    <row r="79" spans="1:16">
      <c r="A79" s="1">
        <v>3.7000000000000099</v>
      </c>
      <c r="B79" s="1">
        <f t="shared" si="5"/>
        <v>4.2478027055073593E-4</v>
      </c>
      <c r="L79" s="1">
        <v>3.5000000000000102</v>
      </c>
      <c r="M79" s="1">
        <f t="shared" si="6"/>
        <v>8.7268269504572915E-4</v>
      </c>
      <c r="N79" s="1">
        <f t="shared" si="7"/>
        <v>2750.000000000005</v>
      </c>
      <c r="O79" s="1">
        <f t="shared" si="8"/>
        <v>1.7453653900914582E-6</v>
      </c>
      <c r="P79" s="1">
        <f t="shared" si="9"/>
        <v>0.99976737092096446</v>
      </c>
    </row>
    <row r="80" spans="1:16">
      <c r="A80" s="1">
        <v>3.80000000000001</v>
      </c>
      <c r="B80" s="1">
        <f t="shared" si="5"/>
        <v>2.919469257914491E-4</v>
      </c>
      <c r="L80" s="1">
        <v>3.6000000000000099</v>
      </c>
      <c r="M80" s="1">
        <f t="shared" si="6"/>
        <v>6.1190193011375076E-4</v>
      </c>
      <c r="N80" s="1">
        <f t="shared" si="7"/>
        <v>2800.000000000005</v>
      </c>
      <c r="O80" s="1">
        <f t="shared" si="8"/>
        <v>1.2238038602275015E-6</v>
      </c>
      <c r="P80" s="1">
        <f t="shared" si="9"/>
        <v>0.99984089140984245</v>
      </c>
    </row>
    <row r="81" spans="1:16">
      <c r="A81" s="1">
        <v>3.9000000000000101</v>
      </c>
      <c r="B81" s="1">
        <f t="shared" si="5"/>
        <v>1.9865547139276475E-4</v>
      </c>
      <c r="L81" s="1">
        <v>3.7000000000000099</v>
      </c>
      <c r="M81" s="1">
        <f t="shared" si="6"/>
        <v>4.2478027055073593E-4</v>
      </c>
      <c r="N81" s="1">
        <f t="shared" si="7"/>
        <v>2850.000000000005</v>
      </c>
      <c r="O81" s="1">
        <f t="shared" si="8"/>
        <v>8.49560541101472E-7</v>
      </c>
      <c r="P81" s="1">
        <f t="shared" si="9"/>
        <v>0.99989220026652259</v>
      </c>
    </row>
    <row r="82" spans="1:16">
      <c r="A82" s="1">
        <v>4.0000000000000098</v>
      </c>
      <c r="B82" s="1">
        <f t="shared" si="5"/>
        <v>1.3383022576488014E-4</v>
      </c>
      <c r="L82" s="1">
        <v>3.80000000000001</v>
      </c>
      <c r="M82" s="1">
        <f t="shared" si="6"/>
        <v>2.919469257914491E-4</v>
      </c>
      <c r="N82" s="1">
        <f t="shared" si="7"/>
        <v>2900.000000000005</v>
      </c>
      <c r="O82" s="1">
        <f t="shared" si="8"/>
        <v>5.8389385158289829E-7</v>
      </c>
      <c r="P82" s="1">
        <f t="shared" si="9"/>
        <v>0.99992765195607491</v>
      </c>
    </row>
    <row r="83" spans="1:16">
      <c r="L83" s="1">
        <v>3.9000000000000101</v>
      </c>
      <c r="M83" s="1">
        <f t="shared" si="6"/>
        <v>1.9865547139276475E-4</v>
      </c>
      <c r="N83" s="1">
        <f t="shared" si="7"/>
        <v>2950.000000000005</v>
      </c>
      <c r="O83" s="1">
        <f t="shared" si="8"/>
        <v>3.9731094278552949E-7</v>
      </c>
      <c r="P83" s="1">
        <f t="shared" si="9"/>
        <v>0.99995190365598241</v>
      </c>
    </row>
    <row r="84" spans="1:16">
      <c r="L84" s="1">
        <v>4.0000000000000098</v>
      </c>
      <c r="M84" s="1">
        <f t="shared" si="6"/>
        <v>1.3383022576488014E-4</v>
      </c>
      <c r="N84" s="1">
        <f t="shared" si="7"/>
        <v>3000.0000000000045</v>
      </c>
      <c r="O84" s="1">
        <f t="shared" si="8"/>
        <v>2.6766045152976119E-7</v>
      </c>
      <c r="P84" s="1">
        <f t="shared" si="9"/>
        <v>0.99996832875816688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E155-9193-4080-916A-EAA7B42BD6EC}">
  <dimension ref="A1:T26"/>
  <sheetViews>
    <sheetView workbookViewId="0">
      <selection activeCell="E6" sqref="E6"/>
    </sheetView>
  </sheetViews>
  <sheetFormatPr defaultRowHeight="14.4"/>
  <cols>
    <col min="1" max="1" width="24.109375" bestFit="1" customWidth="1"/>
    <col min="2" max="2" width="13.44140625" bestFit="1" customWidth="1"/>
    <col min="3" max="3" width="5" bestFit="1" customWidth="1"/>
    <col min="4" max="5" width="12" bestFit="1" customWidth="1"/>
    <col min="7" max="7" width="9.109375" bestFit="1" customWidth="1"/>
    <col min="8" max="8" width="12" bestFit="1" customWidth="1"/>
    <col min="15" max="15" width="3.21875" bestFit="1" customWidth="1"/>
    <col min="16" max="16" width="12" bestFit="1" customWidth="1"/>
    <col min="17" max="17" width="12.6640625" bestFit="1" customWidth="1"/>
    <col min="18" max="18" width="12" bestFit="1" customWidth="1"/>
    <col min="19" max="19" width="12.6640625" bestFit="1" customWidth="1"/>
    <col min="20" max="20" width="12" bestFit="1" customWidth="1"/>
  </cols>
  <sheetData>
    <row r="1" spans="1:20" ht="15.6">
      <c r="A1" s="28" t="s">
        <v>109</v>
      </c>
      <c r="B1" s="28" t="s">
        <v>110</v>
      </c>
      <c r="C1" s="30" t="s">
        <v>79</v>
      </c>
      <c r="D1" s="30" t="s">
        <v>91</v>
      </c>
      <c r="E1" s="30" t="s">
        <v>111</v>
      </c>
      <c r="O1" t="s">
        <v>78</v>
      </c>
    </row>
    <row r="2" spans="1:20" ht="15.6">
      <c r="A2" s="5">
        <v>0</v>
      </c>
      <c r="B2" s="5">
        <v>150</v>
      </c>
      <c r="C2" s="14">
        <f>B2*A2</f>
        <v>0</v>
      </c>
      <c r="D2" s="14">
        <f>_xlfn.POISSON.DIST(A2,5.042,FALSE)</f>
        <v>6.4608137605221142E-3</v>
      </c>
      <c r="E2" s="14">
        <f>D2</f>
        <v>6.4608137605221142E-3</v>
      </c>
      <c r="G2" t="s">
        <v>68</v>
      </c>
      <c r="O2" s="29" t="s">
        <v>23</v>
      </c>
      <c r="P2" s="30" t="s">
        <v>91</v>
      </c>
      <c r="Q2" s="29" t="s">
        <v>97</v>
      </c>
      <c r="R2" s="29" t="s">
        <v>98</v>
      </c>
      <c r="S2" s="29" t="s">
        <v>99</v>
      </c>
      <c r="T2" s="29" t="s">
        <v>115</v>
      </c>
    </row>
    <row r="3" spans="1:20" ht="15.6">
      <c r="A3" s="5">
        <v>1</v>
      </c>
      <c r="B3" s="5">
        <v>37</v>
      </c>
      <c r="C3" s="14">
        <f t="shared" ref="C3:C21" si="0">B3*A3</f>
        <v>37</v>
      </c>
      <c r="D3" s="14">
        <f t="shared" ref="D3:D21" si="1">_xlfn.POISSON.DIST(A3,5.042,FALSE)</f>
        <v>3.2575422980552493E-2</v>
      </c>
      <c r="E3" s="14">
        <f>5.042/A3*D2</f>
        <v>3.25754229805525E-2</v>
      </c>
      <c r="O3" s="5">
        <v>0</v>
      </c>
      <c r="P3" s="14">
        <f>_xlfn.POISSON.DIST(O3,5.042,FALSE)</f>
        <v>6.4608137605221142E-3</v>
      </c>
      <c r="Q3" s="14">
        <f>(O3-5.042)*P3</f>
        <v>-3.25754229805525E-2</v>
      </c>
      <c r="R3" s="14">
        <f>(O3-5.042)^2*P3</f>
        <v>0.16424528266794569</v>
      </c>
      <c r="S3" s="14">
        <f>(O3-5.042)^3*P3</f>
        <v>-0.8281247152117821</v>
      </c>
      <c r="T3" s="14">
        <f>(O3-5.042)^4*P3</f>
        <v>4.1754048140978055</v>
      </c>
    </row>
    <row r="4" spans="1:20" ht="15.6">
      <c r="A4" s="5">
        <v>2</v>
      </c>
      <c r="B4" s="5">
        <v>34</v>
      </c>
      <c r="C4" s="14">
        <f t="shared" si="0"/>
        <v>68</v>
      </c>
      <c r="D4" s="14">
        <f t="shared" si="1"/>
        <v>8.2122641333972846E-2</v>
      </c>
      <c r="E4" s="14">
        <f>(5.042/A4)*D3</f>
        <v>8.2122641333972832E-2</v>
      </c>
      <c r="O4" s="5">
        <v>1</v>
      </c>
      <c r="P4" s="14">
        <f t="shared" ref="P4:P22" si="2">_xlfn.POISSON.DIST(O4,5.042,FALSE)</f>
        <v>3.2575422980552493E-2</v>
      </c>
      <c r="Q4" s="14">
        <f t="shared" ref="Q4:Q22" si="3">(O4-5.042)*P4</f>
        <v>-0.13166985968739317</v>
      </c>
      <c r="R4" s="14">
        <f t="shared" ref="R4:R22" si="4">(O4-5.042)^2*P4</f>
        <v>0.53220957285644321</v>
      </c>
      <c r="S4" s="14">
        <f t="shared" ref="S4:S22" si="5">(O4-5.042)^3*P4</f>
        <v>-2.1511910934857434</v>
      </c>
      <c r="T4" s="14">
        <f t="shared" ref="T4:T22" si="6">(O4-5.042)^4*P4</f>
        <v>8.6951143998693752</v>
      </c>
    </row>
    <row r="5" spans="1:20" ht="15.6">
      <c r="A5" s="5">
        <v>3</v>
      </c>
      <c r="B5" s="5">
        <v>30</v>
      </c>
      <c r="C5" s="14">
        <f t="shared" si="0"/>
        <v>90</v>
      </c>
      <c r="D5" s="14">
        <f t="shared" si="1"/>
        <v>0.13802078586863037</v>
      </c>
      <c r="E5" s="14">
        <f t="shared" ref="E5:E6" si="7">(5.042/A5)*D4</f>
        <v>0.13802078586863034</v>
      </c>
      <c r="O5" s="5">
        <v>2</v>
      </c>
      <c r="P5" s="14">
        <f t="shared" si="2"/>
        <v>8.2122641333972846E-2</v>
      </c>
      <c r="Q5" s="14">
        <f t="shared" si="3"/>
        <v>-0.24981707493794539</v>
      </c>
      <c r="R5" s="14">
        <f t="shared" si="4"/>
        <v>0.75994354196122982</v>
      </c>
      <c r="S5" s="14">
        <f t="shared" si="5"/>
        <v>-2.3117482546460608</v>
      </c>
      <c r="T5" s="14">
        <f t="shared" si="6"/>
        <v>7.0323381906333164</v>
      </c>
    </row>
    <row r="6" spans="1:20" ht="15.6">
      <c r="A6" s="5">
        <v>4</v>
      </c>
      <c r="B6" s="5">
        <v>28</v>
      </c>
      <c r="C6" s="14">
        <f t="shared" si="0"/>
        <v>112</v>
      </c>
      <c r="D6" s="14">
        <f t="shared" si="1"/>
        <v>0.17397520058740859</v>
      </c>
      <c r="E6" s="14">
        <f t="shared" si="7"/>
        <v>0.17397520058740856</v>
      </c>
      <c r="O6" s="5">
        <v>3</v>
      </c>
      <c r="P6" s="14">
        <f t="shared" si="2"/>
        <v>0.13802078586863037</v>
      </c>
      <c r="Q6" s="14">
        <f t="shared" si="3"/>
        <v>-0.2818384447437432</v>
      </c>
      <c r="R6" s="14">
        <f t="shared" si="4"/>
        <v>0.57551410416672344</v>
      </c>
      <c r="S6" s="14">
        <f t="shared" si="5"/>
        <v>-1.1751998007084492</v>
      </c>
      <c r="T6" s="14">
        <f t="shared" si="6"/>
        <v>2.399757993046653</v>
      </c>
    </row>
    <row r="7" spans="1:20" ht="15.6">
      <c r="A7" s="5">
        <v>5</v>
      </c>
      <c r="B7" s="5">
        <v>25</v>
      </c>
      <c r="C7" s="14">
        <f t="shared" si="0"/>
        <v>125</v>
      </c>
      <c r="D7" s="14">
        <f t="shared" si="1"/>
        <v>0.17543659227234279</v>
      </c>
      <c r="E7" s="14">
        <f>5.042/A7*D6</f>
        <v>0.17543659227234282</v>
      </c>
      <c r="O7" s="5">
        <v>4</v>
      </c>
      <c r="P7" s="14">
        <f t="shared" si="2"/>
        <v>0.17397520058740859</v>
      </c>
      <c r="Q7" s="14">
        <f t="shared" si="3"/>
        <v>-0.18128215901207972</v>
      </c>
      <c r="R7" s="14">
        <f t="shared" si="4"/>
        <v>0.18889600969058701</v>
      </c>
      <c r="S7" s="14">
        <f t="shared" si="5"/>
        <v>-0.19682964209759166</v>
      </c>
      <c r="T7" s="14">
        <f t="shared" si="6"/>
        <v>0.20509648706569042</v>
      </c>
    </row>
    <row r="8" spans="1:20" ht="15.6">
      <c r="A8" s="5">
        <v>6</v>
      </c>
      <c r="B8" s="5">
        <v>24</v>
      </c>
      <c r="C8" s="14">
        <f t="shared" si="0"/>
        <v>144</v>
      </c>
      <c r="D8" s="14">
        <f t="shared" si="1"/>
        <v>0.14742521637285874</v>
      </c>
      <c r="E8" s="14">
        <f t="shared" ref="E4:E21" si="8">5.042/A8*D7</f>
        <v>0.14742521637285871</v>
      </c>
      <c r="O8" s="5">
        <v>5</v>
      </c>
      <c r="P8" s="14">
        <f t="shared" si="2"/>
        <v>0.17543659227234279</v>
      </c>
      <c r="Q8" s="14">
        <f t="shared" si="3"/>
        <v>-7.3683368754383647E-3</v>
      </c>
      <c r="R8" s="14">
        <f t="shared" si="4"/>
        <v>3.0947014876840997E-4</v>
      </c>
      <c r="S8" s="14">
        <f t="shared" si="5"/>
        <v>-1.2997746248273161E-5</v>
      </c>
      <c r="T8" s="14">
        <f t="shared" si="6"/>
        <v>5.4590534242747036E-7</v>
      </c>
    </row>
    <row r="9" spans="1:20" ht="15.6">
      <c r="A9" s="5">
        <v>7</v>
      </c>
      <c r="B9" s="5">
        <v>22</v>
      </c>
      <c r="C9" s="14">
        <f t="shared" si="0"/>
        <v>154</v>
      </c>
      <c r="D9" s="14">
        <f t="shared" si="1"/>
        <v>0.1061882772788505</v>
      </c>
      <c r="E9" s="14">
        <f t="shared" si="8"/>
        <v>0.10618827727885054</v>
      </c>
      <c r="O9" s="5">
        <v>6</v>
      </c>
      <c r="P9" s="14">
        <f t="shared" si="2"/>
        <v>0.14742521637285874</v>
      </c>
      <c r="Q9" s="14">
        <f t="shared" si="3"/>
        <v>0.1412333572851987</v>
      </c>
      <c r="R9" s="14">
        <f t="shared" si="4"/>
        <v>0.13530155627922039</v>
      </c>
      <c r="S9" s="14">
        <f t="shared" si="5"/>
        <v>0.12961889091549317</v>
      </c>
      <c r="T9" s="14">
        <f t="shared" si="6"/>
        <v>0.12417489749704247</v>
      </c>
    </row>
    <row r="10" spans="1:20" ht="15.6">
      <c r="A10" s="5">
        <v>8</v>
      </c>
      <c r="B10" s="5">
        <v>21</v>
      </c>
      <c r="C10" s="14">
        <f t="shared" si="0"/>
        <v>168</v>
      </c>
      <c r="D10" s="14">
        <f t="shared" si="1"/>
        <v>6.6925161754995494E-2</v>
      </c>
      <c r="E10" s="14">
        <f t="shared" si="8"/>
        <v>6.6925161754995521E-2</v>
      </c>
      <c r="O10" s="5">
        <v>7</v>
      </c>
      <c r="P10" s="14">
        <f t="shared" si="2"/>
        <v>0.1061882772788505</v>
      </c>
      <c r="Q10" s="14">
        <f t="shared" si="3"/>
        <v>0.2079166469119893</v>
      </c>
      <c r="R10" s="14">
        <f t="shared" si="4"/>
        <v>0.4071007946536751</v>
      </c>
      <c r="S10" s="14">
        <f t="shared" si="5"/>
        <v>0.79710335593189585</v>
      </c>
      <c r="T10" s="14">
        <f t="shared" si="6"/>
        <v>1.5607283709146524</v>
      </c>
    </row>
    <row r="11" spans="1:20" ht="15.6">
      <c r="A11" s="5">
        <v>9</v>
      </c>
      <c r="B11" s="5">
        <v>20</v>
      </c>
      <c r="C11" s="14">
        <f t="shared" si="0"/>
        <v>180</v>
      </c>
      <c r="D11" s="14">
        <f t="shared" si="1"/>
        <v>3.7492962840965288E-2</v>
      </c>
      <c r="E11" s="14">
        <f t="shared" si="8"/>
        <v>3.7492962840965254E-2</v>
      </c>
      <c r="O11" s="5">
        <v>8</v>
      </c>
      <c r="P11" s="14">
        <f t="shared" si="2"/>
        <v>6.6925161754995494E-2</v>
      </c>
      <c r="Q11" s="14">
        <f t="shared" si="3"/>
        <v>0.19796462847127669</v>
      </c>
      <c r="R11" s="14">
        <f t="shared" si="4"/>
        <v>0.58557937101803648</v>
      </c>
      <c r="S11" s="14">
        <f t="shared" si="5"/>
        <v>1.7321437794713519</v>
      </c>
      <c r="T11" s="14">
        <f t="shared" si="6"/>
        <v>5.1236812996762593</v>
      </c>
    </row>
    <row r="12" spans="1:20" ht="15.6">
      <c r="A12" s="5">
        <v>10</v>
      </c>
      <c r="B12" s="5">
        <v>18</v>
      </c>
      <c r="C12" s="14">
        <f t="shared" si="0"/>
        <v>180</v>
      </c>
      <c r="D12" s="14">
        <f t="shared" si="1"/>
        <v>1.8903951864414684E-2</v>
      </c>
      <c r="E12" s="14">
        <f t="shared" si="8"/>
        <v>1.8903951864414698E-2</v>
      </c>
      <c r="O12" s="5">
        <v>9</v>
      </c>
      <c r="P12" s="14">
        <f t="shared" si="2"/>
        <v>3.7492962840965288E-2</v>
      </c>
      <c r="Q12" s="14">
        <f t="shared" si="3"/>
        <v>0.14839714692454062</v>
      </c>
      <c r="R12" s="14">
        <f t="shared" si="4"/>
        <v>0.5873559075273318</v>
      </c>
      <c r="S12" s="14">
        <f t="shared" si="5"/>
        <v>2.3247546819931793</v>
      </c>
      <c r="T12" s="14">
        <f t="shared" si="6"/>
        <v>9.2013790313290045</v>
      </c>
    </row>
    <row r="13" spans="1:20" ht="15.6">
      <c r="A13" s="5">
        <v>11</v>
      </c>
      <c r="B13" s="5">
        <v>17</v>
      </c>
      <c r="C13" s="14">
        <f t="shared" si="0"/>
        <v>187</v>
      </c>
      <c r="D13" s="14">
        <f t="shared" si="1"/>
        <v>8.6648841182162591E-3</v>
      </c>
      <c r="E13" s="14">
        <f t="shared" si="8"/>
        <v>8.6648841182162574E-3</v>
      </c>
      <c r="O13" s="5">
        <v>10</v>
      </c>
      <c r="P13" s="14">
        <f t="shared" si="2"/>
        <v>1.8903951864414684E-2</v>
      </c>
      <c r="Q13" s="14">
        <f t="shared" si="3"/>
        <v>9.3725793343768002E-2</v>
      </c>
      <c r="R13" s="14">
        <f t="shared" si="4"/>
        <v>0.46469248339840186</v>
      </c>
      <c r="S13" s="14">
        <f t="shared" si="5"/>
        <v>2.3039453326892763</v>
      </c>
      <c r="T13" s="14">
        <f t="shared" si="6"/>
        <v>11.422960959473434</v>
      </c>
    </row>
    <row r="14" spans="1:20" ht="15.6">
      <c r="A14" s="5">
        <v>12</v>
      </c>
      <c r="B14" s="5">
        <v>16</v>
      </c>
      <c r="C14" s="14">
        <f t="shared" si="0"/>
        <v>192</v>
      </c>
      <c r="D14" s="14">
        <f t="shared" si="1"/>
        <v>3.640695477003865E-3</v>
      </c>
      <c r="E14" s="14">
        <f t="shared" si="8"/>
        <v>3.6406954770038646E-3</v>
      </c>
      <c r="O14" s="5">
        <v>11</v>
      </c>
      <c r="P14" s="14">
        <f t="shared" si="2"/>
        <v>8.6648841182162591E-3</v>
      </c>
      <c r="Q14" s="14">
        <f t="shared" si="3"/>
        <v>5.1625379576332474E-2</v>
      </c>
      <c r="R14" s="14">
        <f t="shared" si="4"/>
        <v>0.3075840115157889</v>
      </c>
      <c r="S14" s="14">
        <f t="shared" si="5"/>
        <v>1.8325855406110703</v>
      </c>
      <c r="T14" s="14">
        <f t="shared" si="6"/>
        <v>10.918544650960758</v>
      </c>
    </row>
    <row r="15" spans="1:20" ht="15.6">
      <c r="A15" s="5">
        <v>13</v>
      </c>
      <c r="B15" s="5">
        <v>14</v>
      </c>
      <c r="C15" s="14">
        <f t="shared" si="0"/>
        <v>182</v>
      </c>
      <c r="D15" s="14">
        <f t="shared" si="1"/>
        <v>1.4120297380810377E-3</v>
      </c>
      <c r="E15" s="14">
        <f t="shared" si="8"/>
        <v>1.4120297380810375E-3</v>
      </c>
      <c r="O15" s="5">
        <v>12</v>
      </c>
      <c r="P15" s="14">
        <f t="shared" si="2"/>
        <v>3.640695477003865E-3</v>
      </c>
      <c r="Q15" s="14">
        <f t="shared" si="3"/>
        <v>2.5331959128992894E-2</v>
      </c>
      <c r="R15" s="14">
        <f t="shared" si="4"/>
        <v>0.17625977161953255</v>
      </c>
      <c r="S15" s="14">
        <f t="shared" si="5"/>
        <v>1.2264154909287077</v>
      </c>
      <c r="T15" s="14">
        <f t="shared" si="6"/>
        <v>8.5333989858819468</v>
      </c>
    </row>
    <row r="16" spans="1:20" ht="15.6">
      <c r="A16" s="5">
        <v>14</v>
      </c>
      <c r="B16" s="5">
        <v>11</v>
      </c>
      <c r="C16" s="14">
        <f t="shared" si="0"/>
        <v>154</v>
      </c>
      <c r="D16" s="14">
        <f t="shared" si="1"/>
        <v>5.0853242424318476E-4</v>
      </c>
      <c r="E16" s="14">
        <f t="shared" si="8"/>
        <v>5.0853242424318519E-4</v>
      </c>
      <c r="O16" s="5">
        <v>13</v>
      </c>
      <c r="P16" s="14">
        <f t="shared" si="2"/>
        <v>1.4120297380810377E-3</v>
      </c>
      <c r="Q16" s="14">
        <f t="shared" si="3"/>
        <v>1.1236932655648898E-2</v>
      </c>
      <c r="R16" s="14">
        <f t="shared" si="4"/>
        <v>8.9423510073653928E-2</v>
      </c>
      <c r="S16" s="14">
        <f t="shared" si="5"/>
        <v>0.71163229316613807</v>
      </c>
      <c r="T16" s="14">
        <f t="shared" si="6"/>
        <v>5.6631697890161261</v>
      </c>
    </row>
    <row r="17" spans="1:20" ht="15.6">
      <c r="A17" s="5">
        <v>15</v>
      </c>
      <c r="B17" s="5">
        <v>9</v>
      </c>
      <c r="C17" s="14">
        <f t="shared" si="0"/>
        <v>135</v>
      </c>
      <c r="D17" s="14">
        <f t="shared" si="1"/>
        <v>1.7093469886894235E-4</v>
      </c>
      <c r="E17" s="14">
        <f t="shared" si="8"/>
        <v>1.7093469886894251E-4</v>
      </c>
      <c r="O17" s="5">
        <v>14</v>
      </c>
      <c r="P17" s="14">
        <f t="shared" si="2"/>
        <v>5.0853242424318476E-4</v>
      </c>
      <c r="Q17" s="14">
        <f t="shared" si="3"/>
        <v>4.5554334563704495E-3</v>
      </c>
      <c r="R17" s="14">
        <f t="shared" si="4"/>
        <v>4.0807572902166488E-2</v>
      </c>
      <c r="S17" s="14">
        <f t="shared" si="5"/>
        <v>0.36555423805760739</v>
      </c>
      <c r="T17" s="14">
        <f t="shared" si="6"/>
        <v>3.2746348645200474</v>
      </c>
    </row>
    <row r="18" spans="1:20" ht="15.6">
      <c r="A18" s="5">
        <v>16</v>
      </c>
      <c r="B18" s="5">
        <v>8</v>
      </c>
      <c r="C18" s="14">
        <f t="shared" si="0"/>
        <v>128</v>
      </c>
      <c r="D18" s="14">
        <f t="shared" si="1"/>
        <v>5.3865796981075394E-5</v>
      </c>
      <c r="E18" s="14">
        <f t="shared" si="8"/>
        <v>5.3865796981075455E-5</v>
      </c>
      <c r="G18" t="s">
        <v>69</v>
      </c>
      <c r="O18" s="5">
        <v>15</v>
      </c>
      <c r="P18" s="14">
        <f t="shared" si="2"/>
        <v>1.7093469886894235E-4</v>
      </c>
      <c r="Q18" s="14">
        <f t="shared" si="3"/>
        <v>1.702167731336928E-3</v>
      </c>
      <c r="R18" s="14">
        <f t="shared" si="4"/>
        <v>1.695018626865313E-2</v>
      </c>
      <c r="S18" s="14">
        <f t="shared" si="5"/>
        <v>0.16878995486324785</v>
      </c>
      <c r="T18" s="14">
        <f t="shared" si="6"/>
        <v>1.6808103705282222</v>
      </c>
    </row>
    <row r="19" spans="1:20" ht="15.6">
      <c r="A19" s="5">
        <v>17</v>
      </c>
      <c r="B19" s="5">
        <v>7</v>
      </c>
      <c r="C19" s="14">
        <f t="shared" si="0"/>
        <v>119</v>
      </c>
      <c r="D19" s="14">
        <f t="shared" si="1"/>
        <v>1.5975961669328336E-5</v>
      </c>
      <c r="E19" s="14">
        <f t="shared" si="8"/>
        <v>1.597596166932836E-5</v>
      </c>
      <c r="G19" t="s">
        <v>112</v>
      </c>
      <c r="H19">
        <f>SUM(D17)</f>
        <v>1.7093469886894235E-4</v>
      </c>
      <c r="O19" s="5">
        <v>16</v>
      </c>
      <c r="P19" s="14">
        <f t="shared" si="2"/>
        <v>5.3865796981075394E-5</v>
      </c>
      <c r="Q19" s="14">
        <f t="shared" si="3"/>
        <v>5.9026140331862418E-4</v>
      </c>
      <c r="R19" s="14">
        <f t="shared" si="4"/>
        <v>6.4680844575654836E-3</v>
      </c>
      <c r="S19" s="14">
        <f t="shared" si="5"/>
        <v>7.0877269486002564E-2</v>
      </c>
      <c r="T19" s="14">
        <f t="shared" si="6"/>
        <v>0.77667311902761615</v>
      </c>
    </row>
    <row r="20" spans="1:20" ht="15.6">
      <c r="A20" s="5">
        <v>18</v>
      </c>
      <c r="B20" s="5">
        <v>5</v>
      </c>
      <c r="C20" s="14">
        <f t="shared" si="0"/>
        <v>90</v>
      </c>
      <c r="D20" s="14">
        <f t="shared" si="1"/>
        <v>4.4750443742640945E-6</v>
      </c>
      <c r="E20" s="14">
        <f t="shared" si="8"/>
        <v>4.4750443742640809E-6</v>
      </c>
      <c r="G20" t="s">
        <v>114</v>
      </c>
      <c r="H20">
        <f>SUM(D2:D11)</f>
        <v>0.96662307505109923</v>
      </c>
      <c r="O20" s="5">
        <v>17</v>
      </c>
      <c r="P20" s="14">
        <f t="shared" si="2"/>
        <v>1.5975961669328336E-5</v>
      </c>
      <c r="Q20" s="14">
        <f t="shared" si="3"/>
        <v>1.9104054964182824E-4</v>
      </c>
      <c r="R20" s="14">
        <f t="shared" si="4"/>
        <v>2.2844628926169822E-3</v>
      </c>
      <c r="S20" s="14">
        <f t="shared" si="5"/>
        <v>2.731760726991387E-2</v>
      </c>
      <c r="T20" s="14">
        <f t="shared" si="6"/>
        <v>0.32666394773363006</v>
      </c>
    </row>
    <row r="21" spans="1:20" ht="15.6">
      <c r="A21" s="5">
        <v>19</v>
      </c>
      <c r="B21" s="5">
        <v>4</v>
      </c>
      <c r="C21" s="14">
        <f t="shared" si="0"/>
        <v>76</v>
      </c>
      <c r="D21" s="14">
        <f t="shared" si="1"/>
        <v>1.1875354597389224E-6</v>
      </c>
      <c r="E21" s="14">
        <f t="shared" si="8"/>
        <v>1.1875354597389245E-6</v>
      </c>
      <c r="G21" t="s">
        <v>94</v>
      </c>
      <c r="H21">
        <f>SUM(D18:D21)</f>
        <v>7.550433848440675E-5</v>
      </c>
      <c r="O21" s="5">
        <v>18</v>
      </c>
      <c r="P21" s="14">
        <f t="shared" si="2"/>
        <v>4.4750443742640945E-6</v>
      </c>
      <c r="Q21" s="14">
        <f t="shared" si="3"/>
        <v>5.7987625001714139E-5</v>
      </c>
      <c r="R21" s="14">
        <f t="shared" si="4"/>
        <v>7.5140364477221174E-4</v>
      </c>
      <c r="S21" s="14">
        <f t="shared" si="5"/>
        <v>9.7366884289583205E-3</v>
      </c>
      <c r="T21" s="14">
        <f t="shared" si="6"/>
        <v>0.12616800866244191</v>
      </c>
    </row>
    <row r="22" spans="1:20" ht="15.6">
      <c r="A22" s="14" t="s">
        <v>46</v>
      </c>
      <c r="B22" s="14">
        <f>SUM(B2:B21)</f>
        <v>500</v>
      </c>
      <c r="C22" s="14">
        <f>SUM(C2:C21)</f>
        <v>2521</v>
      </c>
      <c r="D22" s="14">
        <f>SUM(D2:D21)</f>
        <v>0.99999960771041185</v>
      </c>
      <c r="E22" s="14"/>
      <c r="G22" t="s">
        <v>113</v>
      </c>
      <c r="H22">
        <f>SUM(D7:D18)</f>
        <v>0.56682310463782204</v>
      </c>
      <c r="O22" s="5">
        <v>19</v>
      </c>
      <c r="P22" s="14">
        <f t="shared" si="2"/>
        <v>1.1875354597389224E-6</v>
      </c>
      <c r="Q22" s="14">
        <f t="shared" si="3"/>
        <v>1.6575619947035879E-5</v>
      </c>
      <c r="R22" s="14">
        <f t="shared" si="4"/>
        <v>2.3136250322072679E-4</v>
      </c>
      <c r="S22" s="14">
        <f t="shared" si="5"/>
        <v>3.2293578199549043E-3</v>
      </c>
      <c r="T22" s="14">
        <f t="shared" si="6"/>
        <v>4.5075376450930557E-2</v>
      </c>
    </row>
    <row r="23" spans="1:20">
      <c r="A23" s="14" t="s">
        <v>58</v>
      </c>
      <c r="B23" s="14">
        <f>C22/B22</f>
        <v>5.0419999999999998</v>
      </c>
      <c r="O23" s="14"/>
      <c r="P23" s="14" t="s">
        <v>46</v>
      </c>
      <c r="Q23" s="14">
        <f>SUM(Q3:Q22)</f>
        <v>-5.9875537881004655E-6</v>
      </c>
      <c r="R23" s="14">
        <f t="shared" ref="R23:T23" si="9">SUM(R3:R22)</f>
        <v>5.0419084602463329</v>
      </c>
      <c r="S23" s="14">
        <f t="shared" si="9"/>
        <v>5.0405979777369225</v>
      </c>
      <c r="T23" s="14">
        <f t="shared" si="9"/>
        <v>81.285776102290313</v>
      </c>
    </row>
    <row r="25" spans="1:20">
      <c r="P25" t="s">
        <v>117</v>
      </c>
      <c r="R25">
        <f>S23/SQRT(R23^3)</f>
        <v>0.44523533749114963</v>
      </c>
    </row>
    <row r="26" spans="1:20">
      <c r="P26" t="s">
        <v>118</v>
      </c>
      <c r="R26">
        <f>T23/R23^2</f>
        <v>3.1976037438450939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C0516-756F-435E-8C10-6FD2020DBF0B}">
  <dimension ref="A1:K125"/>
  <sheetViews>
    <sheetView workbookViewId="0">
      <selection activeCell="K9" sqref="K9"/>
    </sheetView>
  </sheetViews>
  <sheetFormatPr defaultRowHeight="14.4"/>
  <cols>
    <col min="2" max="2" width="17.44140625" bestFit="1" customWidth="1"/>
    <col min="3" max="3" width="12" bestFit="1" customWidth="1"/>
    <col min="4" max="4" width="13.44140625" bestFit="1" customWidth="1"/>
    <col min="5" max="6" width="12" bestFit="1" customWidth="1"/>
    <col min="7" max="7" width="12.44140625" bestFit="1" customWidth="1"/>
    <col min="8" max="8" width="12" bestFit="1" customWidth="1"/>
    <col min="9" max="10" width="12.109375" bestFit="1" customWidth="1"/>
  </cols>
  <sheetData>
    <row r="1" spans="1:11">
      <c r="A1" s="38" t="s">
        <v>119</v>
      </c>
      <c r="B1" s="31">
        <v>70</v>
      </c>
      <c r="C1" s="31">
        <v>65</v>
      </c>
      <c r="D1" s="31">
        <v>90</v>
      </c>
      <c r="E1" s="31">
        <v>95</v>
      </c>
      <c r="F1" s="31">
        <v>110</v>
      </c>
      <c r="G1" s="31">
        <v>115</v>
      </c>
      <c r="H1" s="31">
        <v>120</v>
      </c>
      <c r="I1" s="31">
        <v>140</v>
      </c>
      <c r="J1" s="31">
        <v>155</v>
      </c>
      <c r="K1" s="31">
        <v>150</v>
      </c>
    </row>
    <row r="2" spans="1:11">
      <c r="A2" s="38" t="s">
        <v>23</v>
      </c>
      <c r="B2" s="31">
        <v>80</v>
      </c>
      <c r="C2" s="31">
        <v>100</v>
      </c>
      <c r="D2" s="31">
        <v>120</v>
      </c>
      <c r="E2" s="31">
        <v>140</v>
      </c>
      <c r="F2" s="31">
        <v>160</v>
      </c>
      <c r="G2" s="31">
        <v>180</v>
      </c>
      <c r="H2" s="31">
        <v>200</v>
      </c>
      <c r="I2" s="31">
        <v>220</v>
      </c>
      <c r="J2" s="31">
        <v>240</v>
      </c>
      <c r="K2" s="31">
        <v>260</v>
      </c>
    </row>
    <row r="4" spans="1:11">
      <c r="A4" t="s">
        <v>29</v>
      </c>
    </row>
    <row r="21" spans="1:11">
      <c r="A21" s="65" t="s">
        <v>120</v>
      </c>
      <c r="B21" s="65"/>
      <c r="C21" s="65"/>
      <c r="D21" s="65"/>
      <c r="E21" s="65"/>
      <c r="F21" s="65"/>
      <c r="G21" s="65"/>
      <c r="H21" s="65"/>
      <c r="I21" s="65"/>
      <c r="J21" s="65"/>
      <c r="K21" s="65"/>
    </row>
    <row r="22" spans="1:11">
      <c r="A22" s="65"/>
      <c r="B22" s="65"/>
      <c r="C22" s="65"/>
      <c r="D22" s="65"/>
      <c r="E22" s="65"/>
      <c r="F22" s="65"/>
      <c r="G22" s="65"/>
      <c r="H22" s="65"/>
      <c r="I22" s="65"/>
      <c r="J22" s="65"/>
      <c r="K22" s="65"/>
    </row>
    <row r="24" spans="1:11">
      <c r="A24" t="s">
        <v>68</v>
      </c>
    </row>
    <row r="25" spans="1:11">
      <c r="A25" s="37" t="s">
        <v>121</v>
      </c>
      <c r="B25" s="37"/>
      <c r="C25" s="37">
        <f>CORREL(B2:K2,B1:K1)</f>
        <v>0.98084736859857935</v>
      </c>
    </row>
    <row r="30" spans="1:11">
      <c r="B30" s="36"/>
      <c r="C30" s="36"/>
    </row>
    <row r="32" spans="1:11">
      <c r="A32" t="s">
        <v>69</v>
      </c>
    </row>
    <row r="35" spans="2:7">
      <c r="B35" s="37" t="s">
        <v>122</v>
      </c>
    </row>
    <row r="36" spans="2:7" ht="15" thickBot="1"/>
    <row r="37" spans="2:7">
      <c r="B37" s="35" t="s">
        <v>123</v>
      </c>
      <c r="C37" s="35"/>
    </row>
    <row r="38" spans="2:7">
      <c r="B38" t="s">
        <v>124</v>
      </c>
      <c r="C38">
        <v>0.98084736859857935</v>
      </c>
    </row>
    <row r="39" spans="2:7">
      <c r="B39" t="s">
        <v>125</v>
      </c>
      <c r="C39">
        <v>0.96206156048675728</v>
      </c>
    </row>
    <row r="40" spans="2:7">
      <c r="B40" t="s">
        <v>126</v>
      </c>
      <c r="C40">
        <v>0.957319255547602</v>
      </c>
    </row>
    <row r="41" spans="2:7">
      <c r="B41" t="s">
        <v>127</v>
      </c>
      <c r="C41">
        <v>6.4930032272509246</v>
      </c>
    </row>
    <row r="42" spans="2:7" ht="15" thickBot="1">
      <c r="B42" s="33" t="s">
        <v>128</v>
      </c>
      <c r="C42" s="33">
        <v>10</v>
      </c>
    </row>
    <row r="44" spans="2:7" ht="15" thickBot="1">
      <c r="B44" t="s">
        <v>129</v>
      </c>
    </row>
    <row r="45" spans="2:7">
      <c r="B45" s="34"/>
      <c r="C45" s="34" t="s">
        <v>133</v>
      </c>
      <c r="D45" s="34" t="s">
        <v>134</v>
      </c>
      <c r="E45" s="34" t="s">
        <v>135</v>
      </c>
      <c r="F45" s="34" t="s">
        <v>136</v>
      </c>
      <c r="G45" s="34" t="s">
        <v>137</v>
      </c>
    </row>
    <row r="46" spans="2:7">
      <c r="B46" t="s">
        <v>130</v>
      </c>
      <c r="C46">
        <v>1</v>
      </c>
      <c r="D46">
        <v>8552.7272727272721</v>
      </c>
      <c r="E46">
        <v>8552.7272727272721</v>
      </c>
      <c r="F46">
        <v>202.86792452830181</v>
      </c>
      <c r="G46">
        <v>5.7527461167326375E-7</v>
      </c>
    </row>
    <row r="47" spans="2:7">
      <c r="B47" t="s">
        <v>131</v>
      </c>
      <c r="C47">
        <v>8</v>
      </c>
      <c r="D47">
        <v>337.27272727272737</v>
      </c>
      <c r="E47">
        <v>42.159090909090921</v>
      </c>
    </row>
    <row r="48" spans="2:7" ht="15" thickBot="1">
      <c r="B48" s="33" t="s">
        <v>46</v>
      </c>
      <c r="C48" s="33">
        <v>9</v>
      </c>
      <c r="D48" s="33">
        <v>8890</v>
      </c>
      <c r="E48" s="33"/>
      <c r="F48" s="33"/>
      <c r="G48" s="33"/>
    </row>
    <row r="49" spans="1:11" ht="15" thickBot="1"/>
    <row r="50" spans="1:11">
      <c r="B50" s="34"/>
      <c r="C50" s="34" t="s">
        <v>138</v>
      </c>
      <c r="D50" s="34" t="s">
        <v>127</v>
      </c>
      <c r="E50" s="34" t="s">
        <v>139</v>
      </c>
      <c r="F50" s="34" t="s">
        <v>140</v>
      </c>
      <c r="G50" s="34" t="s">
        <v>141</v>
      </c>
      <c r="H50" s="34" t="s">
        <v>142</v>
      </c>
      <c r="I50" s="34" t="s">
        <v>143</v>
      </c>
      <c r="J50" s="34" t="s">
        <v>144</v>
      </c>
    </row>
    <row r="51" spans="1:11">
      <c r="B51" t="s">
        <v>132</v>
      </c>
      <c r="C51">
        <v>24.454545454545425</v>
      </c>
      <c r="D51">
        <v>6.4138172987385449</v>
      </c>
      <c r="E51">
        <v>3.8127910907838127</v>
      </c>
      <c r="F51">
        <v>5.1421720416935197E-3</v>
      </c>
      <c r="G51">
        <v>9.6642562412103192</v>
      </c>
      <c r="H51">
        <v>39.244834667880532</v>
      </c>
      <c r="I51">
        <v>9.6642562412103192</v>
      </c>
      <c r="J51">
        <v>39.244834667880532</v>
      </c>
    </row>
    <row r="52" spans="1:11" ht="15" thickBot="1">
      <c r="B52" s="33" t="s">
        <v>145</v>
      </c>
      <c r="C52" s="33">
        <v>0.50909090909090926</v>
      </c>
      <c r="D52" s="33">
        <v>3.5742806400258946E-2</v>
      </c>
      <c r="E52" s="33">
        <v>14.243171154216393</v>
      </c>
      <c r="F52" s="33">
        <v>5.7527461167326174E-7</v>
      </c>
      <c r="G52" s="33">
        <v>0.42666784972811017</v>
      </c>
      <c r="H52" s="33">
        <v>0.59151396845370841</v>
      </c>
      <c r="I52" s="33">
        <v>0.42666784972811017</v>
      </c>
      <c r="J52" s="33">
        <v>0.59151396845370841</v>
      </c>
    </row>
    <row r="54" spans="1:11">
      <c r="B54" s="37" t="s">
        <v>146</v>
      </c>
      <c r="C54" s="37"/>
      <c r="D54" s="37">
        <f>SUM(C51:C52)</f>
        <v>24.963636363636333</v>
      </c>
    </row>
    <row r="57" spans="1:11">
      <c r="A57" s="67" t="s">
        <v>147</v>
      </c>
      <c r="B57" s="67"/>
      <c r="C57" s="67"/>
      <c r="D57" s="67"/>
      <c r="E57" s="67"/>
      <c r="F57" s="32"/>
      <c r="G57" s="32"/>
      <c r="H57" s="32"/>
      <c r="I57" s="32"/>
      <c r="J57" s="32"/>
      <c r="K57" s="32"/>
    </row>
    <row r="58" spans="1:11">
      <c r="A58" s="66" t="s">
        <v>148</v>
      </c>
      <c r="B58" s="66"/>
      <c r="C58" s="66"/>
      <c r="D58" s="66"/>
      <c r="E58" s="66"/>
      <c r="F58" s="66"/>
      <c r="G58" s="66"/>
      <c r="H58" s="66"/>
      <c r="I58" s="66"/>
      <c r="J58" s="66"/>
      <c r="K58" s="32"/>
    </row>
    <row r="59" spans="1:11">
      <c r="A59" s="66" t="s">
        <v>149</v>
      </c>
      <c r="B59" s="66"/>
      <c r="C59" s="66"/>
      <c r="D59" s="66"/>
      <c r="E59" s="66"/>
      <c r="F59" s="66"/>
      <c r="G59" s="66"/>
      <c r="H59" s="66"/>
      <c r="I59" s="66"/>
      <c r="J59" s="66"/>
      <c r="K59" s="66"/>
    </row>
    <row r="60" spans="1:11">
      <c r="A60" s="32"/>
      <c r="B60" s="32"/>
      <c r="C60" s="32"/>
      <c r="D60" s="32"/>
      <c r="E60" s="32"/>
      <c r="F60" s="32"/>
      <c r="G60" s="32"/>
      <c r="H60" s="32"/>
      <c r="I60" s="32"/>
      <c r="J60" s="32"/>
      <c r="K60" s="32"/>
    </row>
    <row r="61" spans="1:11">
      <c r="A61" s="37" t="s">
        <v>116</v>
      </c>
    </row>
    <row r="62" spans="1:11">
      <c r="A62" t="s">
        <v>152</v>
      </c>
      <c r="B62">
        <f>C51+C52*175</f>
        <v>113.54545454545455</v>
      </c>
    </row>
    <row r="64" spans="1:11">
      <c r="A64" s="67" t="s">
        <v>150</v>
      </c>
      <c r="B64" s="67"/>
      <c r="C64" s="67"/>
      <c r="D64" s="67"/>
    </row>
    <row r="65" spans="1:10">
      <c r="A65" s="68" t="s">
        <v>151</v>
      </c>
      <c r="B65" s="68"/>
      <c r="C65" s="68"/>
      <c r="D65" s="68"/>
      <c r="E65" s="68"/>
      <c r="F65" s="68"/>
      <c r="G65" s="68"/>
      <c r="H65" s="68"/>
      <c r="I65" s="68"/>
      <c r="J65" s="68"/>
    </row>
    <row r="66" spans="1:10">
      <c r="A66" s="68"/>
      <c r="B66" s="68"/>
      <c r="C66" s="68"/>
      <c r="D66" s="68"/>
      <c r="E66" s="68"/>
      <c r="F66" s="68"/>
      <c r="G66" s="68"/>
      <c r="H66" s="68"/>
      <c r="I66" s="68"/>
      <c r="J66" s="68"/>
    </row>
    <row r="70" spans="1:10">
      <c r="B70" s="72"/>
      <c r="C70" s="72"/>
      <c r="D70" s="72"/>
      <c r="E70" s="72"/>
      <c r="F70" s="72"/>
      <c r="G70" s="72"/>
      <c r="H70" s="72"/>
      <c r="I70" s="72"/>
      <c r="J70" s="72"/>
    </row>
    <row r="71" spans="1:10">
      <c r="B71" s="72"/>
      <c r="C71" s="72"/>
      <c r="D71" s="72"/>
      <c r="E71" s="72"/>
      <c r="F71" s="72"/>
      <c r="G71" s="72"/>
      <c r="H71" s="72"/>
      <c r="I71" s="72"/>
      <c r="J71" s="72"/>
    </row>
    <row r="72" spans="1:10">
      <c r="B72" s="72"/>
      <c r="C72" s="72"/>
      <c r="D72" s="72"/>
      <c r="E72" s="72"/>
      <c r="F72" s="72"/>
      <c r="G72" s="72"/>
      <c r="H72" s="72"/>
      <c r="I72" s="72"/>
      <c r="J72" s="72"/>
    </row>
    <row r="73" spans="1:10">
      <c r="B73" s="72"/>
      <c r="C73" s="73"/>
      <c r="D73" s="73"/>
      <c r="E73" s="72"/>
      <c r="F73" s="72"/>
      <c r="G73" s="72"/>
      <c r="H73" s="72"/>
      <c r="I73" s="72"/>
      <c r="J73" s="72"/>
    </row>
    <row r="74" spans="1:10">
      <c r="B74" s="72"/>
      <c r="C74" s="69"/>
      <c r="D74" s="69"/>
      <c r="E74" s="72"/>
      <c r="F74" s="72"/>
      <c r="G74" s="72"/>
      <c r="H74" s="72"/>
      <c r="I74" s="72"/>
      <c r="J74" s="72"/>
    </row>
    <row r="75" spans="1:10">
      <c r="B75" s="72"/>
      <c r="C75" s="69"/>
      <c r="D75" s="69"/>
      <c r="E75" s="72"/>
      <c r="F75" s="72"/>
      <c r="G75" s="72"/>
      <c r="H75" s="72"/>
      <c r="I75" s="72"/>
      <c r="J75" s="72"/>
    </row>
    <row r="76" spans="1:10">
      <c r="B76" s="72"/>
      <c r="C76" s="69"/>
      <c r="D76" s="69"/>
      <c r="E76" s="72"/>
      <c r="F76" s="72"/>
      <c r="G76" s="72"/>
      <c r="H76" s="72"/>
      <c r="I76" s="72"/>
      <c r="J76" s="72"/>
    </row>
    <row r="77" spans="1:10">
      <c r="B77" s="72"/>
      <c r="C77" s="69"/>
      <c r="D77" s="69"/>
      <c r="E77" s="72"/>
      <c r="F77" s="72"/>
      <c r="G77" s="72"/>
      <c r="H77" s="72"/>
      <c r="I77" s="72"/>
      <c r="J77" s="72"/>
    </row>
    <row r="78" spans="1:10">
      <c r="B78" s="72"/>
      <c r="C78" s="69"/>
      <c r="D78" s="69"/>
      <c r="E78" s="72"/>
      <c r="F78" s="72"/>
      <c r="G78" s="72"/>
      <c r="H78" s="72"/>
      <c r="I78" s="72"/>
      <c r="J78" s="72"/>
    </row>
    <row r="79" spans="1:10">
      <c r="B79" s="72"/>
      <c r="C79" s="72"/>
      <c r="D79" s="72"/>
      <c r="E79" s="72"/>
      <c r="F79" s="72"/>
      <c r="G79" s="72"/>
      <c r="H79" s="72"/>
      <c r="I79" s="72"/>
      <c r="J79" s="72"/>
    </row>
    <row r="80" spans="1:10">
      <c r="B80" s="72"/>
      <c r="C80" s="72"/>
      <c r="D80" s="72"/>
      <c r="E80" s="72"/>
      <c r="F80" s="72"/>
      <c r="G80" s="72"/>
      <c r="H80" s="72"/>
      <c r="I80" s="72"/>
      <c r="J80" s="72"/>
    </row>
    <row r="81" spans="2:11">
      <c r="B81" s="72"/>
      <c r="C81" s="74"/>
      <c r="D81" s="74"/>
      <c r="E81" s="74"/>
      <c r="F81" s="74"/>
      <c r="G81" s="74"/>
      <c r="H81" s="74"/>
      <c r="I81" s="72"/>
      <c r="J81" s="72"/>
    </row>
    <row r="82" spans="2:11">
      <c r="B82" s="72"/>
      <c r="C82" s="69"/>
      <c r="D82" s="69"/>
      <c r="E82" s="69"/>
      <c r="F82" s="69"/>
      <c r="G82" s="69"/>
      <c r="H82" s="69"/>
      <c r="I82" s="72"/>
      <c r="J82" s="72"/>
    </row>
    <row r="83" spans="2:11">
      <c r="B83" s="72"/>
      <c r="C83" s="69"/>
      <c r="D83" s="69"/>
      <c r="E83" s="69"/>
      <c r="F83" s="69"/>
      <c r="G83" s="69"/>
      <c r="H83" s="69"/>
      <c r="I83" s="72"/>
      <c r="J83" s="72"/>
    </row>
    <row r="84" spans="2:11">
      <c r="B84" s="72"/>
      <c r="C84" s="69"/>
      <c r="D84" s="69"/>
      <c r="E84" s="69"/>
      <c r="F84" s="69"/>
      <c r="G84" s="69"/>
      <c r="H84" s="69"/>
      <c r="I84" s="72"/>
      <c r="J84" s="72"/>
    </row>
    <row r="85" spans="2:11" ht="15" thickBot="1">
      <c r="B85" s="72"/>
      <c r="C85" s="72"/>
      <c r="D85" s="72"/>
      <c r="E85" s="72"/>
      <c r="F85" s="72"/>
      <c r="G85" s="72"/>
      <c r="H85" s="72"/>
      <c r="I85" s="72"/>
      <c r="J85" s="72"/>
    </row>
    <row r="86" spans="2:11">
      <c r="B86" s="72"/>
      <c r="C86" s="74"/>
      <c r="D86" s="74"/>
      <c r="E86" s="74"/>
      <c r="F86" s="74"/>
      <c r="G86" s="74"/>
      <c r="H86" s="74"/>
      <c r="I86" s="74"/>
      <c r="J86" s="74"/>
      <c r="K86" s="71" t="s">
        <v>144</v>
      </c>
    </row>
    <row r="87" spans="2:11">
      <c r="B87" s="72"/>
      <c r="C87" s="69"/>
      <c r="D87" s="69"/>
      <c r="E87" s="69"/>
      <c r="F87" s="69"/>
      <c r="G87" s="69"/>
      <c r="H87" s="69"/>
      <c r="I87" s="69"/>
      <c r="J87" s="69"/>
      <c r="K87" s="69">
        <v>39.244834667880532</v>
      </c>
    </row>
    <row r="88" spans="2:11" ht="15" thickBot="1">
      <c r="B88" s="72"/>
      <c r="C88" s="69"/>
      <c r="D88" s="69"/>
      <c r="E88" s="69"/>
      <c r="F88" s="69"/>
      <c r="G88" s="69"/>
      <c r="H88" s="69"/>
      <c r="I88" s="69"/>
      <c r="J88" s="69"/>
      <c r="K88" s="70">
        <v>0.59151396845370841</v>
      </c>
    </row>
    <row r="89" spans="2:11">
      <c r="B89" s="72"/>
      <c r="C89" s="72"/>
      <c r="D89" s="72"/>
      <c r="E89" s="72"/>
      <c r="F89" s="72"/>
      <c r="G89" s="72"/>
      <c r="H89" s="72"/>
      <c r="I89" s="72"/>
      <c r="J89" s="72"/>
    </row>
    <row r="90" spans="2:11">
      <c r="B90" s="72"/>
      <c r="C90" s="72"/>
      <c r="D90" s="72"/>
      <c r="E90" s="72"/>
      <c r="F90" s="72"/>
      <c r="G90" s="72"/>
      <c r="H90" s="72"/>
      <c r="I90" s="72"/>
      <c r="J90" s="72"/>
    </row>
    <row r="91" spans="2:11">
      <c r="B91" s="72"/>
      <c r="C91" s="72"/>
      <c r="D91" s="72"/>
      <c r="E91" s="72"/>
      <c r="F91" s="72"/>
      <c r="G91" s="72"/>
      <c r="H91" s="72"/>
      <c r="I91" s="72"/>
      <c r="J91" s="72"/>
    </row>
    <row r="92" spans="2:11">
      <c r="B92" s="72"/>
      <c r="C92" s="72"/>
      <c r="D92" s="72"/>
      <c r="E92" s="72"/>
      <c r="F92" s="72"/>
      <c r="G92" s="72"/>
      <c r="H92" s="72"/>
      <c r="I92" s="72"/>
      <c r="J92" s="72"/>
    </row>
    <row r="93" spans="2:11">
      <c r="B93" s="72"/>
      <c r="C93" s="72"/>
      <c r="D93" s="72"/>
      <c r="E93" s="72"/>
      <c r="F93" s="72"/>
      <c r="G93" s="72"/>
      <c r="H93" s="72"/>
      <c r="I93" s="72"/>
      <c r="J93" s="72"/>
    </row>
    <row r="94" spans="2:11">
      <c r="B94" s="72"/>
      <c r="C94" s="72"/>
      <c r="D94" s="72"/>
      <c r="E94" s="72"/>
      <c r="F94" s="72"/>
      <c r="G94" s="72"/>
      <c r="H94" s="72"/>
      <c r="I94" s="72"/>
      <c r="J94" s="72"/>
    </row>
    <row r="95" spans="2:11">
      <c r="B95" s="72"/>
      <c r="C95" s="72"/>
      <c r="D95" s="72"/>
      <c r="E95" s="72"/>
      <c r="F95" s="72"/>
      <c r="G95" s="72"/>
      <c r="H95" s="72"/>
      <c r="I95" s="72"/>
      <c r="J95" s="72"/>
    </row>
    <row r="96" spans="2:11">
      <c r="B96" s="72"/>
      <c r="C96" s="72"/>
      <c r="D96" s="72"/>
      <c r="E96" s="72"/>
      <c r="F96" s="72"/>
      <c r="G96" s="72"/>
      <c r="H96" s="72"/>
      <c r="I96" s="72"/>
      <c r="J96" s="72"/>
    </row>
    <row r="97" spans="2:10">
      <c r="B97" s="72"/>
      <c r="C97" s="72"/>
      <c r="D97" s="72"/>
      <c r="E97" s="72"/>
      <c r="F97" s="72"/>
      <c r="G97" s="72"/>
      <c r="H97" s="72"/>
      <c r="I97" s="72"/>
      <c r="J97" s="72"/>
    </row>
    <row r="98" spans="2:10">
      <c r="B98" s="72"/>
      <c r="C98" s="72"/>
      <c r="D98" s="72"/>
      <c r="E98" s="72"/>
      <c r="F98" s="72"/>
      <c r="G98" s="72"/>
      <c r="H98" s="72"/>
      <c r="I98" s="72"/>
      <c r="J98" s="72"/>
    </row>
    <row r="99" spans="2:10">
      <c r="B99" s="72"/>
      <c r="C99" s="72"/>
      <c r="D99" s="72"/>
      <c r="E99" s="72"/>
      <c r="F99" s="72"/>
      <c r="G99" s="72"/>
      <c r="H99" s="72"/>
      <c r="I99" s="72"/>
      <c r="J99" s="72"/>
    </row>
    <row r="100" spans="2:10">
      <c r="B100" s="72"/>
      <c r="C100" s="72"/>
      <c r="D100" s="72"/>
      <c r="E100" s="72"/>
      <c r="F100" s="72"/>
      <c r="G100" s="72"/>
      <c r="H100" s="72"/>
      <c r="I100" s="72"/>
      <c r="J100" s="72"/>
    </row>
    <row r="101" spans="2:10">
      <c r="B101" s="72"/>
      <c r="C101" s="72"/>
      <c r="D101" s="72"/>
      <c r="E101" s="72"/>
      <c r="F101" s="72"/>
      <c r="G101" s="72"/>
      <c r="H101" s="72"/>
      <c r="I101" s="72"/>
      <c r="J101" s="72"/>
    </row>
    <row r="102" spans="2:10">
      <c r="B102" s="72"/>
      <c r="C102" s="72"/>
      <c r="D102" s="72"/>
      <c r="E102" s="72"/>
      <c r="F102" s="72"/>
      <c r="G102" s="72"/>
      <c r="H102" s="72"/>
      <c r="I102" s="72"/>
      <c r="J102" s="72"/>
    </row>
    <row r="103" spans="2:10">
      <c r="B103" s="72"/>
      <c r="C103" s="72"/>
      <c r="D103" s="72"/>
      <c r="E103" s="72"/>
      <c r="F103" s="72"/>
      <c r="G103" s="72"/>
      <c r="H103" s="72"/>
      <c r="I103" s="72"/>
      <c r="J103" s="72"/>
    </row>
    <row r="104" spans="2:10">
      <c r="B104" s="72"/>
      <c r="C104" s="72"/>
      <c r="D104" s="72"/>
      <c r="E104" s="72"/>
      <c r="F104" s="72"/>
      <c r="G104" s="72"/>
      <c r="H104" s="72"/>
      <c r="I104" s="72"/>
      <c r="J104" s="72"/>
    </row>
    <row r="105" spans="2:10">
      <c r="B105" s="72"/>
      <c r="C105" s="72"/>
      <c r="D105" s="72"/>
      <c r="E105" s="72"/>
      <c r="F105" s="72"/>
      <c r="G105" s="72"/>
      <c r="H105" s="72"/>
      <c r="I105" s="72"/>
      <c r="J105" s="72"/>
    </row>
    <row r="106" spans="2:10">
      <c r="B106" s="72"/>
      <c r="C106" s="72"/>
      <c r="D106" s="72"/>
      <c r="E106" s="72"/>
      <c r="F106" s="72"/>
      <c r="G106" s="72"/>
      <c r="H106" s="72"/>
      <c r="I106" s="72"/>
      <c r="J106" s="72"/>
    </row>
    <row r="107" spans="2:10">
      <c r="B107" s="72"/>
      <c r="C107" s="72"/>
      <c r="D107" s="72"/>
      <c r="E107" s="72"/>
      <c r="F107" s="72"/>
      <c r="G107" s="72"/>
      <c r="H107" s="72"/>
      <c r="I107" s="72"/>
      <c r="J107" s="72"/>
    </row>
    <row r="108" spans="2:10">
      <c r="B108" s="72"/>
      <c r="C108" s="72"/>
      <c r="D108" s="72"/>
      <c r="E108" s="72"/>
      <c r="F108" s="72"/>
      <c r="G108" s="72"/>
      <c r="H108" s="72"/>
      <c r="I108" s="72"/>
      <c r="J108" s="72"/>
    </row>
    <row r="109" spans="2:10">
      <c r="B109" s="72"/>
      <c r="C109" s="72"/>
      <c r="D109" s="72"/>
      <c r="E109" s="72"/>
      <c r="F109" s="72"/>
      <c r="G109" s="72"/>
      <c r="H109" s="72"/>
      <c r="I109" s="72"/>
      <c r="J109" s="72"/>
    </row>
    <row r="110" spans="2:10">
      <c r="B110" s="72"/>
      <c r="C110" s="72"/>
      <c r="D110" s="72"/>
      <c r="E110" s="72"/>
      <c r="F110" s="72"/>
      <c r="G110" s="72"/>
      <c r="H110" s="72"/>
      <c r="I110" s="72"/>
      <c r="J110" s="72"/>
    </row>
    <row r="111" spans="2:10">
      <c r="B111" s="72"/>
      <c r="C111" s="72"/>
      <c r="D111" s="72"/>
      <c r="E111" s="72"/>
      <c r="F111" s="72"/>
      <c r="G111" s="72"/>
      <c r="H111" s="72"/>
      <c r="I111" s="72"/>
      <c r="J111" s="72"/>
    </row>
    <row r="112" spans="2:10">
      <c r="B112" s="72"/>
      <c r="C112" s="72"/>
      <c r="D112" s="72"/>
      <c r="E112" s="72"/>
      <c r="F112" s="72"/>
      <c r="G112" s="72"/>
      <c r="H112" s="72"/>
      <c r="I112" s="72"/>
      <c r="J112" s="72"/>
    </row>
    <row r="113" spans="2:10">
      <c r="B113" s="72"/>
      <c r="C113" s="72"/>
      <c r="D113" s="72"/>
      <c r="E113" s="72"/>
      <c r="F113" s="72"/>
      <c r="G113" s="72"/>
      <c r="H113" s="72"/>
      <c r="I113" s="72"/>
      <c r="J113" s="72"/>
    </row>
    <row r="114" spans="2:10">
      <c r="B114" s="72"/>
      <c r="C114" s="72"/>
      <c r="D114" s="72"/>
      <c r="E114" s="72"/>
      <c r="F114" s="72"/>
      <c r="G114" s="72"/>
      <c r="H114" s="72"/>
      <c r="I114" s="72"/>
      <c r="J114" s="72"/>
    </row>
    <row r="115" spans="2:10">
      <c r="B115" s="72"/>
      <c r="C115" s="72"/>
      <c r="D115" s="72"/>
      <c r="E115" s="72"/>
      <c r="F115" s="72"/>
      <c r="G115" s="72"/>
      <c r="H115" s="72"/>
      <c r="I115" s="72"/>
      <c r="J115" s="72"/>
    </row>
    <row r="116" spans="2:10">
      <c r="B116" s="72"/>
      <c r="C116" s="72"/>
      <c r="D116" s="72"/>
      <c r="E116" s="72"/>
      <c r="F116" s="72"/>
      <c r="G116" s="72"/>
      <c r="H116" s="72"/>
      <c r="I116" s="72"/>
      <c r="J116" s="72"/>
    </row>
    <row r="117" spans="2:10">
      <c r="B117" s="72"/>
      <c r="C117" s="72"/>
      <c r="D117" s="72"/>
      <c r="E117" s="72"/>
      <c r="F117" s="72"/>
      <c r="G117" s="72"/>
      <c r="H117" s="72"/>
      <c r="I117" s="72"/>
      <c r="J117" s="72"/>
    </row>
    <row r="118" spans="2:10">
      <c r="B118" s="72"/>
      <c r="C118" s="72"/>
      <c r="D118" s="72"/>
      <c r="E118" s="72"/>
      <c r="F118" s="72"/>
      <c r="G118" s="72"/>
      <c r="H118" s="72"/>
      <c r="I118" s="72"/>
      <c r="J118" s="72"/>
    </row>
    <row r="119" spans="2:10">
      <c r="B119" s="72"/>
      <c r="C119" s="72"/>
      <c r="D119" s="72"/>
      <c r="E119" s="72"/>
      <c r="F119" s="72"/>
      <c r="G119" s="72"/>
      <c r="H119" s="72"/>
      <c r="I119" s="72"/>
      <c r="J119" s="72"/>
    </row>
    <row r="120" spans="2:10">
      <c r="B120" s="72"/>
      <c r="C120" s="72"/>
      <c r="D120" s="72"/>
      <c r="E120" s="72"/>
      <c r="F120" s="72"/>
      <c r="G120" s="72"/>
      <c r="H120" s="72"/>
      <c r="I120" s="72"/>
      <c r="J120" s="72"/>
    </row>
    <row r="121" spans="2:10">
      <c r="B121" s="72"/>
      <c r="C121" s="72"/>
      <c r="D121" s="72"/>
      <c r="E121" s="72"/>
      <c r="F121" s="72"/>
      <c r="G121" s="72"/>
      <c r="H121" s="72"/>
      <c r="I121" s="72"/>
      <c r="J121" s="72"/>
    </row>
    <row r="122" spans="2:10">
      <c r="B122" s="72"/>
      <c r="C122" s="72"/>
      <c r="D122" s="72"/>
      <c r="E122" s="72"/>
      <c r="F122" s="72"/>
      <c r="G122" s="72"/>
      <c r="H122" s="72"/>
      <c r="I122" s="72"/>
      <c r="J122" s="72"/>
    </row>
    <row r="123" spans="2:10">
      <c r="B123" s="72"/>
      <c r="C123" s="72"/>
      <c r="D123" s="72"/>
      <c r="E123" s="72"/>
      <c r="F123" s="72"/>
      <c r="G123" s="72"/>
      <c r="H123" s="72"/>
      <c r="I123" s="72"/>
      <c r="J123" s="72"/>
    </row>
    <row r="124" spans="2:10">
      <c r="B124" s="72"/>
      <c r="C124" s="72"/>
      <c r="D124" s="72"/>
      <c r="E124" s="72"/>
      <c r="F124" s="72"/>
      <c r="G124" s="72"/>
      <c r="H124" s="72"/>
      <c r="I124" s="72"/>
      <c r="J124" s="72"/>
    </row>
    <row r="125" spans="2:10">
      <c r="B125" s="72"/>
      <c r="C125" s="72"/>
      <c r="D125" s="72"/>
      <c r="E125" s="72"/>
      <c r="F125" s="72"/>
      <c r="G125" s="72"/>
      <c r="H125" s="72"/>
      <c r="I125" s="72"/>
      <c r="J125" s="72"/>
    </row>
  </sheetData>
  <mergeCells count="6">
    <mergeCell ref="A21:K22"/>
    <mergeCell ref="A58:J58"/>
    <mergeCell ref="A59:K59"/>
    <mergeCell ref="A57:E57"/>
    <mergeCell ref="A65:J66"/>
    <mergeCell ref="A64:D6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 1</vt:lpstr>
      <vt:lpstr>p.2</vt:lpstr>
      <vt:lpstr>p.3</vt:lpstr>
      <vt:lpstr>p.4</vt:lpstr>
      <vt:lpstr>p.5</vt:lpstr>
      <vt:lpstr>P.6</vt:lpstr>
      <vt:lpstr>p.7</vt:lpstr>
      <vt:lpstr>p.8</vt:lpstr>
      <vt:lpstr>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Sajeeb Kumar Ray</dc:creator>
  <cp:lastModifiedBy>Sajeeb Kumar Ray</cp:lastModifiedBy>
  <dcterms:created xsi:type="dcterms:W3CDTF">2023-01-14T14:47:59Z</dcterms:created>
  <dcterms:modified xsi:type="dcterms:W3CDTF">2023-01-17T18:13:36Z</dcterms:modified>
</cp:coreProperties>
</file>