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80D63DA-5101-4109-9193-67CAC1FB980F}" xr6:coauthVersionLast="36" xr6:coauthVersionMax="36" xr10:uidLastSave="{00000000-0000-0000-0000-000000000000}"/>
  <bookViews>
    <workbookView xWindow="120" yWindow="75" windowWidth="15120" windowHeight="8520" tabRatio="748" firstSheet="6" activeTab="16" xr2:uid="{00000000-000D-0000-FFFF-FFFF00000000}"/>
  </bookViews>
  <sheets>
    <sheet name="SL" sheetId="32" r:id="rId1"/>
    <sheet name="age" sheetId="13" r:id="rId2"/>
    <sheet name="aging" sheetId="12" r:id="rId3"/>
    <sheet name="slabTax_lo" sheetId="17" r:id="rId4"/>
    <sheet name="slabCon" sheetId="26" r:id="rId5"/>
    <sheet name="VAT_TAX_Deduction" sheetId="27" r:id="rId6"/>
    <sheet name="VLUP" sheetId="1" r:id="rId7"/>
    <sheet name="Lef Right" sheetId="18" r:id="rId8"/>
    <sheet name="FML name" sheetId="31" r:id="rId9"/>
    <sheet name="Sheet3" sheetId="30" r:id="rId10"/>
    <sheet name="FP Details" sheetId="8" r:id="rId11"/>
    <sheet name="Auditp" sheetId="23" r:id="rId12"/>
    <sheet name="FML" sheetId="21" r:id="rId13"/>
    <sheet name="D_MAS" sheetId="25" r:id="rId14"/>
    <sheet name="Sheet1" sheetId="28" r:id="rId15"/>
    <sheet name="Sheet4" sheetId="33" r:id="rId16"/>
    <sheet name="Sheet5" sheetId="34" r:id="rId17"/>
  </sheets>
  <definedNames>
    <definedName name="AUD">VLUP!$A$2:$H$17</definedName>
    <definedName name="bablur" localSheetId="11">#REF!</definedName>
    <definedName name="bablur" localSheetId="8">#REF!</definedName>
    <definedName name="bablur" localSheetId="4">#REF!</definedName>
    <definedName name="bablur">#REF!</definedName>
    <definedName name="total" localSheetId="11">#REF!</definedName>
    <definedName name="total" localSheetId="4">#REF!</definedName>
    <definedName name="total">#REF!</definedName>
  </definedNames>
  <calcPr calcId="191029"/>
</workbook>
</file>

<file path=xl/calcChain.xml><?xml version="1.0" encoding="utf-8"?>
<calcChain xmlns="http://schemas.openxmlformats.org/spreadsheetml/2006/main">
  <c r="B16" i="32" l="1"/>
  <c r="B15" i="32"/>
  <c r="A3" i="32"/>
  <c r="A4" i="32"/>
  <c r="A5" i="32"/>
  <c r="A6" i="32"/>
  <c r="A7" i="32"/>
  <c r="A8" i="32"/>
  <c r="A9" i="32"/>
  <c r="A10" i="32"/>
  <c r="A11" i="32"/>
  <c r="A2" i="32"/>
  <c r="C21" i="31" l="1"/>
  <c r="C20" i="31"/>
  <c r="C17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B11" i="31"/>
  <c r="C8" i="31"/>
  <c r="C7" i="31"/>
  <c r="C6" i="31"/>
  <c r="E4" i="31"/>
  <c r="D4" i="31"/>
  <c r="C4" i="31"/>
  <c r="C3" i="31"/>
  <c r="C2" i="31"/>
  <c r="E1" i="31"/>
  <c r="D1" i="31"/>
  <c r="C1" i="31"/>
  <c r="E18" i="18" l="1"/>
  <c r="E17" i="18"/>
  <c r="C18" i="18"/>
  <c r="D18" i="18"/>
  <c r="F18" i="18" s="1"/>
  <c r="D20" i="18"/>
  <c r="D19" i="18"/>
  <c r="D24" i="30" l="1"/>
  <c r="D23" i="30"/>
  <c r="D25" i="30"/>
  <c r="D26" i="30"/>
  <c r="D27" i="30"/>
  <c r="D28" i="30"/>
  <c r="D29" i="30"/>
  <c r="D30" i="30"/>
  <c r="D31" i="30"/>
  <c r="D22" i="30"/>
  <c r="A20" i="30"/>
  <c r="A19" i="30"/>
  <c r="D17" i="18" l="1"/>
  <c r="L17" i="18" l="1"/>
  <c r="F17" i="18"/>
  <c r="C7" i="1" l="1"/>
  <c r="C8" i="1"/>
  <c r="C9" i="1"/>
  <c r="C10" i="1"/>
  <c r="C11" i="1"/>
  <c r="C12" i="1"/>
  <c r="C13" i="1"/>
  <c r="C14" i="1"/>
  <c r="C15" i="1"/>
  <c r="C2" i="1"/>
  <c r="C3" i="1"/>
  <c r="C4" i="1"/>
  <c r="C5" i="1"/>
  <c r="C29" i="17" l="1"/>
  <c r="C30" i="17" s="1"/>
  <c r="E30" i="17" s="1"/>
  <c r="C31" i="17" l="1"/>
  <c r="E31" i="17" s="1"/>
  <c r="C32" i="17" l="1"/>
  <c r="E32" i="17" s="1"/>
  <c r="C33" i="17" l="1"/>
  <c r="E33" i="17" s="1"/>
  <c r="C34" i="17" l="1"/>
  <c r="E34" i="17" s="1"/>
  <c r="C35" i="17" l="1"/>
  <c r="D57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42" i="12"/>
  <c r="K23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42" i="12"/>
  <c r="F43" i="12"/>
  <c r="F44" i="12"/>
  <c r="F47" i="12"/>
  <c r="F51" i="12"/>
  <c r="F53" i="12"/>
  <c r="F55" i="12"/>
  <c r="F42" i="12"/>
  <c r="E43" i="12"/>
  <c r="E44" i="12"/>
  <c r="E45" i="12"/>
  <c r="F45" i="12" s="1"/>
  <c r="E46" i="12"/>
  <c r="F46" i="12" s="1"/>
  <c r="E47" i="12"/>
  <c r="E48" i="12"/>
  <c r="F48" i="12" s="1"/>
  <c r="E49" i="12"/>
  <c r="F49" i="12" s="1"/>
  <c r="E50" i="12"/>
  <c r="F50" i="12" s="1"/>
  <c r="E51" i="12"/>
  <c r="E52" i="12"/>
  <c r="F52" i="12" s="1"/>
  <c r="E53" i="12"/>
  <c r="E54" i="12"/>
  <c r="F54" i="12" s="1"/>
  <c r="E55" i="12"/>
  <c r="E56" i="12"/>
  <c r="F56" i="12" s="1"/>
  <c r="E42" i="12"/>
  <c r="D35" i="12"/>
  <c r="J34" i="12"/>
  <c r="I34" i="12"/>
  <c r="H34" i="12"/>
  <c r="G34" i="12"/>
  <c r="E34" i="12"/>
  <c r="F34" i="12" s="1"/>
  <c r="J33" i="12"/>
  <c r="I33" i="12"/>
  <c r="H33" i="12"/>
  <c r="G33" i="12"/>
  <c r="E33" i="12"/>
  <c r="F33" i="12" s="1"/>
  <c r="J32" i="12"/>
  <c r="I32" i="12"/>
  <c r="H32" i="12"/>
  <c r="G32" i="12"/>
  <c r="E32" i="12"/>
  <c r="F32" i="12" s="1"/>
  <c r="J31" i="12"/>
  <c r="I31" i="12"/>
  <c r="H31" i="12"/>
  <c r="G31" i="12"/>
  <c r="E31" i="12"/>
  <c r="F31" i="12" s="1"/>
  <c r="J30" i="12"/>
  <c r="I30" i="12"/>
  <c r="H30" i="12"/>
  <c r="G30" i="12"/>
  <c r="E30" i="12"/>
  <c r="F30" i="12" s="1"/>
  <c r="J29" i="12"/>
  <c r="I29" i="12"/>
  <c r="H29" i="12"/>
  <c r="G29" i="12"/>
  <c r="E29" i="12"/>
  <c r="F29" i="12" s="1"/>
  <c r="J28" i="12"/>
  <c r="I28" i="12"/>
  <c r="H28" i="12"/>
  <c r="G28" i="12"/>
  <c r="E28" i="12"/>
  <c r="F28" i="12" s="1"/>
  <c r="J27" i="12"/>
  <c r="I27" i="12"/>
  <c r="H27" i="12"/>
  <c r="G27" i="12"/>
  <c r="E27" i="12"/>
  <c r="F27" i="12" s="1"/>
  <c r="J26" i="12"/>
  <c r="I26" i="12"/>
  <c r="H26" i="12"/>
  <c r="G26" i="12"/>
  <c r="E26" i="12"/>
  <c r="F26" i="12" s="1"/>
  <c r="J25" i="12"/>
  <c r="I25" i="12"/>
  <c r="H25" i="12"/>
  <c r="G25" i="12"/>
  <c r="E25" i="12"/>
  <c r="F25" i="12" s="1"/>
  <c r="J24" i="12"/>
  <c r="I24" i="12"/>
  <c r="H24" i="12"/>
  <c r="G24" i="12"/>
  <c r="E24" i="12"/>
  <c r="F24" i="12" s="1"/>
  <c r="J23" i="12"/>
  <c r="I23" i="12"/>
  <c r="H23" i="12"/>
  <c r="G23" i="12"/>
  <c r="E23" i="12"/>
  <c r="F23" i="12" s="1"/>
  <c r="G57" i="12" l="1"/>
  <c r="I57" i="12"/>
  <c r="F57" i="12"/>
  <c r="H57" i="12"/>
  <c r="J57" i="12"/>
  <c r="K57" i="12"/>
  <c r="G35" i="12"/>
  <c r="I35" i="12"/>
  <c r="F35" i="12"/>
  <c r="H35" i="12"/>
  <c r="J35" i="12"/>
  <c r="M38" i="13"/>
  <c r="L38" i="13"/>
  <c r="C14" i="26"/>
  <c r="F24" i="13" l="1"/>
  <c r="C10" i="27" l="1"/>
  <c r="C11" i="27"/>
  <c r="C12" i="27"/>
  <c r="C13" i="27"/>
  <c r="C9" i="27"/>
  <c r="D9" i="27" s="1"/>
  <c r="E9" i="27" s="1"/>
  <c r="C16" i="27"/>
  <c r="G36" i="27"/>
  <c r="G35" i="27"/>
  <c r="G34" i="27"/>
  <c r="G33" i="27"/>
  <c r="G32" i="27"/>
  <c r="G31" i="27"/>
  <c r="C20" i="27"/>
  <c r="D20" i="27" s="1"/>
  <c r="C19" i="27"/>
  <c r="D19" i="27" s="1"/>
  <c r="C18" i="27"/>
  <c r="D18" i="27" s="1"/>
  <c r="C17" i="27"/>
  <c r="D17" i="27" s="1"/>
  <c r="F9" i="27" l="1"/>
  <c r="G9" i="27" s="1"/>
  <c r="I9" i="27" s="1"/>
  <c r="H10" i="27" s="1"/>
  <c r="D10" i="27"/>
  <c r="E10" i="27" s="1"/>
  <c r="D11" i="27"/>
  <c r="D12" i="27"/>
  <c r="D13" i="27"/>
  <c r="D16" i="27"/>
  <c r="C16" i="26"/>
  <c r="C9" i="26"/>
  <c r="C10" i="26"/>
  <c r="C11" i="26"/>
  <c r="C12" i="26"/>
  <c r="C13" i="26"/>
  <c r="C15" i="26"/>
  <c r="E11" i="27" l="1"/>
  <c r="F10" i="27"/>
  <c r="G10" i="27" s="1"/>
  <c r="F11" i="27"/>
  <c r="G11" i="27" s="1"/>
  <c r="E13" i="27"/>
  <c r="E20" i="27"/>
  <c r="G20" i="27" s="1"/>
  <c r="E18" i="27"/>
  <c r="G18" i="27" s="1"/>
  <c r="E19" i="27"/>
  <c r="G19" i="27" s="1"/>
  <c r="E17" i="27"/>
  <c r="G17" i="27" s="1"/>
  <c r="E16" i="27"/>
  <c r="G16" i="27" s="1"/>
  <c r="I16" i="27" s="1"/>
  <c r="E12" i="27"/>
  <c r="J9" i="27"/>
  <c r="O144" i="25"/>
  <c r="P144" i="25" s="1"/>
  <c r="O57" i="25"/>
  <c r="P57" i="25" s="1"/>
  <c r="O186" i="25"/>
  <c r="P186" i="25" s="1"/>
  <c r="O111" i="25"/>
  <c r="P111" i="25" s="1"/>
  <c r="O10" i="25"/>
  <c r="P10" i="25" s="1"/>
  <c r="O97" i="25"/>
  <c r="P97" i="25" s="1"/>
  <c r="O59" i="25"/>
  <c r="P59" i="25" s="1"/>
  <c r="O78" i="25"/>
  <c r="P78" i="25" s="1"/>
  <c r="O192" i="25"/>
  <c r="P192" i="25" s="1"/>
  <c r="O15" i="25"/>
  <c r="P15" i="25" s="1"/>
  <c r="O133" i="25"/>
  <c r="P133" i="25" s="1"/>
  <c r="O196" i="25"/>
  <c r="P196" i="25" s="1"/>
  <c r="O183" i="25"/>
  <c r="P183" i="25" s="1"/>
  <c r="O6" i="25"/>
  <c r="P6" i="25" s="1"/>
  <c r="O47" i="25"/>
  <c r="P47" i="25" s="1"/>
  <c r="O4" i="25"/>
  <c r="P4" i="25" s="1"/>
  <c r="O99" i="25"/>
  <c r="P99" i="25" s="1"/>
  <c r="O119" i="25"/>
  <c r="P119" i="25" s="1"/>
  <c r="O42" i="25"/>
  <c r="P42" i="25" s="1"/>
  <c r="O67" i="25"/>
  <c r="P67" i="25" s="1"/>
  <c r="O160" i="25"/>
  <c r="P160" i="25" s="1"/>
  <c r="O185" i="25"/>
  <c r="P185" i="25" s="1"/>
  <c r="O182" i="25"/>
  <c r="P182" i="25" s="1"/>
  <c r="O170" i="25"/>
  <c r="P170" i="25" s="1"/>
  <c r="O140" i="25"/>
  <c r="P140" i="25" s="1"/>
  <c r="O70" i="25"/>
  <c r="P70" i="25" s="1"/>
  <c r="O30" i="25"/>
  <c r="P30" i="25" s="1"/>
  <c r="O9" i="25"/>
  <c r="P9" i="25" s="1"/>
  <c r="O199" i="25"/>
  <c r="P199" i="25" s="1"/>
  <c r="O109" i="25"/>
  <c r="P109" i="25" s="1"/>
  <c r="O31" i="25"/>
  <c r="P31" i="25" s="1"/>
  <c r="O103" i="25"/>
  <c r="P103" i="25" s="1"/>
  <c r="O190" i="25"/>
  <c r="P190" i="25" s="1"/>
  <c r="O193" i="25"/>
  <c r="P193" i="25" s="1"/>
  <c r="O112" i="25"/>
  <c r="P112" i="25" s="1"/>
  <c r="O176" i="25"/>
  <c r="P176" i="25" s="1"/>
  <c r="O121" i="25"/>
  <c r="P121" i="25" s="1"/>
  <c r="O124" i="25"/>
  <c r="P124" i="25" s="1"/>
  <c r="O177" i="25"/>
  <c r="P177" i="25" s="1"/>
  <c r="O75" i="25"/>
  <c r="P75" i="25" s="1"/>
  <c r="O149" i="25"/>
  <c r="P149" i="25" s="1"/>
  <c r="O43" i="25"/>
  <c r="P43" i="25" s="1"/>
  <c r="O76" i="25"/>
  <c r="P76" i="25" s="1"/>
  <c r="O35" i="25"/>
  <c r="P35" i="25" s="1"/>
  <c r="O115" i="25"/>
  <c r="P115" i="25" s="1"/>
  <c r="O84" i="25"/>
  <c r="P84" i="25" s="1"/>
  <c r="O131" i="25"/>
  <c r="P131" i="25" s="1"/>
  <c r="O74" i="25"/>
  <c r="P74" i="25" s="1"/>
  <c r="O164" i="25"/>
  <c r="P164" i="25" s="1"/>
  <c r="O153" i="25"/>
  <c r="P153" i="25" s="1"/>
  <c r="O151" i="25"/>
  <c r="P151" i="25" s="1"/>
  <c r="O33" i="25"/>
  <c r="P33" i="25" s="1"/>
  <c r="O39" i="25"/>
  <c r="P39" i="25" s="1"/>
  <c r="O80" i="25"/>
  <c r="P80" i="25" s="1"/>
  <c r="O79" i="25"/>
  <c r="P79" i="25" s="1"/>
  <c r="O105" i="25"/>
  <c r="P105" i="25" s="1"/>
  <c r="O25" i="25"/>
  <c r="P25" i="25" s="1"/>
  <c r="O152" i="25"/>
  <c r="P152" i="25" s="1"/>
  <c r="O68" i="25"/>
  <c r="P68" i="25" s="1"/>
  <c r="O116" i="25"/>
  <c r="P116" i="25" s="1"/>
  <c r="O191" i="25"/>
  <c r="P191" i="25" s="1"/>
  <c r="O72" i="25"/>
  <c r="P72" i="25" s="1"/>
  <c r="O38" i="25"/>
  <c r="P38" i="25" s="1"/>
  <c r="O17" i="25"/>
  <c r="P17" i="25" s="1"/>
  <c r="O146" i="25"/>
  <c r="P146" i="25" s="1"/>
  <c r="O138" i="25"/>
  <c r="P138" i="25" s="1"/>
  <c r="O110" i="25"/>
  <c r="P110" i="25" s="1"/>
  <c r="O56" i="25"/>
  <c r="P56" i="25" s="1"/>
  <c r="O189" i="25"/>
  <c r="P189" i="25" s="1"/>
  <c r="O134" i="25"/>
  <c r="P134" i="25" s="1"/>
  <c r="O44" i="25"/>
  <c r="P44" i="25" s="1"/>
  <c r="O93" i="25"/>
  <c r="P93" i="25" s="1"/>
  <c r="O159" i="25"/>
  <c r="P159" i="25" s="1"/>
  <c r="O98" i="25"/>
  <c r="P98" i="25" s="1"/>
  <c r="O53" i="25"/>
  <c r="P53" i="25" s="1"/>
  <c r="O89" i="25"/>
  <c r="P89" i="25" s="1"/>
  <c r="O11" i="25"/>
  <c r="P11" i="25" s="1"/>
  <c r="O175" i="25"/>
  <c r="P175" i="25" s="1"/>
  <c r="O27" i="25"/>
  <c r="P27" i="25" s="1"/>
  <c r="O198" i="25"/>
  <c r="P198" i="25" s="1"/>
  <c r="O154" i="25"/>
  <c r="P154" i="25" s="1"/>
  <c r="O169" i="25"/>
  <c r="P169" i="25" s="1"/>
  <c r="O162" i="25"/>
  <c r="P162" i="25" s="1"/>
  <c r="O21" i="25"/>
  <c r="P21" i="25" s="1"/>
  <c r="O129" i="25"/>
  <c r="P129" i="25" s="1"/>
  <c r="O52" i="25"/>
  <c r="P52" i="25" s="1"/>
  <c r="O120" i="25"/>
  <c r="P120" i="25" s="1"/>
  <c r="O178" i="25"/>
  <c r="P178" i="25" s="1"/>
  <c r="O107" i="25"/>
  <c r="P107" i="25" s="1"/>
  <c r="O63" i="25"/>
  <c r="P63" i="25" s="1"/>
  <c r="O102" i="25"/>
  <c r="P102" i="25" s="1"/>
  <c r="O73" i="25"/>
  <c r="P73" i="25" s="1"/>
  <c r="O85" i="25"/>
  <c r="P85" i="25" s="1"/>
  <c r="O91" i="25"/>
  <c r="P91" i="25" s="1"/>
  <c r="O50" i="25"/>
  <c r="P50" i="25" s="1"/>
  <c r="O13" i="25"/>
  <c r="P13" i="25" s="1"/>
  <c r="O7" i="25"/>
  <c r="P7" i="25" s="1"/>
  <c r="O126" i="25"/>
  <c r="P126" i="25" s="1"/>
  <c r="O69" i="25"/>
  <c r="P69" i="25" s="1"/>
  <c r="O22" i="25"/>
  <c r="P22" i="25" s="1"/>
  <c r="O139" i="25"/>
  <c r="P139" i="25" s="1"/>
  <c r="O64" i="25"/>
  <c r="P64" i="25" s="1"/>
  <c r="O51" i="25"/>
  <c r="P51" i="25" s="1"/>
  <c r="O180" i="25"/>
  <c r="P180" i="25" s="1"/>
  <c r="O100" i="25"/>
  <c r="P100" i="25" s="1"/>
  <c r="O168" i="25"/>
  <c r="P168" i="25" s="1"/>
  <c r="O156" i="25"/>
  <c r="P156" i="25" s="1"/>
  <c r="O194" i="25"/>
  <c r="P194" i="25" s="1"/>
  <c r="O54" i="25"/>
  <c r="P54" i="25" s="1"/>
  <c r="O136" i="25"/>
  <c r="P136" i="25" s="1"/>
  <c r="O48" i="25"/>
  <c r="P48" i="25" s="1"/>
  <c r="O150" i="25"/>
  <c r="P150" i="25" s="1"/>
  <c r="O61" i="25"/>
  <c r="P61" i="25" s="1"/>
  <c r="O106" i="25"/>
  <c r="P106" i="25" s="1"/>
  <c r="O130" i="25"/>
  <c r="P130" i="25" s="1"/>
  <c r="O197" i="25"/>
  <c r="P197" i="25" s="1"/>
  <c r="O96" i="25"/>
  <c r="P96" i="25" s="1"/>
  <c r="O49" i="25"/>
  <c r="P49" i="25" s="1"/>
  <c r="O34" i="25"/>
  <c r="P34" i="25" s="1"/>
  <c r="O20" i="25"/>
  <c r="P20" i="25" s="1"/>
  <c r="O86" i="25"/>
  <c r="P86" i="25" s="1"/>
  <c r="O65" i="25"/>
  <c r="P65" i="25" s="1"/>
  <c r="O113" i="25"/>
  <c r="P113" i="25" s="1"/>
  <c r="O45" i="25"/>
  <c r="P45" i="25" s="1"/>
  <c r="O19" i="25"/>
  <c r="P19" i="25" s="1"/>
  <c r="O3" i="25"/>
  <c r="P3" i="25" s="1"/>
  <c r="O142" i="25"/>
  <c r="P142" i="25" s="1"/>
  <c r="O174" i="25"/>
  <c r="P174" i="25" s="1"/>
  <c r="O46" i="25"/>
  <c r="P46" i="25" s="1"/>
  <c r="O32" i="25"/>
  <c r="P32" i="25" s="1"/>
  <c r="O87" i="25"/>
  <c r="P87" i="25" s="1"/>
  <c r="O179" i="25"/>
  <c r="P179" i="25" s="1"/>
  <c r="O117" i="25"/>
  <c r="P117" i="25" s="1"/>
  <c r="O128" i="25"/>
  <c r="P128" i="25" s="1"/>
  <c r="O166" i="25"/>
  <c r="P166" i="25" s="1"/>
  <c r="O77" i="25"/>
  <c r="P77" i="25" s="1"/>
  <c r="O181" i="25"/>
  <c r="P181" i="25" s="1"/>
  <c r="O82" i="25"/>
  <c r="P82" i="25" s="1"/>
  <c r="O167" i="25"/>
  <c r="P167" i="25" s="1"/>
  <c r="O101" i="25"/>
  <c r="P101" i="25" s="1"/>
  <c r="O16" i="25"/>
  <c r="P16" i="25" s="1"/>
  <c r="O123" i="25"/>
  <c r="P123" i="25" s="1"/>
  <c r="O172" i="25"/>
  <c r="P172" i="25" s="1"/>
  <c r="O58" i="25"/>
  <c r="P58" i="25" s="1"/>
  <c r="O125" i="25"/>
  <c r="P125" i="25" s="1"/>
  <c r="O23" i="25"/>
  <c r="P23" i="25" s="1"/>
  <c r="O187" i="25"/>
  <c r="P187" i="25" s="1"/>
  <c r="O114" i="25"/>
  <c r="P114" i="25" s="1"/>
  <c r="O145" i="25"/>
  <c r="P145" i="25" s="1"/>
  <c r="O165" i="25"/>
  <c r="P165" i="25" s="1"/>
  <c r="O83" i="25"/>
  <c r="P83" i="25" s="1"/>
  <c r="O66" i="25"/>
  <c r="P66" i="25" s="1"/>
  <c r="O37" i="25"/>
  <c r="P37" i="25" s="1"/>
  <c r="O28" i="25"/>
  <c r="P28" i="25" s="1"/>
  <c r="O2" i="25"/>
  <c r="P2" i="25" s="1"/>
  <c r="O5" i="25"/>
  <c r="P5" i="25" s="1"/>
  <c r="O62" i="25"/>
  <c r="P62" i="25" s="1"/>
  <c r="O92" i="25"/>
  <c r="P92" i="25" s="1"/>
  <c r="O18" i="25"/>
  <c r="P18" i="25" s="1"/>
  <c r="O36" i="25"/>
  <c r="P36" i="25" s="1"/>
  <c r="O195" i="25"/>
  <c r="P195" i="25" s="1"/>
  <c r="O26" i="25"/>
  <c r="P26" i="25" s="1"/>
  <c r="O108" i="25"/>
  <c r="P108" i="25" s="1"/>
  <c r="O158" i="25"/>
  <c r="P158" i="25" s="1"/>
  <c r="O173" i="25"/>
  <c r="P173" i="25" s="1"/>
  <c r="O55" i="25"/>
  <c r="P55" i="25" s="1"/>
  <c r="O29" i="25"/>
  <c r="P29" i="25" s="1"/>
  <c r="O24" i="25"/>
  <c r="P24" i="25" s="1"/>
  <c r="O188" i="25"/>
  <c r="P188" i="25" s="1"/>
  <c r="O71" i="25"/>
  <c r="P71" i="25" s="1"/>
  <c r="O104" i="25"/>
  <c r="P104" i="25" s="1"/>
  <c r="O127" i="25"/>
  <c r="P127" i="25" s="1"/>
  <c r="O143" i="25"/>
  <c r="P143" i="25" s="1"/>
  <c r="O12" i="25"/>
  <c r="P12" i="25" s="1"/>
  <c r="O148" i="25"/>
  <c r="P148" i="25" s="1"/>
  <c r="O171" i="25"/>
  <c r="P171" i="25" s="1"/>
  <c r="O141" i="25"/>
  <c r="P141" i="25" s="1"/>
  <c r="O132" i="25"/>
  <c r="P132" i="25" s="1"/>
  <c r="O135" i="25"/>
  <c r="P135" i="25" s="1"/>
  <c r="O40" i="25"/>
  <c r="P40" i="25" s="1"/>
  <c r="O163" i="25"/>
  <c r="P163" i="25" s="1"/>
  <c r="O137" i="25"/>
  <c r="P137" i="25" s="1"/>
  <c r="O81" i="25"/>
  <c r="P81" i="25" s="1"/>
  <c r="O161" i="25"/>
  <c r="P161" i="25" s="1"/>
  <c r="O41" i="25"/>
  <c r="P41" i="25" s="1"/>
  <c r="O184" i="25"/>
  <c r="P184" i="25" s="1"/>
  <c r="O122" i="25"/>
  <c r="P122" i="25" s="1"/>
  <c r="O88" i="25"/>
  <c r="P88" i="25" s="1"/>
  <c r="O147" i="25"/>
  <c r="P147" i="25" s="1"/>
  <c r="O155" i="25"/>
  <c r="P155" i="25" s="1"/>
  <c r="O60" i="25"/>
  <c r="P60" i="25" s="1"/>
  <c r="O95" i="25"/>
  <c r="P95" i="25" s="1"/>
  <c r="O8" i="25"/>
  <c r="P8" i="25" s="1"/>
  <c r="O200" i="25"/>
  <c r="P200" i="25" s="1"/>
  <c r="O90" i="25"/>
  <c r="P90" i="25" s="1"/>
  <c r="O157" i="25"/>
  <c r="P157" i="25" s="1"/>
  <c r="O201" i="25"/>
  <c r="P201" i="25" s="1"/>
  <c r="O118" i="25"/>
  <c r="P118" i="25" s="1"/>
  <c r="O14" i="25"/>
  <c r="P14" i="25" s="1"/>
  <c r="O94" i="25"/>
  <c r="P94" i="25" s="1"/>
  <c r="J16" i="27" l="1"/>
  <c r="H17" i="27"/>
  <c r="I10" i="27"/>
  <c r="F12" i="27"/>
  <c r="G12" i="27" s="1"/>
  <c r="F13" i="27"/>
  <c r="G13" i="27" s="1"/>
  <c r="G16" i="23"/>
  <c r="G15" i="23"/>
  <c r="G14" i="23"/>
  <c r="G13" i="23"/>
  <c r="G12" i="23"/>
  <c r="G10" i="23"/>
  <c r="G9" i="23"/>
  <c r="G7" i="23"/>
  <c r="G6" i="23"/>
  <c r="G5" i="23"/>
  <c r="G3" i="23"/>
  <c r="G2" i="23"/>
  <c r="K14" i="18"/>
  <c r="C17" i="18"/>
  <c r="J10" i="27" l="1"/>
  <c r="H11" i="27"/>
  <c r="I11" i="27" s="1"/>
  <c r="H12" i="27" s="1"/>
  <c r="I12" i="27" s="1"/>
  <c r="F44" i="13"/>
  <c r="F43" i="13"/>
  <c r="F42" i="13"/>
  <c r="J11" i="27" l="1"/>
  <c r="J12" i="27"/>
  <c r="H13" i="27"/>
  <c r="I13" i="27" s="1"/>
  <c r="J13" i="27" s="1"/>
  <c r="A14" i="21"/>
  <c r="I17" i="27" l="1"/>
  <c r="N24" i="21"/>
  <c r="H18" i="27" l="1"/>
  <c r="I18" i="27" s="1"/>
  <c r="J17" i="27"/>
  <c r="A13" i="21"/>
  <c r="A17" i="21"/>
  <c r="A11" i="21"/>
  <c r="A16" i="21"/>
  <c r="H19" i="27" l="1"/>
  <c r="I19" i="27" s="1"/>
  <c r="J19" i="27" s="1"/>
  <c r="J18" i="27"/>
  <c r="H20" i="27"/>
  <c r="I20" i="27" s="1"/>
  <c r="J20" i="27" s="1"/>
  <c r="A10" i="21"/>
  <c r="C19" i="1"/>
  <c r="C3" i="18" l="1"/>
  <c r="K6" i="18"/>
  <c r="K12" i="18" s="1"/>
  <c r="K8" i="18"/>
  <c r="K9" i="18"/>
  <c r="K10" i="18"/>
  <c r="K11" i="18"/>
  <c r="K7" i="18"/>
  <c r="E5" i="12" l="1"/>
  <c r="B19" i="1" l="1"/>
  <c r="D19" i="1"/>
  <c r="E19" i="1"/>
  <c r="F19" i="1"/>
  <c r="G19" i="1"/>
  <c r="H2" i="18" l="1"/>
  <c r="G16" i="18"/>
  <c r="A14" i="17" l="1"/>
  <c r="A15" i="17" l="1"/>
  <c r="A16" i="17" s="1"/>
  <c r="H10" i="18"/>
  <c r="H5" i="18"/>
  <c r="H3" i="18"/>
  <c r="A17" i="17" l="1"/>
  <c r="A18" i="17" s="1"/>
  <c r="H9" i="18"/>
  <c r="C2" i="18"/>
  <c r="C4" i="18"/>
  <c r="C5" i="18"/>
  <c r="C6" i="18"/>
  <c r="H6" i="18"/>
  <c r="C7" i="18"/>
  <c r="H7" i="18"/>
  <c r="C8" i="18"/>
  <c r="C9" i="18"/>
  <c r="C10" i="18"/>
  <c r="C11" i="18"/>
  <c r="C12" i="18"/>
  <c r="H12" i="18"/>
  <c r="C13" i="18"/>
  <c r="H13" i="18"/>
  <c r="C14" i="18"/>
  <c r="H14" i="18"/>
  <c r="C15" i="18"/>
  <c r="H15" i="18"/>
  <c r="H16" i="18" l="1"/>
  <c r="A19" i="17"/>
  <c r="A20" i="17" s="1"/>
  <c r="G11" i="12"/>
  <c r="E4" i="12"/>
  <c r="F11" i="13" l="1"/>
  <c r="H11" i="13"/>
  <c r="K11" i="13"/>
  <c r="N11" i="13"/>
  <c r="O11" i="13"/>
  <c r="F12" i="13"/>
  <c r="H12" i="13"/>
  <c r="K12" i="13"/>
  <c r="N12" i="13"/>
  <c r="O12" i="13"/>
  <c r="F13" i="13"/>
  <c r="H13" i="13"/>
  <c r="K13" i="13"/>
  <c r="N13" i="13"/>
  <c r="O13" i="13"/>
  <c r="H24" i="13"/>
  <c r="K24" i="13"/>
  <c r="N24" i="13"/>
  <c r="O24" i="13"/>
  <c r="F25" i="13"/>
  <c r="H25" i="13"/>
  <c r="K25" i="13"/>
  <c r="N25" i="13"/>
  <c r="O25" i="13"/>
  <c r="F26" i="13"/>
  <c r="H26" i="13"/>
  <c r="K26" i="13"/>
  <c r="N26" i="13"/>
  <c r="O26" i="13"/>
  <c r="F34" i="13"/>
  <c r="F35" i="13"/>
  <c r="F36" i="13"/>
  <c r="P26" i="13" l="1"/>
  <c r="P24" i="13"/>
  <c r="P12" i="13"/>
  <c r="P25" i="13"/>
  <c r="P13" i="13"/>
  <c r="P11" i="13"/>
  <c r="D15" i="12"/>
  <c r="J14" i="12"/>
  <c r="I14" i="12"/>
  <c r="H14" i="12"/>
  <c r="G14" i="12"/>
  <c r="E14" i="12"/>
  <c r="F14" i="12" s="1"/>
  <c r="J13" i="12"/>
  <c r="I13" i="12"/>
  <c r="H13" i="12"/>
  <c r="G13" i="12"/>
  <c r="E13" i="12"/>
  <c r="F13" i="12" s="1"/>
  <c r="J12" i="12"/>
  <c r="I12" i="12"/>
  <c r="H12" i="12"/>
  <c r="G12" i="12"/>
  <c r="E12" i="12"/>
  <c r="F12" i="12" s="1"/>
  <c r="J11" i="12"/>
  <c r="I11" i="12"/>
  <c r="H11" i="12"/>
  <c r="E11" i="12"/>
  <c r="F11" i="12" s="1"/>
  <c r="J10" i="12"/>
  <c r="I10" i="12"/>
  <c r="H10" i="12"/>
  <c r="G10" i="12"/>
  <c r="E10" i="12"/>
  <c r="F10" i="12" s="1"/>
  <c r="J9" i="12"/>
  <c r="I9" i="12"/>
  <c r="H9" i="12"/>
  <c r="G9" i="12"/>
  <c r="E9" i="12"/>
  <c r="F9" i="12" s="1"/>
  <c r="J8" i="12"/>
  <c r="I8" i="12"/>
  <c r="H8" i="12"/>
  <c r="G8" i="12"/>
  <c r="E8" i="12"/>
  <c r="F8" i="12" s="1"/>
  <c r="J7" i="12"/>
  <c r="I7" i="12"/>
  <c r="H7" i="12"/>
  <c r="G7" i="12"/>
  <c r="E7" i="12"/>
  <c r="F7" i="12" s="1"/>
  <c r="J6" i="12"/>
  <c r="I6" i="12"/>
  <c r="H6" i="12"/>
  <c r="G6" i="12"/>
  <c r="E6" i="12"/>
  <c r="F6" i="12" s="1"/>
  <c r="J5" i="12"/>
  <c r="I5" i="12"/>
  <c r="H5" i="12"/>
  <c r="G5" i="12"/>
  <c r="F5" i="12"/>
  <c r="J4" i="12"/>
  <c r="I4" i="12"/>
  <c r="H4" i="12"/>
  <c r="G4" i="12"/>
  <c r="F4" i="12"/>
  <c r="J3" i="12"/>
  <c r="I3" i="12"/>
  <c r="H3" i="12"/>
  <c r="G3" i="12"/>
  <c r="E3" i="12"/>
  <c r="F3" i="12" s="1"/>
  <c r="G15" i="12" l="1"/>
  <c r="I15" i="12"/>
  <c r="H15" i="12"/>
  <c r="J15" i="12"/>
  <c r="F15" i="12"/>
  <c r="DU89" i="8"/>
  <c r="DT89" i="8"/>
  <c r="DS89" i="8"/>
  <c r="DD89" i="8"/>
  <c r="CZ89" i="8"/>
  <c r="CV89" i="8"/>
  <c r="CR89" i="8"/>
  <c r="CN89" i="8"/>
  <c r="DU88" i="8"/>
  <c r="DT88" i="8"/>
  <c r="DS88" i="8"/>
  <c r="DD88" i="8"/>
  <c r="CZ88" i="8"/>
  <c r="CV88" i="8"/>
  <c r="CR88" i="8"/>
  <c r="CN88" i="8"/>
  <c r="CN77" i="8" s="1"/>
  <c r="CN76" i="8" s="1"/>
  <c r="DU87" i="8"/>
  <c r="DT87" i="8"/>
  <c r="DS87" i="8"/>
  <c r="DB87" i="8"/>
  <c r="DD87" i="8" s="1"/>
  <c r="CX87" i="8"/>
  <c r="CZ87" i="8" s="1"/>
  <c r="CV87" i="8"/>
  <c r="CR87" i="8"/>
  <c r="CN87" i="8"/>
  <c r="DU86" i="8"/>
  <c r="DT86" i="8"/>
  <c r="DS86" i="8"/>
  <c r="DD86" i="8"/>
  <c r="CZ86" i="8"/>
  <c r="CV86" i="8"/>
  <c r="CR86" i="8"/>
  <c r="CN86" i="8"/>
  <c r="DU85" i="8"/>
  <c r="DT85" i="8"/>
  <c r="DS85" i="8"/>
  <c r="DD85" i="8"/>
  <c r="CZ85" i="8"/>
  <c r="CV85" i="8"/>
  <c r="CR85" i="8"/>
  <c r="CN85" i="8"/>
  <c r="DU84" i="8"/>
  <c r="DT84" i="8"/>
  <c r="DS84" i="8"/>
  <c r="DB84" i="8"/>
  <c r="DD84" i="8" s="1"/>
  <c r="CX84" i="8"/>
  <c r="CZ84" i="8" s="1"/>
  <c r="CV84" i="8"/>
  <c r="CR84" i="8"/>
  <c r="CN84" i="8"/>
  <c r="DU83" i="8"/>
  <c r="DT83" i="8"/>
  <c r="DS83" i="8"/>
  <c r="DB83" i="8"/>
  <c r="DD83" i="8" s="1"/>
  <c r="CX83" i="8"/>
  <c r="CZ83" i="8" s="1"/>
  <c r="CV83" i="8"/>
  <c r="CR83" i="8"/>
  <c r="CN83" i="8"/>
  <c r="DU82" i="8"/>
  <c r="DT82" i="8"/>
  <c r="DS82" i="8"/>
  <c r="DD82" i="8"/>
  <c r="CZ82" i="8"/>
  <c r="CV82" i="8"/>
  <c r="CR82" i="8"/>
  <c r="CN82" i="8"/>
  <c r="DU81" i="8"/>
  <c r="DT81" i="8"/>
  <c r="DS81" i="8"/>
  <c r="DB81" i="8"/>
  <c r="DD81" i="8" s="1"/>
  <c r="CX81" i="8"/>
  <c r="CZ81" i="8" s="1"/>
  <c r="CV81" i="8"/>
  <c r="CR81" i="8"/>
  <c r="CN81" i="8"/>
  <c r="DU80" i="8"/>
  <c r="DT80" i="8"/>
  <c r="DS80" i="8"/>
  <c r="DB80" i="8"/>
  <c r="DD80" i="8" s="1"/>
  <c r="CX80" i="8"/>
  <c r="CZ80" i="8" s="1"/>
  <c r="CV80" i="8"/>
  <c r="CR80" i="8"/>
  <c r="CN80" i="8"/>
  <c r="DU79" i="8"/>
  <c r="DT79" i="8"/>
  <c r="DS79" i="8"/>
  <c r="DD79" i="8"/>
  <c r="CZ79" i="8"/>
  <c r="CV79" i="8"/>
  <c r="CV77" i="8" s="1"/>
  <c r="CV76" i="8" s="1"/>
  <c r="CR79" i="8"/>
  <c r="CR77" i="8" s="1"/>
  <c r="CR76" i="8" s="1"/>
  <c r="CN79" i="8"/>
  <c r="DU78" i="8"/>
  <c r="DT78" i="8"/>
  <c r="DS78" i="8"/>
  <c r="DD78" i="8"/>
  <c r="CZ78" i="8"/>
  <c r="DQ77" i="8"/>
  <c r="DQ76" i="8" s="1"/>
  <c r="DP77" i="8"/>
  <c r="DO77" i="8"/>
  <c r="DO76" i="8" s="1"/>
  <c r="DN77" i="8"/>
  <c r="DN76" i="8" s="1"/>
  <c r="DM77" i="8"/>
  <c r="DM76" i="8" s="1"/>
  <c r="DL77" i="8"/>
  <c r="DL76" i="8" s="1"/>
  <c r="DK77" i="8"/>
  <c r="DK76" i="8" s="1"/>
  <c r="DE77" i="8"/>
  <c r="DE76" i="8" s="1"/>
  <c r="DC77" i="8"/>
  <c r="DC76" i="8" s="1"/>
  <c r="DA77" i="8"/>
  <c r="DA76" i="8" s="1"/>
  <c r="CY77" i="8"/>
  <c r="CW77" i="8"/>
  <c r="CW76" i="8" s="1"/>
  <c r="CU77" i="8"/>
  <c r="CU76" i="8" s="1"/>
  <c r="CT77" i="8"/>
  <c r="CT76" i="8" s="1"/>
  <c r="CS77" i="8"/>
  <c r="CS76" i="8" s="1"/>
  <c r="CQ77" i="8"/>
  <c r="CQ76" i="8" s="1"/>
  <c r="CP77" i="8"/>
  <c r="CP76" i="8" s="1"/>
  <c r="CO77" i="8"/>
  <c r="CO76" i="8" s="1"/>
  <c r="CM77" i="8"/>
  <c r="CL77" i="8"/>
  <c r="CL76" i="8" s="1"/>
  <c r="CK77" i="8"/>
  <c r="CK76" i="8" s="1"/>
  <c r="CJ77" i="8"/>
  <c r="CJ76" i="8" s="1"/>
  <c r="CI77" i="8"/>
  <c r="CI76" i="8" s="1"/>
  <c r="CH77" i="8"/>
  <c r="CH76" i="8" s="1"/>
  <c r="CG77" i="8"/>
  <c r="CG76" i="8" s="1"/>
  <c r="CF77" i="8"/>
  <c r="CF76" i="8" s="1"/>
  <c r="CE77" i="8"/>
  <c r="CE76" i="8" s="1"/>
  <c r="CD77" i="8"/>
  <c r="CD76" i="8" s="1"/>
  <c r="CC77" i="8"/>
  <c r="CC76" i="8" s="1"/>
  <c r="CB77" i="8"/>
  <c r="CB76" i="8" s="1"/>
  <c r="CA77" i="8"/>
  <c r="CA76" i="8" s="1"/>
  <c r="BZ77" i="8"/>
  <c r="BZ76" i="8" s="1"/>
  <c r="BY77" i="8"/>
  <c r="BY76" i="8" s="1"/>
  <c r="BX77" i="8"/>
  <c r="BX76" i="8" s="1"/>
  <c r="AM77" i="8"/>
  <c r="AM76" i="8" s="1"/>
  <c r="AO76" i="8" s="1"/>
  <c r="AB77" i="8"/>
  <c r="AA77" i="8"/>
  <c r="Z77" i="8"/>
  <c r="Y77" i="8"/>
  <c r="X77" i="8"/>
  <c r="DP76" i="8"/>
  <c r="CY76" i="8"/>
  <c r="CM76" i="8"/>
  <c r="AA76" i="8"/>
  <c r="Z76" i="8"/>
  <c r="Y76" i="8"/>
  <c r="X76" i="8"/>
  <c r="W76" i="8"/>
  <c r="V76" i="8"/>
  <c r="DU75" i="8"/>
  <c r="DT75" i="8"/>
  <c r="DS75" i="8"/>
  <c r="DU74" i="8"/>
  <c r="DT74" i="8"/>
  <c r="DS74" i="8"/>
  <c r="DD74" i="8"/>
  <c r="CZ74" i="8"/>
  <c r="CV74" i="8"/>
  <c r="CR74" i="8"/>
  <c r="CN74" i="8"/>
  <c r="DU73" i="8"/>
  <c r="DT73" i="8"/>
  <c r="DS73" i="8"/>
  <c r="DD73" i="8"/>
  <c r="CZ73" i="8"/>
  <c r="CV73" i="8"/>
  <c r="CR73" i="8"/>
  <c r="CN73" i="8"/>
  <c r="DU72" i="8"/>
  <c r="DT72" i="8"/>
  <c r="DS72" i="8"/>
  <c r="DD72" i="8"/>
  <c r="CZ72" i="8"/>
  <c r="CV72" i="8"/>
  <c r="CR72" i="8"/>
  <c r="CN72" i="8"/>
  <c r="DU71" i="8"/>
  <c r="DT71" i="8"/>
  <c r="DS71" i="8"/>
  <c r="DD71" i="8"/>
  <c r="CZ71" i="8"/>
  <c r="CV71" i="8"/>
  <c r="CR71" i="8"/>
  <c r="CN71" i="8"/>
  <c r="DU70" i="8"/>
  <c r="DT70" i="8"/>
  <c r="DS70" i="8"/>
  <c r="DD70" i="8"/>
  <c r="CZ70" i="8"/>
  <c r="CV70" i="8"/>
  <c r="CR70" i="8"/>
  <c r="CN70" i="8"/>
  <c r="DU69" i="8"/>
  <c r="DT69" i="8"/>
  <c r="DS69" i="8"/>
  <c r="DD69" i="8"/>
  <c r="CZ69" i="8"/>
  <c r="CV69" i="8"/>
  <c r="CR69" i="8"/>
  <c r="CN69" i="8"/>
  <c r="DU68" i="8"/>
  <c r="DT68" i="8"/>
  <c r="DS68" i="8"/>
  <c r="DD68" i="8"/>
  <c r="CZ68" i="8"/>
  <c r="CV68" i="8"/>
  <c r="CR68" i="8"/>
  <c r="CN68" i="8"/>
  <c r="DU67" i="8"/>
  <c r="DT67" i="8"/>
  <c r="DS67" i="8"/>
  <c r="DD67" i="8"/>
  <c r="CZ67" i="8"/>
  <c r="CV67" i="8"/>
  <c r="CR67" i="8"/>
  <c r="CN67" i="8"/>
  <c r="DU66" i="8"/>
  <c r="DT66" i="8"/>
  <c r="DS66" i="8"/>
  <c r="DD66" i="8"/>
  <c r="CZ66" i="8"/>
  <c r="CV66" i="8"/>
  <c r="CR66" i="8"/>
  <c r="CN66" i="8"/>
  <c r="DU65" i="8"/>
  <c r="DT65" i="8"/>
  <c r="DS65" i="8"/>
  <c r="DD65" i="8"/>
  <c r="DD64" i="8" s="1"/>
  <c r="CZ65" i="8"/>
  <c r="CZ64" i="8" s="1"/>
  <c r="CV65" i="8"/>
  <c r="CR65" i="8"/>
  <c r="CR64" i="8" s="1"/>
  <c r="CN65" i="8"/>
  <c r="CN64" i="8" s="1"/>
  <c r="DQ64" i="8"/>
  <c r="DP64" i="8"/>
  <c r="DO64" i="8"/>
  <c r="DN64" i="8"/>
  <c r="DM64" i="8"/>
  <c r="DL64" i="8"/>
  <c r="DK64" i="8"/>
  <c r="DE64" i="8"/>
  <c r="DC64" i="8"/>
  <c r="DB64" i="8"/>
  <c r="DA64" i="8"/>
  <c r="CY64" i="8"/>
  <c r="CX64" i="8"/>
  <c r="CW64" i="8"/>
  <c r="CU64" i="8"/>
  <c r="CT64" i="8"/>
  <c r="CS64" i="8"/>
  <c r="CQ64" i="8"/>
  <c r="CP64" i="8"/>
  <c r="CO64" i="8"/>
  <c r="CM64" i="8"/>
  <c r="CL64" i="8"/>
  <c r="CK64" i="8"/>
  <c r="CJ64" i="8"/>
  <c r="CI64" i="8"/>
  <c r="CH64" i="8"/>
  <c r="CG64" i="8"/>
  <c r="CF64" i="8"/>
  <c r="CE64" i="8"/>
  <c r="CD64" i="8"/>
  <c r="CC64" i="8"/>
  <c r="CB64" i="8"/>
  <c r="CA64" i="8"/>
  <c r="BZ64" i="8"/>
  <c r="BY64" i="8"/>
  <c r="BX64" i="8"/>
  <c r="AM64" i="8"/>
  <c r="AB64" i="8"/>
  <c r="AA64" i="8"/>
  <c r="Z64" i="8"/>
  <c r="Y64" i="8"/>
  <c r="X64" i="8"/>
  <c r="DU62" i="8"/>
  <c r="DT62" i="8"/>
  <c r="DS62" i="8"/>
  <c r="DD62" i="8"/>
  <c r="CZ62" i="8"/>
  <c r="CV62" i="8"/>
  <c r="CR62" i="8"/>
  <c r="CN62" i="8"/>
  <c r="DU61" i="8"/>
  <c r="DT61" i="8"/>
  <c r="DS61" i="8"/>
  <c r="DD61" i="8"/>
  <c r="CZ61" i="8"/>
  <c r="CV61" i="8"/>
  <c r="CR61" i="8"/>
  <c r="CN61" i="8"/>
  <c r="DU60" i="8"/>
  <c r="DT60" i="8"/>
  <c r="DS60" i="8"/>
  <c r="DD60" i="8"/>
  <c r="CZ60" i="8"/>
  <c r="CV60" i="8"/>
  <c r="CR60" i="8"/>
  <c r="CN60" i="8"/>
  <c r="DU59" i="8"/>
  <c r="DT59" i="8"/>
  <c r="DS59" i="8"/>
  <c r="DD59" i="8"/>
  <c r="CZ59" i="8"/>
  <c r="CV59" i="8"/>
  <c r="CR59" i="8"/>
  <c r="CN59" i="8"/>
  <c r="DU58" i="8"/>
  <c r="DT58" i="8"/>
  <c r="DS58" i="8"/>
  <c r="DD58" i="8"/>
  <c r="CZ58" i="8"/>
  <c r="CV58" i="8"/>
  <c r="CR58" i="8"/>
  <c r="CN58" i="8"/>
  <c r="DU57" i="8"/>
  <c r="DT57" i="8"/>
  <c r="DS57" i="8"/>
  <c r="DD57" i="8"/>
  <c r="CZ57" i="8"/>
  <c r="CV57" i="8"/>
  <c r="CR57" i="8"/>
  <c r="CN57" i="8"/>
  <c r="DU56" i="8"/>
  <c r="DT56" i="8"/>
  <c r="DS56" i="8"/>
  <c r="DD56" i="8"/>
  <c r="CZ56" i="8"/>
  <c r="CV56" i="8"/>
  <c r="CR56" i="8"/>
  <c r="CN56" i="8"/>
  <c r="DU55" i="8"/>
  <c r="DT55" i="8"/>
  <c r="DS55" i="8"/>
  <c r="DD55" i="8"/>
  <c r="CZ55" i="8"/>
  <c r="CV55" i="8"/>
  <c r="CR55" i="8"/>
  <c r="CN55" i="8"/>
  <c r="DU54" i="8"/>
  <c r="DT54" i="8"/>
  <c r="DS54" i="8"/>
  <c r="DD54" i="8"/>
  <c r="CZ54" i="8"/>
  <c r="CV54" i="8"/>
  <c r="CR54" i="8"/>
  <c r="CN54" i="8"/>
  <c r="DU53" i="8"/>
  <c r="DT53" i="8"/>
  <c r="DS53" i="8"/>
  <c r="DD53" i="8"/>
  <c r="CZ53" i="8"/>
  <c r="CV53" i="8"/>
  <c r="CV52" i="8" s="1"/>
  <c r="CR53" i="8"/>
  <c r="CR52" i="8" s="1"/>
  <c r="CN53" i="8"/>
  <c r="CN52" i="8" s="1"/>
  <c r="DQ52" i="8"/>
  <c r="DP52" i="8"/>
  <c r="DO52" i="8"/>
  <c r="DN52" i="8"/>
  <c r="DM52" i="8"/>
  <c r="DL52" i="8"/>
  <c r="DK52" i="8"/>
  <c r="DE52" i="8"/>
  <c r="DC52" i="8"/>
  <c r="DB52" i="8"/>
  <c r="DA52" i="8"/>
  <c r="CY52" i="8"/>
  <c r="CX52" i="8"/>
  <c r="CW52" i="8"/>
  <c r="CU52" i="8"/>
  <c r="CT52" i="8"/>
  <c r="CS52" i="8"/>
  <c r="CQ52" i="8"/>
  <c r="CP52" i="8"/>
  <c r="CO52" i="8"/>
  <c r="CM52" i="8"/>
  <c r="CL52" i="8"/>
  <c r="CK52" i="8"/>
  <c r="CJ52" i="8"/>
  <c r="CI52" i="8"/>
  <c r="CH52" i="8"/>
  <c r="CG52" i="8"/>
  <c r="CF52" i="8"/>
  <c r="CE52" i="8"/>
  <c r="CD52" i="8"/>
  <c r="CC52" i="8"/>
  <c r="CB52" i="8"/>
  <c r="CA52" i="8"/>
  <c r="BZ52" i="8"/>
  <c r="BY52" i="8"/>
  <c r="BX52" i="8"/>
  <c r="AM52" i="8"/>
  <c r="AB52" i="8"/>
  <c r="AA52" i="8"/>
  <c r="Z52" i="8"/>
  <c r="Y52" i="8"/>
  <c r="X52" i="8"/>
  <c r="DU51" i="8"/>
  <c r="DT51" i="8"/>
  <c r="DS51" i="8"/>
  <c r="DU50" i="8"/>
  <c r="DT50" i="8"/>
  <c r="DS50" i="8"/>
  <c r="DD50" i="8"/>
  <c r="CZ50" i="8"/>
  <c r="CV50" i="8"/>
  <c r="CR50" i="8"/>
  <c r="CN50" i="8"/>
  <c r="DU49" i="8"/>
  <c r="DT49" i="8"/>
  <c r="DS49" i="8"/>
  <c r="DD49" i="8"/>
  <c r="CZ49" i="8"/>
  <c r="CV49" i="8"/>
  <c r="CR49" i="8"/>
  <c r="CN49" i="8"/>
  <c r="DU48" i="8"/>
  <c r="DT48" i="8"/>
  <c r="DS48" i="8"/>
  <c r="DD48" i="8"/>
  <c r="CZ48" i="8"/>
  <c r="CV48" i="8"/>
  <c r="CR48" i="8"/>
  <c r="CN48" i="8"/>
  <c r="DU47" i="8"/>
  <c r="DT47" i="8"/>
  <c r="DS47" i="8"/>
  <c r="DD47" i="8"/>
  <c r="CZ47" i="8"/>
  <c r="CV47" i="8"/>
  <c r="CR47" i="8"/>
  <c r="CN47" i="8"/>
  <c r="DU46" i="8"/>
  <c r="DT46" i="8"/>
  <c r="DS46" i="8"/>
  <c r="DD46" i="8"/>
  <c r="CZ46" i="8"/>
  <c r="CV46" i="8"/>
  <c r="CR46" i="8"/>
  <c r="CN46" i="8"/>
  <c r="DU45" i="8"/>
  <c r="DT45" i="8"/>
  <c r="DS45" i="8"/>
  <c r="DD45" i="8"/>
  <c r="CZ45" i="8"/>
  <c r="CV45" i="8"/>
  <c r="CR45" i="8"/>
  <c r="CN45" i="8"/>
  <c r="DU44" i="8"/>
  <c r="DT44" i="8"/>
  <c r="DS44" i="8"/>
  <c r="DD44" i="8"/>
  <c r="CZ44" i="8"/>
  <c r="CV44" i="8"/>
  <c r="CR44" i="8"/>
  <c r="CN44" i="8"/>
  <c r="DU43" i="8"/>
  <c r="DT43" i="8"/>
  <c r="DS43" i="8"/>
  <c r="DD43" i="8"/>
  <c r="CZ43" i="8"/>
  <c r="CV43" i="8"/>
  <c r="CR43" i="8"/>
  <c r="CN43" i="8"/>
  <c r="DU42" i="8"/>
  <c r="DT42" i="8"/>
  <c r="DS42" i="8"/>
  <c r="DD42" i="8"/>
  <c r="DD41" i="8" s="1"/>
  <c r="CZ42" i="8"/>
  <c r="CZ41" i="8" s="1"/>
  <c r="CV42" i="8"/>
  <c r="CV41" i="8" s="1"/>
  <c r="CR42" i="8"/>
  <c r="CR41" i="8" s="1"/>
  <c r="CN42" i="8"/>
  <c r="CN41" i="8" s="1"/>
  <c r="DQ41" i="8"/>
  <c r="DP41" i="8"/>
  <c r="DO41" i="8"/>
  <c r="DN41" i="8"/>
  <c r="DM41" i="8"/>
  <c r="DL41" i="8"/>
  <c r="DK41" i="8"/>
  <c r="DE41" i="8"/>
  <c r="DC41" i="8"/>
  <c r="DB41" i="8"/>
  <c r="DA41" i="8"/>
  <c r="CY41" i="8"/>
  <c r="CX41" i="8"/>
  <c r="CW41" i="8"/>
  <c r="CU41" i="8"/>
  <c r="CT41" i="8"/>
  <c r="CS41" i="8"/>
  <c r="CQ41" i="8"/>
  <c r="CP41" i="8"/>
  <c r="CO41" i="8"/>
  <c r="CM41" i="8"/>
  <c r="CL41" i="8"/>
  <c r="CK41" i="8"/>
  <c r="CJ41" i="8"/>
  <c r="CI41" i="8"/>
  <c r="CH41" i="8"/>
  <c r="CG41" i="8"/>
  <c r="CF41" i="8"/>
  <c r="CE41" i="8"/>
  <c r="CD41" i="8"/>
  <c r="CC41" i="8"/>
  <c r="CB41" i="8"/>
  <c r="CA41" i="8"/>
  <c r="BZ41" i="8"/>
  <c r="BY41" i="8"/>
  <c r="BX41" i="8"/>
  <c r="AM41" i="8"/>
  <c r="AB41" i="8"/>
  <c r="AA41" i="8"/>
  <c r="Z41" i="8"/>
  <c r="Y41" i="8"/>
  <c r="X41" i="8"/>
  <c r="DU40" i="8"/>
  <c r="DT40" i="8"/>
  <c r="DS40" i="8"/>
  <c r="DU39" i="8"/>
  <c r="DT39" i="8"/>
  <c r="DS39" i="8"/>
  <c r="DD39" i="8"/>
  <c r="CZ39" i="8"/>
  <c r="CV39" i="8"/>
  <c r="CR39" i="8"/>
  <c r="CN39" i="8"/>
  <c r="DU38" i="8"/>
  <c r="DT38" i="8"/>
  <c r="DS38" i="8"/>
  <c r="DD38" i="8"/>
  <c r="CZ38" i="8"/>
  <c r="CV38" i="8"/>
  <c r="CR38" i="8"/>
  <c r="CN38" i="8"/>
  <c r="DU37" i="8"/>
  <c r="DT37" i="8"/>
  <c r="DS37" i="8"/>
  <c r="DD37" i="8"/>
  <c r="CZ37" i="8"/>
  <c r="CV37" i="8"/>
  <c r="CR37" i="8"/>
  <c r="CN37" i="8"/>
  <c r="DU36" i="8"/>
  <c r="DT36" i="8"/>
  <c r="DS36" i="8"/>
  <c r="DD36" i="8"/>
  <c r="CZ36" i="8"/>
  <c r="CV36" i="8"/>
  <c r="CR36" i="8"/>
  <c r="CN36" i="8"/>
  <c r="DU35" i="8"/>
  <c r="DT35" i="8"/>
  <c r="DS35" i="8"/>
  <c r="DD35" i="8"/>
  <c r="CZ35" i="8"/>
  <c r="CV35" i="8"/>
  <c r="CR35" i="8"/>
  <c r="CN35" i="8"/>
  <c r="DU34" i="8"/>
  <c r="DT34" i="8"/>
  <c r="DS34" i="8"/>
  <c r="DD34" i="8"/>
  <c r="CZ34" i="8"/>
  <c r="CV34" i="8"/>
  <c r="CR34" i="8"/>
  <c r="CN34" i="8"/>
  <c r="DU33" i="8"/>
  <c r="DT33" i="8"/>
  <c r="DS33" i="8"/>
  <c r="DD33" i="8"/>
  <c r="CZ33" i="8"/>
  <c r="CV33" i="8"/>
  <c r="CR33" i="8"/>
  <c r="CN33" i="8"/>
  <c r="DU32" i="8"/>
  <c r="DT32" i="8"/>
  <c r="DS32" i="8"/>
  <c r="DD32" i="8"/>
  <c r="CZ32" i="8"/>
  <c r="CV32" i="8"/>
  <c r="CR32" i="8"/>
  <c r="CN32" i="8"/>
  <c r="DU31" i="8"/>
  <c r="DT31" i="8"/>
  <c r="DS31" i="8"/>
  <c r="DD31" i="8"/>
  <c r="CZ31" i="8"/>
  <c r="CV31" i="8"/>
  <c r="CR31" i="8"/>
  <c r="CN31" i="8"/>
  <c r="DU30" i="8"/>
  <c r="DT30" i="8"/>
  <c r="DS30" i="8"/>
  <c r="DD30" i="8"/>
  <c r="CZ30" i="8"/>
  <c r="CV30" i="8"/>
  <c r="CR30" i="8"/>
  <c r="CN30" i="8"/>
  <c r="DU29" i="8"/>
  <c r="DT29" i="8"/>
  <c r="DS29" i="8"/>
  <c r="DD29" i="8"/>
  <c r="DD28" i="8" s="1"/>
  <c r="CZ29" i="8"/>
  <c r="CZ28" i="8" s="1"/>
  <c r="CV29" i="8"/>
  <c r="CV28" i="8" s="1"/>
  <c r="CR29" i="8"/>
  <c r="CR28" i="8" s="1"/>
  <c r="CN29" i="8"/>
  <c r="CN28" i="8" s="1"/>
  <c r="DQ28" i="8"/>
  <c r="DP28" i="8"/>
  <c r="DO28" i="8"/>
  <c r="DN28" i="8"/>
  <c r="DM28" i="8"/>
  <c r="DL28" i="8"/>
  <c r="DK28" i="8"/>
  <c r="DE28" i="8"/>
  <c r="DC28" i="8"/>
  <c r="DB28" i="8"/>
  <c r="DA28" i="8"/>
  <c r="CY28" i="8"/>
  <c r="CX28" i="8"/>
  <c r="CW28" i="8"/>
  <c r="CU28" i="8"/>
  <c r="CT28" i="8"/>
  <c r="CS28" i="8"/>
  <c r="CQ28" i="8"/>
  <c r="CP28" i="8"/>
  <c r="CO28" i="8"/>
  <c r="CM28" i="8"/>
  <c r="CL28" i="8"/>
  <c r="CK28" i="8"/>
  <c r="CJ28" i="8"/>
  <c r="CI28" i="8"/>
  <c r="CH28" i="8"/>
  <c r="CG28" i="8"/>
  <c r="CF28" i="8"/>
  <c r="CE28" i="8"/>
  <c r="CD28" i="8"/>
  <c r="CC28" i="8"/>
  <c r="CB28" i="8"/>
  <c r="CA28" i="8"/>
  <c r="BZ28" i="8"/>
  <c r="BY28" i="8"/>
  <c r="BX28" i="8"/>
  <c r="AM28" i="8"/>
  <c r="AB28" i="8"/>
  <c r="AA28" i="8"/>
  <c r="Z28" i="8"/>
  <c r="Y28" i="8"/>
  <c r="X28" i="8"/>
  <c r="DU26" i="8"/>
  <c r="DT26" i="8"/>
  <c r="DS26" i="8"/>
  <c r="DD26" i="8"/>
  <c r="CZ26" i="8"/>
  <c r="CV26" i="8"/>
  <c r="CR26" i="8"/>
  <c r="CN26" i="8"/>
  <c r="DU25" i="8"/>
  <c r="DT25" i="8"/>
  <c r="DS25" i="8"/>
  <c r="DD25" i="8"/>
  <c r="CZ25" i="8"/>
  <c r="CV25" i="8"/>
  <c r="CR25" i="8"/>
  <c r="CN25" i="8"/>
  <c r="DU24" i="8"/>
  <c r="DT24" i="8"/>
  <c r="DS24" i="8"/>
  <c r="DD24" i="8"/>
  <c r="CZ24" i="8"/>
  <c r="CV24" i="8"/>
  <c r="CR24" i="8"/>
  <c r="CN24" i="8"/>
  <c r="DU23" i="8"/>
  <c r="DT23" i="8"/>
  <c r="DS23" i="8"/>
  <c r="DD23" i="8"/>
  <c r="CZ23" i="8"/>
  <c r="CV23" i="8"/>
  <c r="CR23" i="8"/>
  <c r="CN23" i="8"/>
  <c r="DU22" i="8"/>
  <c r="DT22" i="8"/>
  <c r="DS22" i="8"/>
  <c r="DD22" i="8"/>
  <c r="CZ22" i="8"/>
  <c r="CV22" i="8"/>
  <c r="CR22" i="8"/>
  <c r="CN22" i="8"/>
  <c r="DU21" i="8"/>
  <c r="DT21" i="8"/>
  <c r="DS21" i="8"/>
  <c r="DD21" i="8"/>
  <c r="CZ21" i="8"/>
  <c r="CV21" i="8"/>
  <c r="CR21" i="8"/>
  <c r="CN21" i="8"/>
  <c r="DU20" i="8"/>
  <c r="DT20" i="8"/>
  <c r="DS20" i="8"/>
  <c r="DD20" i="8"/>
  <c r="CZ20" i="8"/>
  <c r="CV20" i="8"/>
  <c r="CR20" i="8"/>
  <c r="CN20" i="8"/>
  <c r="DU19" i="8"/>
  <c r="DT19" i="8"/>
  <c r="DS19" i="8"/>
  <c r="DD19" i="8"/>
  <c r="CZ19" i="8"/>
  <c r="CV19" i="8"/>
  <c r="CR19" i="8"/>
  <c r="CN19" i="8"/>
  <c r="DU18" i="8"/>
  <c r="DT18" i="8"/>
  <c r="DS18" i="8"/>
  <c r="DD18" i="8"/>
  <c r="CZ18" i="8"/>
  <c r="CV18" i="8"/>
  <c r="CR18" i="8"/>
  <c r="CN18" i="8"/>
  <c r="DU17" i="8"/>
  <c r="DT17" i="8"/>
  <c r="DS17" i="8"/>
  <c r="DD17" i="8"/>
  <c r="CZ17" i="8"/>
  <c r="CV17" i="8"/>
  <c r="CR17" i="8"/>
  <c r="CN17" i="8"/>
  <c r="DU16" i="8"/>
  <c r="DT16" i="8"/>
  <c r="DS16" i="8"/>
  <c r="DD16" i="8"/>
  <c r="CZ16" i="8"/>
  <c r="CV16" i="8"/>
  <c r="CR16" i="8"/>
  <c r="CN16" i="8"/>
  <c r="DU15" i="8"/>
  <c r="DT15" i="8"/>
  <c r="DS15" i="8"/>
  <c r="DD15" i="8"/>
  <c r="DD14" i="8" s="1"/>
  <c r="CZ15" i="8"/>
  <c r="CZ14" i="8" s="1"/>
  <c r="CV15" i="8"/>
  <c r="CV14" i="8" s="1"/>
  <c r="CR15" i="8"/>
  <c r="CR14" i="8" s="1"/>
  <c r="CN15" i="8"/>
  <c r="CN14" i="8" s="1"/>
  <c r="DQ14" i="8"/>
  <c r="DP14" i="8"/>
  <c r="DO14" i="8"/>
  <c r="DN14" i="8"/>
  <c r="DM14" i="8"/>
  <c r="DL14" i="8"/>
  <c r="DK14" i="8"/>
  <c r="DE14" i="8"/>
  <c r="DC14" i="8"/>
  <c r="DB14" i="8"/>
  <c r="DA14" i="8"/>
  <c r="CY14" i="8"/>
  <c r="CX14" i="8"/>
  <c r="CW14" i="8"/>
  <c r="CU14" i="8"/>
  <c r="CT14" i="8"/>
  <c r="CS14" i="8"/>
  <c r="CQ14" i="8"/>
  <c r="CP14" i="8"/>
  <c r="CO14" i="8"/>
  <c r="CM14" i="8"/>
  <c r="CL14" i="8"/>
  <c r="CK14" i="8"/>
  <c r="CJ14" i="8"/>
  <c r="CI14" i="8"/>
  <c r="CH14" i="8"/>
  <c r="CG14" i="8"/>
  <c r="CF14" i="8"/>
  <c r="CE14" i="8"/>
  <c r="CD14" i="8"/>
  <c r="CC14" i="8"/>
  <c r="CB14" i="8"/>
  <c r="CA14" i="8"/>
  <c r="BZ14" i="8"/>
  <c r="BY14" i="8"/>
  <c r="BX14" i="8"/>
  <c r="AM14" i="8"/>
  <c r="AB14" i="8"/>
  <c r="AA14" i="8"/>
  <c r="Z14" i="8"/>
  <c r="Y14" i="8"/>
  <c r="X14" i="8"/>
  <c r="DU13" i="8"/>
  <c r="DT13" i="8"/>
  <c r="DS13" i="8"/>
  <c r="DU12" i="8"/>
  <c r="DT12" i="8"/>
  <c r="DS12" i="8"/>
  <c r="CV12" i="8"/>
  <c r="CR12" i="8"/>
  <c r="CN12" i="8"/>
  <c r="DU11" i="8"/>
  <c r="DT11" i="8"/>
  <c r="DS11" i="8"/>
  <c r="DD11" i="8"/>
  <c r="CZ11" i="8"/>
  <c r="CV11" i="8"/>
  <c r="CR11" i="8"/>
  <c r="CN11" i="8"/>
  <c r="DU10" i="8"/>
  <c r="DT10" i="8"/>
  <c r="DS10" i="8"/>
  <c r="DD10" i="8"/>
  <c r="CZ10" i="8"/>
  <c r="CV10" i="8"/>
  <c r="CR10" i="8"/>
  <c r="CN10" i="8"/>
  <c r="DU9" i="8"/>
  <c r="DT9" i="8"/>
  <c r="DS9" i="8"/>
  <c r="DD9" i="8"/>
  <c r="CZ9" i="8"/>
  <c r="CV9" i="8"/>
  <c r="CR9" i="8"/>
  <c r="CN9" i="8"/>
  <c r="DU8" i="8"/>
  <c r="DT8" i="8"/>
  <c r="DS8" i="8"/>
  <c r="DD8" i="8"/>
  <c r="CZ8" i="8"/>
  <c r="CV8" i="8"/>
  <c r="CR8" i="8"/>
  <c r="CN8" i="8"/>
  <c r="DU7" i="8"/>
  <c r="DT7" i="8"/>
  <c r="DS7" i="8"/>
  <c r="DD7" i="8"/>
  <c r="CZ7" i="8"/>
  <c r="CV7" i="8"/>
  <c r="CR7" i="8"/>
  <c r="CN7" i="8"/>
  <c r="DU6" i="8"/>
  <c r="DT6" i="8"/>
  <c r="DS6" i="8"/>
  <c r="DD6" i="8"/>
  <c r="CZ6" i="8"/>
  <c r="CV6" i="8"/>
  <c r="CR6" i="8"/>
  <c r="CN6" i="8"/>
  <c r="DU5" i="8"/>
  <c r="DT5" i="8"/>
  <c r="DS5" i="8"/>
  <c r="DD5" i="8"/>
  <c r="CZ5" i="8"/>
  <c r="CV5" i="8"/>
  <c r="CR5" i="8"/>
  <c r="CN5" i="8"/>
  <c r="DU4" i="8"/>
  <c r="DT4" i="8"/>
  <c r="DS4" i="8"/>
  <c r="DD4" i="8"/>
  <c r="CZ4" i="8"/>
  <c r="CV4" i="8"/>
  <c r="CR4" i="8"/>
  <c r="CN4" i="8"/>
  <c r="DU3" i="8"/>
  <c r="DT3" i="8"/>
  <c r="DS3" i="8"/>
  <c r="DD3" i="8"/>
  <c r="DD2" i="8" s="1"/>
  <c r="CZ3" i="8"/>
  <c r="CZ2" i="8" s="1"/>
  <c r="CV3" i="8"/>
  <c r="CV2" i="8" s="1"/>
  <c r="CR3" i="8"/>
  <c r="CR2" i="8" s="1"/>
  <c r="CN3" i="8"/>
  <c r="CN2" i="8" s="1"/>
  <c r="DQ2" i="8"/>
  <c r="DP2" i="8"/>
  <c r="DO2" i="8"/>
  <c r="DN2" i="8"/>
  <c r="DM2" i="8"/>
  <c r="DL2" i="8"/>
  <c r="DK2" i="8"/>
  <c r="DE2" i="8"/>
  <c r="DC2" i="8"/>
  <c r="DB2" i="8"/>
  <c r="DA2" i="8"/>
  <c r="CY2" i="8"/>
  <c r="CX2" i="8"/>
  <c r="CW2" i="8"/>
  <c r="CU2" i="8"/>
  <c r="CT2" i="8"/>
  <c r="CS2" i="8"/>
  <c r="CQ2" i="8"/>
  <c r="CP2" i="8"/>
  <c r="CO2" i="8"/>
  <c r="CM2" i="8"/>
  <c r="CL2" i="8"/>
  <c r="CK2" i="8"/>
  <c r="CJ2" i="8"/>
  <c r="CI2" i="8"/>
  <c r="CH2" i="8"/>
  <c r="CG2" i="8"/>
  <c r="CF2" i="8"/>
  <c r="CE2" i="8"/>
  <c r="CD2" i="8"/>
  <c r="CC2" i="8"/>
  <c r="CB2" i="8"/>
  <c r="CA2" i="8"/>
  <c r="BZ2" i="8"/>
  <c r="BY2" i="8"/>
  <c r="BX2" i="8"/>
  <c r="AM2" i="8"/>
  <c r="AB2" i="8"/>
  <c r="AA2" i="8"/>
  <c r="Z2" i="8"/>
  <c r="Y2" i="8"/>
  <c r="X2" i="8"/>
  <c r="B27" i="1"/>
  <c r="C6" i="1"/>
  <c r="E41" i="1"/>
  <c r="CZ52" i="8" l="1"/>
  <c r="CV64" i="8"/>
  <c r="DD52" i="8"/>
  <c r="AB76" i="8"/>
  <c r="DS2" i="8"/>
  <c r="AC14" i="8"/>
  <c r="AC2" i="8"/>
  <c r="DS14" i="8"/>
  <c r="DT14" i="8"/>
  <c r="DU14" i="8"/>
  <c r="AC64" i="8"/>
  <c r="AC28" i="8"/>
  <c r="DS64" i="8"/>
  <c r="DT64" i="8"/>
  <c r="DU64" i="8"/>
  <c r="AC76" i="8"/>
  <c r="AC77" i="8"/>
  <c r="DB77" i="8"/>
  <c r="DB76" i="8" s="1"/>
  <c r="DS77" i="8"/>
  <c r="DT77" i="8"/>
  <c r="DU77" i="8"/>
  <c r="DT2" i="8"/>
  <c r="DU2" i="8"/>
  <c r="CZ77" i="8"/>
  <c r="CZ76" i="8" s="1"/>
  <c r="DS28" i="8"/>
  <c r="DT28" i="8"/>
  <c r="DU28" i="8"/>
  <c r="AC41" i="8"/>
  <c r="DS41" i="8"/>
  <c r="DT41" i="8"/>
  <c r="DU41" i="8"/>
  <c r="AC52" i="8"/>
  <c r="DS52" i="8"/>
  <c r="DT52" i="8"/>
  <c r="DU52" i="8"/>
  <c r="DS76" i="8"/>
  <c r="DT76" i="8"/>
  <c r="DU76" i="8"/>
  <c r="CX77" i="8"/>
  <c r="CX76" i="8" s="1"/>
  <c r="DD77" i="8"/>
  <c r="DD76" i="8" s="1"/>
  <c r="H3" i="1"/>
  <c r="H4" i="1"/>
  <c r="H5" i="1"/>
  <c r="H6" i="1"/>
  <c r="H7" i="1"/>
  <c r="H8" i="1"/>
  <c r="H9" i="1"/>
  <c r="H10" i="1"/>
  <c r="H19" i="1" s="1"/>
  <c r="H11" i="1"/>
  <c r="H12" i="1"/>
  <c r="H13" i="1"/>
  <c r="H14" i="1"/>
  <c r="H15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Sajib Sarker 03395</author>
  </authors>
  <commentList>
    <comment ref="E17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Sajib Sarker 03395:</t>
        </r>
        <r>
          <rPr>
            <sz val="9"/>
            <color indexed="81"/>
            <rFont val="Tahoma"/>
            <family val="2"/>
          </rPr>
          <t xml:space="preserve">
WRONG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Abul Bashar Miah</author>
  </authors>
  <commentList>
    <comment ref="U44" authorId="0" shapeId="0" xr:uid="{00000000-0006-0000-0A00-000001000000}">
      <text>
        <r>
          <rPr>
            <sz val="8"/>
            <color indexed="81"/>
            <rFont val="Tahoma"/>
            <family val="2"/>
          </rPr>
          <t>Dholpur from AB to G from May'16</t>
        </r>
      </text>
    </comment>
    <comment ref="BV44" authorId="0" shapeId="0" xr:uid="{00000000-0006-0000-0A00-000002000000}">
      <text>
        <r>
          <rPr>
            <sz val="8"/>
            <color indexed="81"/>
            <rFont val="Tahoma"/>
            <family val="2"/>
          </rPr>
          <t>Dholpur from AB to G from May'16</t>
        </r>
      </text>
    </comment>
    <comment ref="R52" authorId="0" shapeId="0" xr:uid="{00000000-0006-0000-0A00-000003000000}">
      <text>
        <r>
          <rPr>
            <sz val="8"/>
            <color indexed="81"/>
            <rFont val="Tahoma"/>
            <family val="2"/>
          </rPr>
          <t>RSM TO AM-II FROM NOV'16</t>
        </r>
      </text>
    </comment>
    <comment ref="U59" authorId="0" shapeId="0" xr:uid="{00000000-0006-0000-0A00-000004000000}">
      <text>
        <r>
          <rPr>
            <sz val="8"/>
            <color indexed="81"/>
            <rFont val="Tahoma"/>
            <family val="2"/>
          </rPr>
          <t>From Dholpur B to North Jatrabari on May'16</t>
        </r>
      </text>
    </comment>
    <comment ref="BV59" authorId="0" shapeId="0" xr:uid="{00000000-0006-0000-0A00-000005000000}">
      <text>
        <r>
          <rPr>
            <sz val="8"/>
            <color indexed="81"/>
            <rFont val="Tahoma"/>
            <family val="2"/>
          </rPr>
          <t>From Dholpur B to North Jatrabari on May'16</t>
        </r>
      </text>
    </comment>
    <comment ref="U73" authorId="0" shapeId="0" xr:uid="{00000000-0006-0000-0A00-000006000000}">
      <text>
        <r>
          <rPr>
            <sz val="8"/>
            <color indexed="81"/>
            <rFont val="Tahoma"/>
            <family val="2"/>
          </rPr>
          <t xml:space="preserve">NAME CHANGE
</t>
        </r>
      </text>
    </comment>
    <comment ref="BV73" authorId="0" shapeId="0" xr:uid="{00000000-0006-0000-0A00-000007000000}">
      <text>
        <r>
          <rPr>
            <sz val="8"/>
            <color indexed="81"/>
            <rFont val="Tahoma"/>
            <family val="2"/>
          </rPr>
          <t xml:space="preserve">NAME CHANGE
</t>
        </r>
      </text>
    </comment>
    <comment ref="U81" authorId="0" shapeId="0" xr:uid="{00000000-0006-0000-0A00-000008000000}">
      <text>
        <r>
          <rPr>
            <sz val="8"/>
            <color indexed="81"/>
            <rFont val="Tahoma"/>
            <family val="2"/>
          </rPr>
          <t>Mr. Hafiz  North Jatrabari to Gobindapur from May'16 NEW BASE</t>
        </r>
      </text>
    </comment>
    <comment ref="BV81" authorId="0" shapeId="0" xr:uid="{00000000-0006-0000-0A00-000009000000}">
      <text>
        <r>
          <rPr>
            <sz val="8"/>
            <color indexed="81"/>
            <rFont val="Tahoma"/>
            <family val="2"/>
          </rPr>
          <t>Mr. Hafiz  North Jatrabari to Gobindapur from May'16 NEW BASE</t>
        </r>
      </text>
    </comment>
    <comment ref="U87" authorId="0" shapeId="0" xr:uid="{00000000-0006-0000-0A00-00000A000000}">
      <text>
        <r>
          <rPr>
            <sz val="8"/>
            <color indexed="81"/>
            <rFont val="Tahoma"/>
            <family val="2"/>
          </rPr>
          <t>Base name changed (icmh matuail)</t>
        </r>
      </text>
    </comment>
    <comment ref="U88" authorId="0" shapeId="0" xr:uid="{00000000-0006-0000-0A00-00000B000000}">
      <text>
        <r>
          <rPr>
            <sz val="8"/>
            <color indexed="81"/>
            <rFont val="Tahoma"/>
            <family val="2"/>
          </rPr>
          <t>Base name changed (ma o shishu)</t>
        </r>
      </text>
    </comment>
  </commentList>
</comments>
</file>

<file path=xl/sharedStrings.xml><?xml version="1.0" encoding="utf-8"?>
<sst xmlns="http://schemas.openxmlformats.org/spreadsheetml/2006/main" count="2451" uniqueCount="829">
  <si>
    <t>Md. Rubel Miah</t>
  </si>
  <si>
    <t>Manager</t>
  </si>
  <si>
    <t>01-JAN-12</t>
  </si>
  <si>
    <t>Quazi Shahtab Hossain</t>
  </si>
  <si>
    <t>01-DEC-97</t>
  </si>
  <si>
    <t>Mr. Parimal Kumar Kundu</t>
  </si>
  <si>
    <t>01-APR-99</t>
  </si>
  <si>
    <t>Md. Kamal Uddin</t>
  </si>
  <si>
    <t>Senior Executive</t>
  </si>
  <si>
    <t>10-SEP-97</t>
  </si>
  <si>
    <t>Md. Jabed Hossain</t>
  </si>
  <si>
    <t>24-JUL-00</t>
  </si>
  <si>
    <t>Mohammad Habibur Rahman</t>
  </si>
  <si>
    <t>01-JUN-05</t>
  </si>
  <si>
    <t>01-MAR-07</t>
  </si>
  <si>
    <t>Mafizur Rahaman</t>
  </si>
  <si>
    <t>02-DEC-07</t>
  </si>
  <si>
    <t>22-MAY-11</t>
  </si>
  <si>
    <t>16-MAR-10</t>
  </si>
  <si>
    <t>Md. Shamsuzzaman</t>
  </si>
  <si>
    <t>20-MAR-11</t>
  </si>
  <si>
    <t>Shuesanquar Kumar Paul</t>
  </si>
  <si>
    <t>Executive</t>
  </si>
  <si>
    <t>27-AUG-12</t>
  </si>
  <si>
    <t>Md. Zahangir Hossain</t>
  </si>
  <si>
    <t>02-MAY-13</t>
  </si>
  <si>
    <t>Md. Saiful Islam</t>
  </si>
  <si>
    <t>Assistant - I</t>
  </si>
  <si>
    <t>09-MAY-12</t>
  </si>
  <si>
    <t>Head of Audit</t>
  </si>
  <si>
    <t>Assist man</t>
  </si>
  <si>
    <t>ID</t>
  </si>
  <si>
    <t>Name</t>
  </si>
  <si>
    <t>Designation</t>
  </si>
  <si>
    <t>Division</t>
  </si>
  <si>
    <t>date</t>
  </si>
  <si>
    <t>Amount</t>
  </si>
  <si>
    <t>Abu Sayed Md. Riton Rouf ORIG</t>
  </si>
  <si>
    <t>Sajib Sarker ORIG</t>
  </si>
  <si>
    <t>Internal Audit</t>
  </si>
  <si>
    <t>Sushanta  Kumar Roy</t>
  </si>
  <si>
    <t>SC</t>
  </si>
  <si>
    <t>SC_CD</t>
  </si>
  <si>
    <t>GM-NM</t>
  </si>
  <si>
    <t>GM_ID</t>
  </si>
  <si>
    <t>SM_NM</t>
  </si>
  <si>
    <t>SM_ID</t>
  </si>
  <si>
    <t>ASM_NM</t>
  </si>
  <si>
    <t>ASM_ID</t>
  </si>
  <si>
    <t>RSM_NM</t>
  </si>
  <si>
    <t>RSM_ID</t>
  </si>
  <si>
    <t>RSM_BS_CD</t>
  </si>
  <si>
    <t>FM_NM</t>
  </si>
  <si>
    <t>FM_ID</t>
  </si>
  <si>
    <t>FM_BS_CD</t>
  </si>
  <si>
    <t>DIV</t>
  </si>
  <si>
    <t>RM CODE</t>
  </si>
  <si>
    <t>ID NO.</t>
  </si>
  <si>
    <t>Employee</t>
  </si>
  <si>
    <t>Desig.</t>
  </si>
  <si>
    <t>FPBS_CD</t>
  </si>
  <si>
    <t>Non-C</t>
  </si>
  <si>
    <t>AM</t>
  </si>
  <si>
    <t>A-FP</t>
  </si>
  <si>
    <t>B-FP</t>
  </si>
  <si>
    <t>G-FP</t>
  </si>
  <si>
    <t>C-FP</t>
  </si>
  <si>
    <t>TOTAL FP
/GROUP</t>
  </si>
  <si>
    <t>Covered by 
Other C-Team FP &amp; no. of markets</t>
  </si>
  <si>
    <t>URM</t>
  </si>
  <si>
    <t>EYE</t>
  </si>
  <si>
    <t>CT Allownce</t>
  </si>
  <si>
    <t>Cell No.</t>
  </si>
  <si>
    <t>AM E-MAIL ADDRESS</t>
  </si>
  <si>
    <t>What I 
want?</t>
  </si>
  <si>
    <t>AB/G Base wise 
No. of C-Team Doctors</t>
  </si>
  <si>
    <t>Monthly 
Target 2017 (MAY)</t>
  </si>
  <si>
    <t>JUNE'16</t>
  </si>
  <si>
    <t>JULY'16</t>
  </si>
  <si>
    <t>AUG'16</t>
  </si>
  <si>
    <t>Sept'16</t>
  </si>
  <si>
    <t>Oct'16</t>
  </si>
  <si>
    <t>Nov'16</t>
  </si>
  <si>
    <t>DEC'16</t>
  </si>
  <si>
    <t>Jan'17</t>
  </si>
  <si>
    <t>Feb.17</t>
  </si>
  <si>
    <t>March'17</t>
  </si>
  <si>
    <t>April'17</t>
  </si>
  <si>
    <t>May'17</t>
  </si>
  <si>
    <t>March'16</t>
  </si>
  <si>
    <t>April'16</t>
  </si>
  <si>
    <t>May'16</t>
  </si>
  <si>
    <t>TARGET-JAN'16</t>
  </si>
  <si>
    <t>SALE - JAN'16</t>
  </si>
  <si>
    <t>TARGET-FEB'16</t>
  </si>
  <si>
    <t>SALE - FEB'16</t>
  </si>
  <si>
    <t>TARGET-MAR'16</t>
  </si>
  <si>
    <t>SALE - MAR'16</t>
  </si>
  <si>
    <t>TAR-APR'16</t>
  </si>
  <si>
    <t>SALE-APR'16</t>
  </si>
  <si>
    <t>TAR-MAY'16</t>
  </si>
  <si>
    <t>SALE - MAY'16</t>
  </si>
  <si>
    <t>TARGET-JUN'16</t>
  </si>
  <si>
    <t>SALE - JUN'16</t>
  </si>
  <si>
    <t>TARGET-JUL'16</t>
  </si>
  <si>
    <t>SALE - JUL'16</t>
  </si>
  <si>
    <t>TARGET AUG'16</t>
  </si>
  <si>
    <t>TARGET AUG'16 (HUM+HERB)</t>
  </si>
  <si>
    <t>SALE AUG'16</t>
  </si>
  <si>
    <t>TARGET SEPT. 16</t>
  </si>
  <si>
    <t>TARGET SEPT'16</t>
  </si>
  <si>
    <t>TARGET SEPT'16(Hum+Herb)</t>
  </si>
  <si>
    <t>Sale Sept'16</t>
  </si>
  <si>
    <t>TARGET OCT. 16</t>
  </si>
  <si>
    <t>TARGET OCT'16</t>
  </si>
  <si>
    <t>TARGET OCT'16(Hum+Herb)</t>
  </si>
  <si>
    <t>Sale_Oct'16</t>
  </si>
  <si>
    <t>TARGET NOV. 16</t>
  </si>
  <si>
    <t>TARGET 
NOV'16</t>
  </si>
  <si>
    <t>TARGET NOV'16
(Hum+Herb)</t>
  </si>
  <si>
    <t>SALE-Nov'16</t>
  </si>
  <si>
    <t>TARGET DEC. 16 (Hum)</t>
  </si>
  <si>
    <t>TARGET 
DEC'16 (HRB)</t>
  </si>
  <si>
    <t>TARGET DEC'16
(Hum+Herb)</t>
  </si>
  <si>
    <t>SALE-Dec'16</t>
  </si>
  <si>
    <t>January 
Target 2017 (Jan)</t>
  </si>
  <si>
    <t>January 
sALE 2017 (Jan)</t>
  </si>
  <si>
    <t>Monthly 
Target 2017 (Feb)</t>
  </si>
  <si>
    <t xml:space="preserve">
SALE 2017 (FEB)</t>
  </si>
  <si>
    <t xml:space="preserve">Monthly 
Target 2017- March </t>
  </si>
  <si>
    <t xml:space="preserve">
SALE 2017 (MAR)</t>
  </si>
  <si>
    <t>Monthly 
Target 2017 (APRIL)</t>
  </si>
  <si>
    <t xml:space="preserve">
SALE 2017 (APRIL)</t>
  </si>
  <si>
    <t>021</t>
  </si>
  <si>
    <t>05379</t>
  </si>
  <si>
    <t>MD. KAMRUL HASSAN</t>
  </si>
  <si>
    <t>ACTING AM-III</t>
  </si>
  <si>
    <t>DNMCH</t>
  </si>
  <si>
    <t>01713491368</t>
  </si>
  <si>
    <t>021dscs@gmail.com</t>
  </si>
  <si>
    <t>02CS1</t>
  </si>
  <si>
    <t>MD. GOLAM MAHMUD - RESIGNED</t>
  </si>
  <si>
    <t>MR………………………………………</t>
  </si>
  <si>
    <t>N.GONJ</t>
  </si>
  <si>
    <t>27</t>
  </si>
  <si>
    <t>MR. G. CHAKRABORTY</t>
  </si>
  <si>
    <t>20002</t>
  </si>
  <si>
    <t>RASHIDUR RAHMAN RANJU (02009)</t>
  </si>
  <si>
    <t>SHANTA KUMAR GHOSH (20004)</t>
  </si>
  <si>
    <t>20004</t>
  </si>
  <si>
    <t>KABIR AHMED KHAN (02A92)</t>
  </si>
  <si>
    <t>02A92</t>
  </si>
  <si>
    <t>04</t>
  </si>
  <si>
    <t>MD. KAMRUL HASSAN (05379)</t>
  </si>
  <si>
    <t>02MB7</t>
  </si>
  <si>
    <t>MD. SAIDUR RAHMAN</t>
  </si>
  <si>
    <t>JFO-II</t>
  </si>
  <si>
    <t>0944A</t>
  </si>
  <si>
    <t>SUTRAPUR</t>
  </si>
  <si>
    <t>A</t>
  </si>
  <si>
    <t>METRO</t>
  </si>
  <si>
    <t>05471</t>
  </si>
  <si>
    <t>RABIUL ISLAM</t>
  </si>
  <si>
    <t>JFO-III</t>
  </si>
  <si>
    <t>0944B</t>
  </si>
  <si>
    <t>B</t>
  </si>
  <si>
    <t>05269</t>
  </si>
  <si>
    <t>ZAHIDUL BARI</t>
  </si>
  <si>
    <t>0958G</t>
  </si>
  <si>
    <t>TATIBAZAR</t>
  </si>
  <si>
    <t>G</t>
  </si>
  <si>
    <t>05546</t>
  </si>
  <si>
    <t>ABDUR RAZZAQUE</t>
  </si>
  <si>
    <t>1186A</t>
  </si>
  <si>
    <t>GENDARIA</t>
  </si>
  <si>
    <t>05D49</t>
  </si>
  <si>
    <t>MD. AKTANUR RAHMAN</t>
  </si>
  <si>
    <t>MR</t>
  </si>
  <si>
    <t>1186B</t>
  </si>
  <si>
    <t>26564</t>
  </si>
  <si>
    <t>MD. ANWARUL ISLAM</t>
  </si>
  <si>
    <t>1146G</t>
  </si>
  <si>
    <t>POPULAR  (NORTH-SOUTH RD)</t>
  </si>
  <si>
    <t>06586</t>
  </si>
  <si>
    <t>NARGIS PARVEEN</t>
  </si>
  <si>
    <t>23002</t>
  </si>
  <si>
    <t>MD. MOKTADER HOSSAIN</t>
  </si>
  <si>
    <t>1047A</t>
  </si>
  <si>
    <t>JONSON ROAD</t>
  </si>
  <si>
    <t>05P37</t>
  </si>
  <si>
    <t>MD. SUKHI MIAH</t>
  </si>
  <si>
    <t>1047B</t>
  </si>
  <si>
    <t>LAXMIKANTA SARKAR</t>
  </si>
  <si>
    <t>1256C</t>
  </si>
  <si>
    <t>DNMCH-C(POPULAR-C)</t>
  </si>
  <si>
    <t>C</t>
  </si>
  <si>
    <t>01713491329</t>
  </si>
  <si>
    <t>05F45</t>
  </si>
  <si>
    <t>MD. EMDADUL HAQUE -RESIGNED</t>
  </si>
  <si>
    <t>NORTH-SOUTH ROAD (CLOSED)</t>
  </si>
  <si>
    <t>020</t>
  </si>
  <si>
    <t>02BS4</t>
  </si>
  <si>
    <t>MD. AHSAN HABIB</t>
  </si>
  <si>
    <t>AM-III</t>
  </si>
  <si>
    <t>KERANIGONJ</t>
  </si>
  <si>
    <t>020dscs@gmail.com</t>
  </si>
  <si>
    <t>MD. AHSAN HABIB (02BS4)</t>
  </si>
  <si>
    <t>05V41</t>
  </si>
  <si>
    <t>MD. JOHORUL ISLAM</t>
  </si>
  <si>
    <t>0990A</t>
  </si>
  <si>
    <t>JINJIRA</t>
  </si>
  <si>
    <t>26045</t>
  </si>
  <si>
    <t>MD. A. GAFUR</t>
  </si>
  <si>
    <t>0990B</t>
  </si>
  <si>
    <t>2RR6</t>
  </si>
  <si>
    <t>MD. RAFIQUL ISLAM-MPO</t>
  </si>
  <si>
    <t>02XD7</t>
  </si>
  <si>
    <t>MAJEDUL HAQUE</t>
  </si>
  <si>
    <t>1112A</t>
  </si>
  <si>
    <t>KALATIA</t>
  </si>
  <si>
    <t>06313</t>
  </si>
  <si>
    <t>MD. MOSTAFIZUR RAHMAN</t>
  </si>
  <si>
    <t>1112B</t>
  </si>
  <si>
    <t>05434</t>
  </si>
  <si>
    <t>ABU NOMAN</t>
  </si>
  <si>
    <t>1001A</t>
  </si>
  <si>
    <t xml:space="preserve">ATIBAZAR </t>
  </si>
  <si>
    <t>05G07</t>
  </si>
  <si>
    <t>MD. AKRAMUL HAQUE</t>
  </si>
  <si>
    <t>1001B</t>
  </si>
  <si>
    <t>07028</t>
  </si>
  <si>
    <t>MD. WALIULLAH</t>
  </si>
  <si>
    <t>0991G</t>
  </si>
  <si>
    <t>ABDULLAHPUR</t>
  </si>
  <si>
    <t>05R09</t>
  </si>
  <si>
    <t>MD. NASIR UDDIN</t>
  </si>
  <si>
    <t>1068A</t>
  </si>
  <si>
    <t>RUHITPUR</t>
  </si>
  <si>
    <t>26373</t>
  </si>
  <si>
    <t>TORIKUL ISLAM</t>
  </si>
  <si>
    <t>1068B</t>
  </si>
  <si>
    <t>08068</t>
  </si>
  <si>
    <t>BIPLOB KUMAR DAS</t>
  </si>
  <si>
    <t>02XR6</t>
  </si>
  <si>
    <t>IMAM HASAN</t>
  </si>
  <si>
    <t>1111A</t>
  </si>
  <si>
    <t>KALIGONJ</t>
  </si>
  <si>
    <t>06904</t>
  </si>
  <si>
    <t>ALI HOSSAIN</t>
  </si>
  <si>
    <t>1111B</t>
  </si>
  <si>
    <t>26136</t>
  </si>
  <si>
    <t xml:space="preserve">MD. JASMAT ALI </t>
  </si>
  <si>
    <t>1259C</t>
  </si>
  <si>
    <t>KERANIGONJ-C</t>
  </si>
  <si>
    <t>0173433656</t>
  </si>
  <si>
    <t>AMIRUL ISLAM (5441)</t>
  </si>
  <si>
    <t>06722</t>
  </si>
  <si>
    <t>MD. IBRAHIM SIKDER</t>
  </si>
  <si>
    <t>SSMCH-I</t>
  </si>
  <si>
    <t>1</t>
  </si>
  <si>
    <t>01711628626</t>
  </si>
  <si>
    <t>012dscs@gmail.com</t>
  </si>
  <si>
    <t>KABIR AHMED KHAN</t>
  </si>
  <si>
    <t>MD. IBRAHIM SIKDER (06722)</t>
  </si>
  <si>
    <t>F</t>
  </si>
  <si>
    <t>05G15</t>
  </si>
  <si>
    <t>MS. SALMA JAHAN</t>
  </si>
  <si>
    <t>F-MR</t>
  </si>
  <si>
    <t>1214A</t>
  </si>
  <si>
    <t>DHAKA HOSP., B.DEWRI</t>
  </si>
  <si>
    <t>05V83</t>
  </si>
  <si>
    <t>MD. GULZAR HOSSAIN</t>
  </si>
  <si>
    <t>1214B</t>
  </si>
  <si>
    <t>05J60</t>
  </si>
  <si>
    <t xml:space="preserve">MD. JULFIKAR HABIB </t>
  </si>
  <si>
    <t>1251C</t>
  </si>
  <si>
    <t>SSMCH-I-C</t>
  </si>
  <si>
    <t>01713491449</t>
  </si>
  <si>
    <t>08182</t>
  </si>
  <si>
    <t>MD. MIZANUR RAHMAN</t>
  </si>
  <si>
    <t>1209A</t>
  </si>
  <si>
    <t>MOON LIGHT HOSP.</t>
  </si>
  <si>
    <t>05E75</t>
  </si>
  <si>
    <t>MD. FARIDUL ISLAM</t>
  </si>
  <si>
    <t>1209B</t>
  </si>
  <si>
    <t>02ZY5</t>
  </si>
  <si>
    <t>KHAIRUZZAMAN</t>
  </si>
  <si>
    <t>1218A</t>
  </si>
  <si>
    <t>NEW DHAKA CLINIC</t>
  </si>
  <si>
    <t>05V37</t>
  </si>
  <si>
    <t>ALI AHAMMAD</t>
  </si>
  <si>
    <t>1218B</t>
  </si>
  <si>
    <t>07047</t>
  </si>
  <si>
    <t xml:space="preserve">UTPOL ROY </t>
  </si>
  <si>
    <t>1252C</t>
  </si>
  <si>
    <t>SSMCH-3-C</t>
  </si>
  <si>
    <t>01713433653</t>
  </si>
  <si>
    <t>02YT9</t>
  </si>
  <si>
    <t>KAMAL HOSSAIN</t>
  </si>
  <si>
    <t>1073A</t>
  </si>
  <si>
    <t>PATUATULY</t>
  </si>
  <si>
    <t>05S55</t>
  </si>
  <si>
    <t>RIAZUL ISLAM</t>
  </si>
  <si>
    <t>1073B</t>
  </si>
  <si>
    <t>07030</t>
  </si>
  <si>
    <t>MD. SHAHJAHAN ALI GAIN</t>
  </si>
  <si>
    <t>1254C</t>
  </si>
  <si>
    <t>SSMCH-2-C</t>
  </si>
  <si>
    <t>01713491233</t>
  </si>
  <si>
    <t>023</t>
  </si>
  <si>
    <t>02BG4</t>
  </si>
  <si>
    <t>NAZRUL ISLAM (2BG4)</t>
  </si>
  <si>
    <t>SSMCH-II</t>
  </si>
  <si>
    <t>01713491640</t>
  </si>
  <si>
    <t>023dscs@gmail.com</t>
  </si>
  <si>
    <t>NAZRUL ISLAM (02BG4)</t>
  </si>
  <si>
    <t>26499</t>
  </si>
  <si>
    <t>MIZANUR</t>
  </si>
  <si>
    <t>1138A</t>
  </si>
  <si>
    <t>WARI DIAB.HOSP.</t>
  </si>
  <si>
    <t>02CB8</t>
  </si>
  <si>
    <t>MOHIUDDIN SARKER</t>
  </si>
  <si>
    <t>08430</t>
  </si>
  <si>
    <t>MD. MURSHED ALAM</t>
  </si>
  <si>
    <t>06905</t>
  </si>
  <si>
    <t>MD. HAFIZUR RAHMAN</t>
  </si>
  <si>
    <t>1138B</t>
  </si>
  <si>
    <t>06747</t>
  </si>
  <si>
    <t>MD. ASADUZZAMAN</t>
  </si>
  <si>
    <t>1124G</t>
  </si>
  <si>
    <t>DHOLPUR</t>
  </si>
  <si>
    <t>06942</t>
  </si>
  <si>
    <t>A.B.M. MONIRUJJAMAN</t>
  </si>
  <si>
    <t>1140G</t>
  </si>
  <si>
    <t>SHAHID FARUK SARAK</t>
  </si>
  <si>
    <t>05L40</t>
  </si>
  <si>
    <t>MD. ZAFRUL ISLAM</t>
  </si>
  <si>
    <t>1231A</t>
  </si>
  <si>
    <t>SALAUDDIN HOSP.</t>
  </si>
  <si>
    <t>05H56</t>
  </si>
  <si>
    <t>MUKTA KUMAR DEB</t>
  </si>
  <si>
    <t>1231B</t>
  </si>
  <si>
    <t>05J69</t>
  </si>
  <si>
    <t>MD. ZAHIRUDDIN BABU</t>
  </si>
  <si>
    <t>0977A</t>
  </si>
  <si>
    <t>JATRABARI</t>
  </si>
  <si>
    <t>07484</t>
  </si>
  <si>
    <t>ISMAIL HOSSAIN</t>
  </si>
  <si>
    <t>0977B</t>
  </si>
  <si>
    <t>05K83</t>
  </si>
  <si>
    <t xml:space="preserve">MD. BOKTIAR HOSSAIN </t>
  </si>
  <si>
    <t>1255C</t>
  </si>
  <si>
    <t>SALAUDDIN HOSP.-C</t>
  </si>
  <si>
    <t>01713491190</t>
  </si>
  <si>
    <t>331</t>
  </si>
  <si>
    <t>02AD1</t>
  </si>
  <si>
    <t>AM-II</t>
  </si>
  <si>
    <t>SSMCH-III</t>
  </si>
  <si>
    <t>MD. MIZANUR RAHMAN (02AD1)</t>
  </si>
  <si>
    <t>02ZY3</t>
  </si>
  <si>
    <t>MD. DELWAR HOSSAIN</t>
  </si>
  <si>
    <t>1156A</t>
  </si>
  <si>
    <t>IBN SINA D-LAB, DAYAGONJ</t>
  </si>
  <si>
    <t>05303</t>
  </si>
  <si>
    <t>TAPON SINHA</t>
  </si>
  <si>
    <t>1156B</t>
  </si>
  <si>
    <t>07049</t>
  </si>
  <si>
    <t>MD. MAHFUZUL HASAN</t>
  </si>
  <si>
    <t>1087A</t>
  </si>
  <si>
    <t>DOLAIRPAR</t>
  </si>
  <si>
    <t>26475</t>
  </si>
  <si>
    <t>MD. ZAKARIA</t>
  </si>
  <si>
    <t>1087B</t>
  </si>
  <si>
    <t>MD. SOHEL</t>
  </si>
  <si>
    <t>05X45</t>
  </si>
  <si>
    <t>ATIQUL ISLAM</t>
  </si>
  <si>
    <t>05U74</t>
  </si>
  <si>
    <t>MD. MINARUL ISLAM</t>
  </si>
  <si>
    <t>0975A</t>
  </si>
  <si>
    <t>POSTOGOLA</t>
  </si>
  <si>
    <t>05U78</t>
  </si>
  <si>
    <t>MD. ABUZAR RAHMAN</t>
  </si>
  <si>
    <t>0975B</t>
  </si>
  <si>
    <t>08894</t>
  </si>
  <si>
    <t>MD. SAHABUDDIN</t>
  </si>
  <si>
    <t>6494G</t>
  </si>
  <si>
    <t>NORTH JATRABARI</t>
  </si>
  <si>
    <t>2RP4</t>
  </si>
  <si>
    <t>08230</t>
  </si>
  <si>
    <t xml:space="preserve">MOHD. ELIAS </t>
  </si>
  <si>
    <t>1170G</t>
  </si>
  <si>
    <t>SAJEDA HOSP.</t>
  </si>
  <si>
    <t>02FL7</t>
  </si>
  <si>
    <t>DULAL CHANDRA DAS</t>
  </si>
  <si>
    <t>1082G</t>
  </si>
  <si>
    <t>HASNABAD</t>
  </si>
  <si>
    <t>05K52</t>
  </si>
  <si>
    <t>ISMAIL HOOSAIN</t>
  </si>
  <si>
    <t>1253C</t>
  </si>
  <si>
    <t>SHAMIBAG-C</t>
  </si>
  <si>
    <t>01755550431</t>
  </si>
  <si>
    <t>02XK5</t>
  </si>
  <si>
    <t>RASEL MIA</t>
  </si>
  <si>
    <t>CHITAGONG ROAD</t>
  </si>
  <si>
    <t>01713046810</t>
  </si>
  <si>
    <t>00151nar@gmail.com</t>
  </si>
  <si>
    <t>ANWAR HOSSAIN (02BG9)</t>
  </si>
  <si>
    <t>02BG9</t>
  </si>
  <si>
    <t>10</t>
  </si>
  <si>
    <t>RASEL MIA (02XK5)</t>
  </si>
  <si>
    <t>05898</t>
  </si>
  <si>
    <t>MD. SOHEL RANA</t>
  </si>
  <si>
    <t>6409A</t>
  </si>
  <si>
    <t>SIDDIRGANJ</t>
  </si>
  <si>
    <t>URBAN</t>
  </si>
  <si>
    <t>26710</t>
  </si>
  <si>
    <t>MD. TAREQ RAHMAN</t>
  </si>
  <si>
    <t>6409B</t>
  </si>
  <si>
    <t>RASEL MIAH</t>
  </si>
  <si>
    <t>05Q22</t>
  </si>
  <si>
    <t>MD. JOSIM UDDIN</t>
  </si>
  <si>
    <t>6441A</t>
  </si>
  <si>
    <t>CTG. ROAD</t>
  </si>
  <si>
    <t>02XT5</t>
  </si>
  <si>
    <t>ANOWAR HOSSAIN AKTER</t>
  </si>
  <si>
    <t>6441B</t>
  </si>
  <si>
    <t>02NU3</t>
  </si>
  <si>
    <t>6473A</t>
  </si>
  <si>
    <t>DEMRA</t>
  </si>
  <si>
    <t>26155</t>
  </si>
  <si>
    <t>MD. ALAM HOSSAIN</t>
  </si>
  <si>
    <t>6473B</t>
  </si>
  <si>
    <t>2QQ6</t>
  </si>
  <si>
    <t>K.M. SHAMIM AL MAMUN</t>
  </si>
  <si>
    <t>26003</t>
  </si>
  <si>
    <t>MD. KAMRUZZAMAN IQBAL</t>
  </si>
  <si>
    <t>6447A</t>
  </si>
  <si>
    <t>KANCHPUR</t>
  </si>
  <si>
    <t>RURAL</t>
  </si>
  <si>
    <t>5S86</t>
  </si>
  <si>
    <t>MOHAMMAD MAMUN HOSSAIN</t>
  </si>
  <si>
    <t>05476</t>
  </si>
  <si>
    <t>SUJAN KHAN</t>
  </si>
  <si>
    <t>6447B</t>
  </si>
  <si>
    <t>26293</t>
  </si>
  <si>
    <t>MD. MAFIJUR RAHMAN</t>
  </si>
  <si>
    <t>2750C</t>
  </si>
  <si>
    <t>SIDDIRGANJ-C</t>
  </si>
  <si>
    <t>01755519198</t>
  </si>
  <si>
    <t xml:space="preserve">MD. IBRAHIM SIKDER </t>
  </si>
  <si>
    <t>05M48</t>
  </si>
  <si>
    <t>MD. HASAN ALI</t>
  </si>
  <si>
    <t>6514G</t>
  </si>
  <si>
    <t>RUPGANJ</t>
  </si>
  <si>
    <t>NC</t>
  </si>
  <si>
    <t>02AS3</t>
  </si>
  <si>
    <t>MOHAMMAD MONIRUL HAQUE</t>
  </si>
  <si>
    <t>RSM</t>
  </si>
  <si>
    <t>BANDAR, NARAYANGONJ</t>
  </si>
  <si>
    <t>mmhaque.mktg@acmeglobal.com</t>
  </si>
  <si>
    <t>02BK9</t>
  </si>
  <si>
    <t>SHEKH NAZRUL ISLAM</t>
  </si>
  <si>
    <t>NORTH JATRABARI, N.GONJ</t>
  </si>
  <si>
    <t>01714161604</t>
  </si>
  <si>
    <t>178nar@gmail.com</t>
  </si>
  <si>
    <t>26246</t>
  </si>
  <si>
    <t>ABDUL KADER</t>
  </si>
  <si>
    <t>6490A</t>
  </si>
  <si>
    <t xml:space="preserve">JURAIN </t>
  </si>
  <si>
    <t>11</t>
  </si>
  <si>
    <t>SHEIKH NAZRUL ISLAM (2BK9)</t>
  </si>
  <si>
    <t>02R43</t>
  </si>
  <si>
    <t>MOHAMMAD MUTASIM BILLAH</t>
  </si>
  <si>
    <t>6490B</t>
  </si>
  <si>
    <t>02QN4</t>
  </si>
  <si>
    <t>MD. MAMUNUR RASHID</t>
  </si>
  <si>
    <t>0976G</t>
  </si>
  <si>
    <t>SHYAMPUR</t>
  </si>
  <si>
    <t>02RP4</t>
  </si>
  <si>
    <t>6468G</t>
  </si>
  <si>
    <t>GOBINDAPUR</t>
  </si>
  <si>
    <t>05899</t>
  </si>
  <si>
    <t>MD. SHAJAHAN ALI SARKER</t>
  </si>
  <si>
    <t>6425G</t>
  </si>
  <si>
    <t>JALKHURI</t>
  </si>
  <si>
    <t>06443</t>
  </si>
  <si>
    <t>TAYABUR RAHMAN</t>
  </si>
  <si>
    <t>6515G</t>
  </si>
  <si>
    <t>SONIR AKHRA</t>
  </si>
  <si>
    <t>05M13</t>
  </si>
  <si>
    <t>MD. ANAMUL ISLAM</t>
  </si>
  <si>
    <t>6497G</t>
  </si>
  <si>
    <t>DHONIA</t>
  </si>
  <si>
    <t>26209</t>
  </si>
  <si>
    <t>MD. MEHEDI HASAN RONI</t>
  </si>
  <si>
    <t>6492A</t>
  </si>
  <si>
    <t>RAYERBAG</t>
  </si>
  <si>
    <t>02YE6</t>
  </si>
  <si>
    <t>REAZ AHMED</t>
  </si>
  <si>
    <t>26207</t>
  </si>
  <si>
    <t>MD. NIEMUL ISLAM</t>
  </si>
  <si>
    <t>6492B</t>
  </si>
  <si>
    <t>02CY3</t>
  </si>
  <si>
    <t>MUHAMMAD MIZANUR RAHAMAN</t>
  </si>
  <si>
    <t>26502</t>
  </si>
  <si>
    <t>MD. ARIFUR RAHMAN</t>
  </si>
  <si>
    <t>2825G</t>
  </si>
  <si>
    <t>MATUAI</t>
  </si>
  <si>
    <t>05X10</t>
  </si>
  <si>
    <t>BULBUL AHMED</t>
  </si>
  <si>
    <t>ANIK ISLAM DINER</t>
  </si>
  <si>
    <t>05G11</t>
  </si>
  <si>
    <t>SULTANA SHARMIN KHANAM</t>
  </si>
  <si>
    <t>6536G</t>
  </si>
  <si>
    <t>ICMH, MATUAI</t>
  </si>
  <si>
    <t>02XW7</t>
  </si>
  <si>
    <t>MOHD. ASADUZZAMAN KHAN</t>
  </si>
  <si>
    <t>2753C</t>
  </si>
  <si>
    <t>JATRABARI-C</t>
  </si>
  <si>
    <t>01755519262</t>
  </si>
  <si>
    <t>Date</t>
  </si>
  <si>
    <t>Dif</t>
  </si>
  <si>
    <t>0-30</t>
  </si>
  <si>
    <t>31-60</t>
  </si>
  <si>
    <t>61-90</t>
  </si>
  <si>
    <t>&gt;90</t>
  </si>
  <si>
    <t xml:space="preserve">Customer </t>
  </si>
  <si>
    <t>order no.</t>
  </si>
  <si>
    <t>Outstanding days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</si>
  <si>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</si>
  <si>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</si>
  <si>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</si>
  <si>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</si>
  <si>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</si>
  <si>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</si>
  <si>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</si>
  <si>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</si>
  <si>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</si>
  <si>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</si>
  <si>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</si>
  <si>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</si>
  <si>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Sajib sarker</t>
  </si>
  <si>
    <t>Ma</t>
  </si>
  <si>
    <t>SSC</t>
  </si>
  <si>
    <t>13Y 6M</t>
  </si>
  <si>
    <t>16y 6m</t>
  </si>
  <si>
    <t>SA</t>
  </si>
  <si>
    <t>Jonmobar Friday</t>
  </si>
  <si>
    <t>June, 1984</t>
  </si>
  <si>
    <t>Ajizul's Son</t>
  </si>
  <si>
    <t>Date opf birth</t>
  </si>
  <si>
    <t>Start</t>
  </si>
  <si>
    <t>First nm</t>
  </si>
  <si>
    <t>Correct</t>
  </si>
  <si>
    <t>Sree_Sajib Sarker ORIG</t>
  </si>
  <si>
    <t>SUBSTR IN ORCL</t>
  </si>
  <si>
    <t>SAJIB SARKER DIPTOOO duronto</t>
  </si>
  <si>
    <t>Amount2</t>
  </si>
  <si>
    <t>Hasan Ali</t>
  </si>
  <si>
    <t>Remarks</t>
  </si>
  <si>
    <t>SL</t>
  </si>
  <si>
    <t>PROD_NM</t>
  </si>
  <si>
    <t>TOTAL</t>
  </si>
  <si>
    <t>A-CLOX 500MG</t>
  </si>
  <si>
    <t>DOXY-A 100MG</t>
  </si>
  <si>
    <t>SEFRIL 500MG</t>
  </si>
  <si>
    <t>V-PLEX</t>
  </si>
  <si>
    <t>A-FLOX 250MG</t>
  </si>
  <si>
    <t>A-FLOX 500MG</t>
  </si>
  <si>
    <t>AZIN 250MG</t>
  </si>
  <si>
    <t>MOXILIN 500MG</t>
  </si>
  <si>
    <t>MAXIMA 20MG</t>
  </si>
  <si>
    <t>FIX-A DS 400MG</t>
  </si>
  <si>
    <t>UROPASS</t>
  </si>
  <si>
    <t>FIX-A 200MG</t>
  </si>
  <si>
    <t>NEUGALIN 50MG</t>
  </si>
  <si>
    <t>NEUGALIN 75MG</t>
  </si>
  <si>
    <t>LOGIBAC 400MG</t>
  </si>
  <si>
    <t>MAXIMA  20MG  (140 PCS)</t>
  </si>
  <si>
    <t>MAXIMA  40MG  (40 PCS)</t>
  </si>
  <si>
    <t>PPI 20MG  (140 PCS)</t>
  </si>
  <si>
    <t>PPI 40MG  (40 PCS)</t>
  </si>
  <si>
    <t>FIX-A DS (14PCS)</t>
  </si>
  <si>
    <t>FIX-A 200MG (14PCS)</t>
  </si>
  <si>
    <t>CLOTRIM 10GM</t>
  </si>
  <si>
    <t>NEOBET 10GM</t>
  </si>
  <si>
    <t>BET-CG 15GM</t>
  </si>
  <si>
    <t>MOXILIN 100ML</t>
  </si>
  <si>
    <t>SEFRIL 100ML</t>
  </si>
  <si>
    <t>A-FLOX 100ML</t>
  </si>
  <si>
    <t>AZIN 15ML</t>
  </si>
  <si>
    <t>FIX-A 37.5ML</t>
  </si>
  <si>
    <t>FIX-A 50ML</t>
  </si>
  <si>
    <t>CP 50ML</t>
  </si>
  <si>
    <t>CIPRO-A 60ML</t>
  </si>
  <si>
    <t>AZIN 30ML</t>
  </si>
  <si>
    <t>AZIN P/S 50ML</t>
  </si>
  <si>
    <t>ALCLOR PAED. DROPS 15ML</t>
  </si>
  <si>
    <t>FIX-A 75ML P/S</t>
  </si>
  <si>
    <t>FIX-A DS 50ML P/S</t>
  </si>
  <si>
    <t>FIX-A 21ML PED. DROPS</t>
  </si>
  <si>
    <t>FAMICLAV  70ML</t>
  </si>
  <si>
    <t>RHINOZOL 0.1% 15ML</t>
  </si>
  <si>
    <t>A-PHENICOL EYE DROPS</t>
  </si>
  <si>
    <t>CIPRO-A EYE DROPS</t>
  </si>
  <si>
    <t>V-PLEX 2ML</t>
  </si>
  <si>
    <t>TRIZON-IV 1G</t>
  </si>
  <si>
    <t>TRIZON-IM 500MG</t>
  </si>
  <si>
    <t>TRIZON IV 2GM</t>
  </si>
  <si>
    <t>PPI IV 40MG</t>
  </si>
  <si>
    <t>FULSPEC 1G IV</t>
  </si>
  <si>
    <t>WINOP 60</t>
  </si>
  <si>
    <t>MAXIMA IV 40MG</t>
  </si>
  <si>
    <t>DIROZYL 60ML</t>
  </si>
  <si>
    <t>HISTALEX 100ML</t>
  </si>
  <si>
    <t>NEOTRAX 30ML</t>
  </si>
  <si>
    <t>NYSTAT DROPS 12ML</t>
  </si>
  <si>
    <t>PHENADRYL 100ML</t>
  </si>
  <si>
    <t>OXECONE-M 200ML</t>
  </si>
  <si>
    <t>SALMOLIN 60ML</t>
  </si>
  <si>
    <t>V-PLEX DROP 15ML</t>
  </si>
  <si>
    <t>ACME'S MILK OF MAG. 114ML</t>
  </si>
  <si>
    <t>V-PLEX SYRUP 100ML</t>
  </si>
  <si>
    <t>V-PLEX SYRUP 200ML</t>
  </si>
  <si>
    <t>OXECONE-S 200ML</t>
  </si>
  <si>
    <t>OXECONE 200ML</t>
  </si>
  <si>
    <t>PROFEN 100ML</t>
  </si>
  <si>
    <t>KETIFEN 100ML</t>
  </si>
  <si>
    <t>FAST 60ML</t>
  </si>
  <si>
    <t>DON-A 60ML</t>
  </si>
  <si>
    <t>NUTRUM JUNIOR 100ML</t>
  </si>
  <si>
    <t>X-COLD 100ML</t>
  </si>
  <si>
    <t>RANIDIN 100ML</t>
  </si>
  <si>
    <t>BEN-A 10ML</t>
  </si>
  <si>
    <t>SALMOLIN-L 60ML</t>
  </si>
  <si>
    <t>OXECONE M S 200ML</t>
  </si>
  <si>
    <t>A-FENAC 50MG</t>
  </si>
  <si>
    <t>CECON 250MG</t>
  </si>
  <si>
    <t>COSIUM 10MG</t>
  </si>
  <si>
    <t>DAOMIN 500MG</t>
  </si>
  <si>
    <t>A-FENAC S.R 100MG</t>
  </si>
  <si>
    <t>MEBOLIN 50MG</t>
  </si>
  <si>
    <t>TENOLOC 50MG</t>
  </si>
  <si>
    <t>ECOSPRIN 75MG</t>
  </si>
  <si>
    <t>CINAZIN 15MG</t>
  </si>
  <si>
    <t>NYSTAT O.T.</t>
  </si>
  <si>
    <t>CIPRO-A  250MG</t>
  </si>
  <si>
    <t>KETIFEN 1.0MG</t>
  </si>
  <si>
    <t>CIPRO-A 500MG</t>
  </si>
  <si>
    <t>A-B1 100MG</t>
  </si>
  <si>
    <t>STERON 0.5MG</t>
  </si>
  <si>
    <t>BEN-A 400MG</t>
  </si>
  <si>
    <t>A-ZYME 325MG</t>
  </si>
  <si>
    <t>A-FENAC-K 50MG</t>
  </si>
  <si>
    <t>FLUCONAL 50MG</t>
  </si>
  <si>
    <t>NAPRO-A 250MG</t>
  </si>
  <si>
    <t>CLARICIN 500MG</t>
  </si>
  <si>
    <t>PIZO-A 0.5MG</t>
  </si>
  <si>
    <t>A-CAL 500MG</t>
  </si>
  <si>
    <t>NAPRO-A 500MG</t>
  </si>
  <si>
    <t>TENIL 3MG</t>
  </si>
  <si>
    <t>DON-A  10MG</t>
  </si>
  <si>
    <t>EDEMIDE</t>
  </si>
  <si>
    <t>FAST 500MG</t>
  </si>
  <si>
    <t>LEANXIT</t>
  </si>
  <si>
    <t>NUTRUM PN</t>
  </si>
  <si>
    <t>LEO 500MG</t>
  </si>
  <si>
    <t>NUTRUM GOLD</t>
  </si>
  <si>
    <t>NUTRUM 50+</t>
  </si>
  <si>
    <t>GLICLID</t>
  </si>
  <si>
    <t>FLUCONAL 150MG</t>
  </si>
  <si>
    <t>FAST PLUS</t>
  </si>
  <si>
    <t>ULIV 300MG</t>
  </si>
  <si>
    <t>FAMICEF 250MG</t>
  </si>
  <si>
    <t>WINOP 10MG</t>
  </si>
  <si>
    <t>LEPTIC 0.5MG</t>
  </si>
  <si>
    <t>LEPTIC 2MG</t>
  </si>
  <si>
    <t>LOSART PLUS</t>
  </si>
  <si>
    <t>APITAC 100MG</t>
  </si>
  <si>
    <t>TINIUM 50MG</t>
  </si>
  <si>
    <t>A-CALM 50MG</t>
  </si>
  <si>
    <t>FAMICEF 500MG</t>
  </si>
  <si>
    <t>TRACID 500MG (PS-20)</t>
  </si>
  <si>
    <t>MONAS 4MG (PS-30)</t>
  </si>
  <si>
    <t>MONAS 5MG (PS-30)</t>
  </si>
  <si>
    <t>NUTRUM GOLD (PS 15)</t>
  </si>
  <si>
    <t>ZERO 8MG</t>
  </si>
  <si>
    <t>ZERO TAB. (CONTAINER)</t>
  </si>
  <si>
    <t>A-CAL D 15 PCS</t>
  </si>
  <si>
    <t>A-CAL D 30PCS TAB.</t>
  </si>
  <si>
    <t>RANIDIN 150MG (PS-150)</t>
  </si>
  <si>
    <t>PROTOCID 20</t>
  </si>
  <si>
    <t>SETORIB 90</t>
  </si>
  <si>
    <t>RABIZOL 20MG</t>
  </si>
  <si>
    <t>ECOSPRIN PLUS TABLET 30PCS</t>
  </si>
  <si>
    <t>ROSTAB 10MG</t>
  </si>
  <si>
    <t>JANVIA 50</t>
  </si>
  <si>
    <t>FLUZIN 10MG</t>
  </si>
  <si>
    <t>BETABIS 2.5MG</t>
  </si>
  <si>
    <t>BETABIS 5MG</t>
  </si>
  <si>
    <t>LIPTOR 10MG (30PCS)</t>
  </si>
  <si>
    <t>FLUZIN 5MG</t>
  </si>
  <si>
    <t>FAST XR</t>
  </si>
  <si>
    <t>FASTDOL</t>
  </si>
  <si>
    <t>NAPRO-A PLUS 375</t>
  </si>
  <si>
    <t>NAPRO-A PLUS 500</t>
  </si>
  <si>
    <t>ALANIL 120MG</t>
  </si>
  <si>
    <t>VILDAPIN 50</t>
  </si>
  <si>
    <t>VILDAPIN PLUS 500</t>
  </si>
  <si>
    <t>VILDAPIN PLUS 850</t>
  </si>
  <si>
    <t>AMLOPIN 5MG (PS-50)</t>
  </si>
  <si>
    <t>ARTH-A 50PCS</t>
  </si>
  <si>
    <t>ROSTAB 5MG</t>
  </si>
  <si>
    <t>ORBAPIN 5/20</t>
  </si>
  <si>
    <t>MARIPRIST</t>
  </si>
  <si>
    <t>A-CAL DX TABLET</t>
  </si>
  <si>
    <t>ARTH-A MAX</t>
  </si>
  <si>
    <t>LOSART 50 (50 PCS)</t>
  </si>
  <si>
    <t>AMLOTEN 50 (50 PCS)</t>
  </si>
  <si>
    <t>MONAS 10 (30 PCS)</t>
  </si>
  <si>
    <t>AZIN 500 (12 PCS)</t>
  </si>
  <si>
    <t>LINO 5MG</t>
  </si>
  <si>
    <t>LIMBIX</t>
  </si>
  <si>
    <t>JANMET 500 (30PCS)</t>
  </si>
  <si>
    <t>JANMET 1000 (20 PCS)</t>
  </si>
  <si>
    <t>TPC (5X10'S)</t>
  </si>
  <si>
    <t>DUOCARD 5MG</t>
  </si>
  <si>
    <t>DUOCARD 10MG</t>
  </si>
  <si>
    <t>O-CAL 740MG</t>
  </si>
  <si>
    <t>CORALEX</t>
  </si>
  <si>
    <t>FAMICLAV 250MG (14 PCS)</t>
  </si>
  <si>
    <t>FAMICLAV 500MG (14 PCS)</t>
  </si>
  <si>
    <t>LINO-M 500MG</t>
  </si>
  <si>
    <t>O-CAL KIT</t>
  </si>
  <si>
    <t>FAST PLUS (200 PCS)</t>
  </si>
  <si>
    <t>ACME'S ORS</t>
  </si>
  <si>
    <t>SALFLU 100 ROTACAP(BLISTER)</t>
  </si>
  <si>
    <t>SALFLU 250 ROTACAP (BLS)</t>
  </si>
  <si>
    <t>SALFLU 500 ROTACAP (BLS)</t>
  </si>
  <si>
    <t>SALMOLIN 200 ROTACAP (BLS.)</t>
  </si>
  <si>
    <t>TOPIUM ROTACAP (BLS)</t>
  </si>
  <si>
    <t>EASYHALER DEVICE</t>
  </si>
  <si>
    <t>A-FENAC 12.5MG</t>
  </si>
  <si>
    <t>SALMOLIN MDI (H F A)</t>
  </si>
  <si>
    <t>SALFLU 25/250 (H F A)</t>
  </si>
  <si>
    <t>A-MIGEL 15GM</t>
  </si>
  <si>
    <t>ACME'S CHOLERA SALINE 1000ML</t>
  </si>
  <si>
    <t>ACME'S DEXTROSE 5% 500ML</t>
  </si>
  <si>
    <t>ACME'S DEXTROSE 5% 1000ML</t>
  </si>
  <si>
    <t>ACME'S HARTMAN SOLUTION 1000ML</t>
  </si>
  <si>
    <t>ACME'S NORMAL SALINE 1000ML</t>
  </si>
  <si>
    <t>ACME'S DEXTROSE-N SALINE 500ML</t>
  </si>
  <si>
    <t>ACME'S DEXTROSE-N SALINE1000ML</t>
  </si>
  <si>
    <t>HEPATOLIN 200ML</t>
  </si>
  <si>
    <t>ACME'S BASOK 100ML</t>
  </si>
  <si>
    <t>ACMINA 200ML</t>
  </si>
  <si>
    <t>AMLACID 200ML</t>
  </si>
  <si>
    <t>SANTONIC 450ML</t>
  </si>
  <si>
    <t>AMLACID 450ML</t>
  </si>
  <si>
    <t>LECOSAV 200ML</t>
  </si>
  <si>
    <t>HONEYBAS SYRUP 100ML</t>
  </si>
  <si>
    <t>P_CODE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</si>
  <si>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</si>
  <si>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</si>
  <si>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</si>
  <si>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</si>
  <si>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</si>
  <si>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</si>
  <si>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</si>
  <si>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</si>
  <si>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</si>
  <si>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</si>
  <si>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</si>
  <si>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</si>
  <si>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Above</t>
  </si>
  <si>
    <t>=IF(OR(AND(B7&gt;0,B7&lt;=1500000),AND(B7&gt;1500000,B7&lt;=2500000),AND(B7&gt;2500000,B7&lt;=10000000),AND(B7&gt;10000000,B7&lt;=50000000),AND(B7&gt;50000000,B7&lt;=100000000),(B7&gt;100000000)),IF(AND(B7&gt;0,B7&lt;=1500000),2%,IF(AND(B7&gt;1500000,B7&lt;=2500000),3%,IF(AND(B7&gt;2500000,B7&lt;=10000000),4%,IF(AND(B7&gt;10000000,B7&lt;=50000000),5%,IF(AND(B7&gt;50000000,B7&lt;=100000000),6%,IF(B7&gt;100000000,7%)))))),IF(AND(B7&gt;0,B7&lt;=1500000),0,IF(AND(B7&gt;1500000,B7&lt;=2500000),0,IF(AND(B7&gt;2500000,B7&lt;=10000000),0,IF(AND(B7&gt;10000000,B7&lt;=50000000),0,IF(AND(B7&gt;50000000,B7&lt;=100000000),0,IF(B7&gt;100000000,0)))))))</t>
  </si>
  <si>
    <t xml:space="preserve">Party Name: </t>
  </si>
  <si>
    <t>Shahabulla Travell Bag</t>
  </si>
  <si>
    <t>Address:</t>
  </si>
  <si>
    <t>Ramna</t>
  </si>
  <si>
    <t>Financial Year:</t>
  </si>
  <si>
    <t>2017-2018</t>
  </si>
  <si>
    <t>Nature of Job:</t>
  </si>
  <si>
    <t>Supply of Travelling Kit</t>
  </si>
  <si>
    <t>Payment Gross</t>
  </si>
  <si>
    <t>VAT @</t>
  </si>
  <si>
    <t>Payment after VAT</t>
  </si>
  <si>
    <t>Cumulative Payment (Base Value)</t>
  </si>
  <si>
    <t>Tax Rate as per 
Base Value</t>
  </si>
  <si>
    <t>Tax Cumulative</t>
  </si>
  <si>
    <t>Tax Already Deducted</t>
  </si>
  <si>
    <t>Tax Ded. from Present Bill</t>
  </si>
  <si>
    <t>Net Payment after TAX&amp;VAT</t>
  </si>
  <si>
    <t>As per ACME</t>
  </si>
  <si>
    <t>Base Value will be higher one among Contract price, Bill and Payment.</t>
  </si>
  <si>
    <t>TDS rate will be as per base value.</t>
  </si>
  <si>
    <t>Slab and Tax Rate</t>
  </si>
  <si>
    <t>Sajib's Ashwein maser Ostomir din 5 days old .</t>
  </si>
  <si>
    <t>Actual Birth Date:</t>
  </si>
  <si>
    <t>As pr Certificate :</t>
  </si>
  <si>
    <t>NYetDue</t>
  </si>
  <si>
    <t>Slab amount</t>
  </si>
  <si>
    <t>Calculation amount</t>
  </si>
  <si>
    <t>NYD</t>
  </si>
  <si>
    <t>91-180</t>
  </si>
  <si>
    <t>&gt;180</t>
  </si>
  <si>
    <t>Are you a parent/legal guardian of a person wih disability?</t>
  </si>
  <si>
    <t>No</t>
  </si>
  <si>
    <t>If you are a parent of a person with disability, has your spouse availed the extended tax exemption threshold?</t>
  </si>
  <si>
    <t>Up to First</t>
  </si>
  <si>
    <t>Nil</t>
  </si>
  <si>
    <t>Next</t>
  </si>
  <si>
    <t>Remaining</t>
  </si>
  <si>
    <t>Female</t>
  </si>
  <si>
    <t>TYPE</t>
  </si>
  <si>
    <t>Taxable Income</t>
  </si>
  <si>
    <t>Shuesanquar Kumar Paul Sree</t>
  </si>
  <si>
    <t>Sajon ali</t>
  </si>
  <si>
    <t>rony</t>
  </si>
  <si>
    <t>Sajib Sarker ORIG man</t>
  </si>
  <si>
    <t>SS</t>
  </si>
  <si>
    <t>ZZZZZZZ</t>
  </si>
  <si>
    <t>03395    SAJIB SARKER</t>
  </si>
  <si>
    <t>0768Sajib Sarker Dew</t>
  </si>
  <si>
    <t>383413907257</t>
  </si>
  <si>
    <t xml:space="preserve">       345 Sajib 354        </t>
  </si>
  <si>
    <t>sssss sasdf</t>
  </si>
  <si>
    <t>12345678909922      Rocky Set</t>
  </si>
  <si>
    <t>ddd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</si>
</sst>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&quot;Tk.&quot;#,##0.00_);[Red]\(&quot;Tk.&quot;#,##0.00\)"/>
    <numFmt numFmtId="166" formatCode="_(* #,##0_);_(* \(#,##0\);_(* &quot;-&quot;??_);_(@_)"/>
    <numFmt numFmtId="167" formatCode="[$-82C]dd\ mmmm\ yyyy;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omic Sans MS"/>
      <family val="4"/>
    </font>
    <font>
      <u/>
      <sz val="10"/>
      <color theme="1"/>
      <name val="Comic Sans MS"/>
      <family val="4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sz val="8"/>
      <color rgb="FF00B05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6" tint="-0.49998474074526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u/>
      <sz val="10"/>
      <color theme="1"/>
      <name val="Comic Sans MS"/>
      <family val="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Comic Sans MS"/>
    </font>
    <font>
      <sz val="10"/>
      <color theme="1"/>
      <name val="Calibri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Tahoma"/>
      <family val="2"/>
    </font>
    <font>
      <sz val="7.5"/>
      <color theme="1"/>
      <name val="Tahoma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</borders>
  <cellStyleXfs count="8">
    <xf numFmtId="0" fontId="0" fillId="0" borderId="0"/>
    <xf numFmtId="164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6" fillId="2" borderId="0" applyNumberFormat="0" applyFont="0" applyBorder="0" applyAlignment="0" applyProtection="0"/>
    <xf numFmtId="0" fontId="26" fillId="0" borderId="0"/>
    <xf numFmtId="0" fontId="26" fillId="0" borderId="0"/>
    <xf numFmtId="9" fontId="6" fillId="0" borderId="0" applyFont="0" applyFill="0" applyBorder="0" applyAlignment="0" applyProtection="0"/>
  </cellStyleXfs>
  <cellXfs count="189">
    <xf numFmtId="0" fontId="0" fillId="0" borderId="0" xfId="0"/>
    <xf numFmtId="0" fontId="2" fillId="0" borderId="0" xfId="0" applyFont="1"/>
    <xf numFmtId="1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3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NumberFormat="1" applyFont="1"/>
    <xf numFmtId="0" fontId="7" fillId="0" borderId="0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16" fontId="7" fillId="0" borderId="0" xfId="0" applyNumberFormat="1" applyFont="1" applyFill="1" applyBorder="1" applyAlignment="1">
      <alignment horizontal="center" vertical="center" wrapText="1"/>
    </xf>
    <xf numFmtId="1" fontId="7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/>
    <xf numFmtId="49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1" fontId="7" fillId="0" borderId="0" xfId="0" applyNumberFormat="1" applyFont="1" applyFill="1" applyBorder="1"/>
    <xf numFmtId="1" fontId="7" fillId="0" borderId="0" xfId="0" applyNumberFormat="1" applyFont="1" applyFill="1" applyBorder="1" applyAlignment="1">
      <alignment horizontal="right"/>
    </xf>
    <xf numFmtId="1" fontId="7" fillId="0" borderId="0" xfId="0" applyNumberFormat="1" applyFont="1" applyFill="1" applyBorder="1" applyAlignment="1"/>
    <xf numFmtId="1" fontId="8" fillId="0" borderId="0" xfId="0" applyNumberFormat="1" applyFont="1" applyFill="1" applyBorder="1"/>
    <xf numFmtId="1" fontId="8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 applyBorder="1"/>
    <xf numFmtId="1" fontId="8" fillId="0" borderId="0" xfId="0" applyNumberFormat="1" applyFont="1" applyFill="1" applyBorder="1" applyAlignment="1">
      <alignment horizontal="right"/>
    </xf>
    <xf numFmtId="1" fontId="8" fillId="0" borderId="0" xfId="0" applyNumberFormat="1" applyFont="1" applyFill="1" applyBorder="1" applyAlignment="1"/>
    <xf numFmtId="0" fontId="9" fillId="0" borderId="0" xfId="0" applyFont="1"/>
    <xf numFmtId="0" fontId="11" fillId="0" borderId="0" xfId="0" applyFont="1" applyFill="1" applyBorder="1"/>
    <xf numFmtId="0" fontId="11" fillId="0" borderId="0" xfId="0" applyFont="1" applyFill="1" applyBorder="1" applyAlignment="1">
      <alignment horizontal="center"/>
    </xf>
    <xf numFmtId="0" fontId="1" fillId="0" borderId="0" xfId="2" applyAlignment="1">
      <alignment horizontal="center" vertical="center"/>
    </xf>
    <xf numFmtId="0" fontId="1" fillId="0" borderId="0" xfId="2" applyAlignment="1">
      <alignment horizontal="left" vertical="center"/>
    </xf>
    <xf numFmtId="0" fontId="17" fillId="2" borderId="2" xfId="4" applyFont="1" applyBorder="1" applyProtection="1">
      <protection locked="0"/>
    </xf>
    <xf numFmtId="0" fontId="1" fillId="0" borderId="0" xfId="2" applyBorder="1" applyAlignment="1">
      <alignment horizontal="left" vertical="center"/>
    </xf>
    <xf numFmtId="15" fontId="18" fillId="2" borderId="2" xfId="4" applyNumberFormat="1" applyFont="1" applyBorder="1" applyProtection="1">
      <protection locked="0"/>
    </xf>
    <xf numFmtId="0" fontId="1" fillId="0" borderId="3" xfId="2" applyBorder="1" applyAlignment="1">
      <alignment horizontal="left" vertical="center"/>
    </xf>
    <xf numFmtId="0" fontId="1" fillId="0" borderId="4" xfId="2" applyBorder="1" applyAlignment="1">
      <alignment horizontal="left" vertical="center"/>
    </xf>
    <xf numFmtId="0" fontId="1" fillId="0" borderId="5" xfId="2" applyBorder="1" applyAlignment="1">
      <alignment horizontal="left" vertical="center"/>
    </xf>
    <xf numFmtId="0" fontId="1" fillId="0" borderId="6" xfId="2" applyBorder="1" applyAlignment="1">
      <alignment horizontal="center" vertical="center"/>
    </xf>
    <xf numFmtId="0" fontId="1" fillId="0" borderId="7" xfId="2" applyBorder="1" applyAlignment="1">
      <alignment horizontal="left" vertical="center"/>
    </xf>
    <xf numFmtId="0" fontId="1" fillId="0" borderId="6" xfId="2" applyBorder="1" applyProtection="1">
      <protection locked="0"/>
    </xf>
    <xf numFmtId="0" fontId="1" fillId="0" borderId="0" xfId="2" applyBorder="1" applyProtection="1">
      <protection locked="0"/>
    </xf>
    <xf numFmtId="15" fontId="1" fillId="0" borderId="0" xfId="2" applyNumberFormat="1" applyBorder="1" applyAlignment="1">
      <alignment horizontal="left" vertical="center"/>
    </xf>
    <xf numFmtId="0" fontId="1" fillId="0" borderId="8" xfId="2" applyBorder="1" applyAlignment="1">
      <alignment horizontal="left" vertical="center"/>
    </xf>
    <xf numFmtId="0" fontId="1" fillId="0" borderId="9" xfId="2" applyBorder="1" applyAlignment="1">
      <alignment horizontal="left" vertical="center"/>
    </xf>
    <xf numFmtId="0" fontId="1" fillId="0" borderId="9" xfId="2" applyBorder="1" applyProtection="1">
      <protection locked="0"/>
    </xf>
    <xf numFmtId="167" fontId="1" fillId="0" borderId="9" xfId="2" applyNumberFormat="1" applyBorder="1" applyAlignment="1">
      <alignment horizontal="left" vertical="center"/>
    </xf>
    <xf numFmtId="0" fontId="1" fillId="0" borderId="10" xfId="2" applyBorder="1" applyAlignment="1">
      <alignment horizontal="left" vertical="center"/>
    </xf>
    <xf numFmtId="166" fontId="1" fillId="0" borderId="0" xfId="1" applyNumberFormat="1" applyFont="1" applyAlignment="1">
      <alignment horizontal="left" vertical="center"/>
    </xf>
    <xf numFmtId="9" fontId="0" fillId="0" borderId="0" xfId="0" applyNumberFormat="1"/>
    <xf numFmtId="0" fontId="13" fillId="0" borderId="0" xfId="2" applyFont="1" applyFill="1"/>
    <xf numFmtId="0" fontId="14" fillId="0" borderId="0" xfId="2" applyFont="1" applyFill="1" applyAlignment="1">
      <alignment horizontal="center"/>
    </xf>
    <xf numFmtId="166" fontId="13" fillId="0" borderId="0" xfId="3" applyNumberFormat="1" applyFont="1" applyFill="1"/>
    <xf numFmtId="0" fontId="1" fillId="0" borderId="0" xfId="2" applyFill="1"/>
    <xf numFmtId="14" fontId="1" fillId="0" borderId="0" xfId="2" applyNumberFormat="1" applyFill="1"/>
    <xf numFmtId="166" fontId="0" fillId="0" borderId="0" xfId="3" applyNumberFormat="1" applyFont="1" applyFill="1"/>
    <xf numFmtId="14" fontId="15" fillId="0" borderId="0" xfId="2" applyNumberFormat="1" applyFont="1" applyFill="1"/>
    <xf numFmtId="166" fontId="12" fillId="0" borderId="0" xfId="3" applyNumberFormat="1" applyFont="1" applyFill="1"/>
    <xf numFmtId="0" fontId="12" fillId="0" borderId="0" xfId="2" applyFont="1" applyFill="1"/>
    <xf numFmtId="166" fontId="0" fillId="0" borderId="0" xfId="1" applyNumberFormat="1" applyFont="1"/>
    <xf numFmtId="166" fontId="9" fillId="0" borderId="11" xfId="1" applyNumberFormat="1" applyFont="1" applyBorder="1"/>
    <xf numFmtId="166" fontId="9" fillId="0" borderId="12" xfId="1" applyNumberFormat="1" applyFont="1" applyBorder="1"/>
    <xf numFmtId="166" fontId="9" fillId="0" borderId="13" xfId="1" applyNumberFormat="1" applyFont="1" applyBorder="1"/>
    <xf numFmtId="0" fontId="19" fillId="0" borderId="0" xfId="2" applyFont="1" applyFill="1"/>
    <xf numFmtId="166" fontId="12" fillId="0" borderId="1" xfId="3" applyNumberFormat="1" applyFont="1" applyFill="1" applyBorder="1"/>
    <xf numFmtId="0" fontId="20" fillId="0" borderId="0" xfId="0" applyFont="1"/>
    <xf numFmtId="0" fontId="0" fillId="0" borderId="0" xfId="0" applyAlignment="1">
      <alignment horizontal="left" vertical="center"/>
    </xf>
    <xf numFmtId="15" fontId="0" fillId="0" borderId="0" xfId="0" applyNumberFormat="1" applyFont="1"/>
    <xf numFmtId="4" fontId="0" fillId="0" borderId="0" xfId="0" applyNumberFormat="1"/>
    <xf numFmtId="4" fontId="20" fillId="0" borderId="1" xfId="0" applyNumberFormat="1" applyFont="1" applyBorder="1"/>
    <xf numFmtId="4" fontId="2" fillId="0" borderId="2" xfId="0" applyNumberFormat="1" applyFont="1" applyBorder="1" applyProtection="1">
      <protection hidden="1"/>
    </xf>
    <xf numFmtId="0" fontId="21" fillId="0" borderId="2" xfId="0" applyFont="1" applyBorder="1" applyAlignment="1" applyProtection="1">
      <alignment horizontal="center" wrapText="1"/>
      <protection hidden="1"/>
    </xf>
    <xf numFmtId="0" fontId="21" fillId="0" borderId="2" xfId="0" applyFont="1" applyBorder="1" applyAlignment="1" applyProtection="1">
      <alignment horizontal="left" vertical="center" wrapText="1"/>
      <protection hidden="1"/>
    </xf>
    <xf numFmtId="15" fontId="21" fillId="0" borderId="2" xfId="0" applyNumberFormat="1" applyFont="1" applyBorder="1" applyAlignment="1" applyProtection="1">
      <alignment horizontal="center" wrapText="1"/>
      <protection hidden="1"/>
    </xf>
    <xf numFmtId="4" fontId="21" fillId="0" borderId="2" xfId="0" applyNumberFormat="1" applyFont="1" applyBorder="1" applyAlignment="1" applyProtection="1">
      <alignment horizontal="center" wrapText="1"/>
      <protection hidden="1"/>
    </xf>
    <xf numFmtId="1" fontId="3" fillId="0" borderId="2" xfId="0" applyNumberFormat="1" applyFont="1" applyBorder="1" applyAlignment="1" applyProtection="1">
      <alignment horizontal="left" wrapText="1"/>
      <protection hidden="1"/>
    </xf>
    <xf numFmtId="49" fontId="3" fillId="0" borderId="2" xfId="0" applyNumberFormat="1" applyFont="1" applyBorder="1" applyAlignment="1" applyProtection="1">
      <alignment horizontal="left" vertical="center" wrapText="1"/>
      <protection hidden="1"/>
    </xf>
    <xf numFmtId="0" fontId="2" fillId="0" borderId="2" xfId="0" applyFont="1" applyBorder="1" applyProtection="1">
      <protection hidden="1"/>
    </xf>
    <xf numFmtId="49" fontId="3" fillId="0" borderId="2" xfId="0" applyNumberFormat="1" applyFont="1" applyBorder="1" applyAlignment="1" applyProtection="1">
      <alignment horizontal="left" wrapText="1"/>
      <protection hidden="1"/>
    </xf>
    <xf numFmtId="15" fontId="3" fillId="0" borderId="2" xfId="0" applyNumberFormat="1" applyFont="1" applyBorder="1" applyAlignment="1" applyProtection="1">
      <alignment horizontal="left" wrapText="1"/>
      <protection hidden="1"/>
    </xf>
    <xf numFmtId="3" fontId="3" fillId="0" borderId="2" xfId="0" applyNumberFormat="1" applyFont="1" applyBorder="1" applyAlignment="1" applyProtection="1">
      <alignment horizontal="left" wrapText="1"/>
      <protection hidden="1"/>
    </xf>
    <xf numFmtId="9" fontId="9" fillId="0" borderId="0" xfId="1" applyNumberFormat="1" applyFont="1" applyAlignment="1">
      <alignment horizontal="center" vertical="center"/>
    </xf>
    <xf numFmtId="166" fontId="20" fillId="0" borderId="1" xfId="1" applyNumberFormat="1" applyFont="1" applyBorder="1"/>
    <xf numFmtId="9" fontId="0" fillId="0" borderId="0" xfId="1" applyNumberFormat="1" applyFont="1"/>
    <xf numFmtId="3" fontId="0" fillId="0" borderId="0" xfId="0" applyNumberFormat="1"/>
    <xf numFmtId="4" fontId="21" fillId="0" borderId="0" xfId="0" applyNumberFormat="1" applyFont="1" applyBorder="1" applyAlignment="1" applyProtection="1">
      <alignment horizontal="center" wrapText="1"/>
      <protection hidden="1"/>
    </xf>
    <xf numFmtId="4" fontId="2" fillId="0" borderId="0" xfId="0" applyNumberFormat="1" applyFont="1" applyBorder="1" applyProtection="1">
      <protection hidden="1"/>
    </xf>
    <xf numFmtId="4" fontId="20" fillId="0" borderId="0" xfId="0" applyNumberFormat="1" applyFont="1" applyBorder="1"/>
    <xf numFmtId="166" fontId="20" fillId="0" borderId="0" xfId="1" applyNumberFormat="1" applyFont="1"/>
    <xf numFmtId="1" fontId="3" fillId="0" borderId="14" xfId="0" applyNumberFormat="1" applyFont="1" applyBorder="1" applyAlignment="1" applyProtection="1">
      <alignment horizontal="left" wrapText="1"/>
      <protection hidden="1"/>
    </xf>
    <xf numFmtId="4" fontId="2" fillId="0" borderId="15" xfId="0" applyNumberFormat="1" applyFont="1" applyBorder="1" applyProtection="1">
      <protection hidden="1"/>
    </xf>
    <xf numFmtId="0" fontId="21" fillId="0" borderId="3" xfId="0" applyFont="1" applyBorder="1" applyAlignment="1" applyProtection="1">
      <alignment horizontal="center" wrapText="1"/>
      <protection hidden="1"/>
    </xf>
    <xf numFmtId="0" fontId="21" fillId="0" borderId="13" xfId="0" applyFont="1" applyBorder="1" applyAlignment="1" applyProtection="1">
      <alignment horizontal="left" vertical="center" wrapText="1"/>
      <protection hidden="1"/>
    </xf>
    <xf numFmtId="0" fontId="21" fillId="0" borderId="13" xfId="0" applyFont="1" applyBorder="1" applyAlignment="1" applyProtection="1">
      <alignment horizontal="center" wrapText="1"/>
      <protection hidden="1"/>
    </xf>
    <xf numFmtId="15" fontId="21" fillId="0" borderId="13" xfId="0" applyNumberFormat="1" applyFont="1" applyBorder="1" applyAlignment="1" applyProtection="1">
      <alignment horizontal="center" wrapText="1"/>
      <protection hidden="1"/>
    </xf>
    <xf numFmtId="4" fontId="21" fillId="0" borderId="5" xfId="0" applyNumberFormat="1" applyFont="1" applyBorder="1" applyAlignment="1" applyProtection="1">
      <alignment horizontal="center" wrapText="1"/>
      <protection hidden="1"/>
    </xf>
    <xf numFmtId="1" fontId="3" fillId="0" borderId="8" xfId="0" applyNumberFormat="1" applyFont="1" applyBorder="1" applyAlignment="1" applyProtection="1">
      <alignment horizontal="left" wrapText="1"/>
      <protection hidden="1"/>
    </xf>
    <xf numFmtId="49" fontId="3" fillId="0" borderId="11" xfId="0" applyNumberFormat="1" applyFont="1" applyBorder="1" applyAlignment="1" applyProtection="1">
      <alignment horizontal="left" vertical="center" wrapText="1"/>
      <protection hidden="1"/>
    </xf>
    <xf numFmtId="49" fontId="3" fillId="0" borderId="11" xfId="0" applyNumberFormat="1" applyFont="1" applyBorder="1" applyAlignment="1" applyProtection="1">
      <alignment horizontal="left" wrapText="1"/>
      <protection hidden="1"/>
    </xf>
    <xf numFmtId="15" fontId="3" fillId="0" borderId="11" xfId="0" applyNumberFormat="1" applyFont="1" applyBorder="1" applyAlignment="1" applyProtection="1">
      <alignment horizontal="left" wrapText="1"/>
      <protection hidden="1"/>
    </xf>
    <xf numFmtId="4" fontId="2" fillId="0" borderId="10" xfId="0" applyNumberFormat="1" applyFont="1" applyBorder="1" applyProtection="1">
      <protection hidden="1"/>
    </xf>
    <xf numFmtId="165" fontId="3" fillId="0" borderId="2" xfId="0" applyNumberFormat="1" applyFont="1" applyBorder="1" applyAlignment="1" applyProtection="1">
      <alignment horizontal="left" wrapText="1"/>
      <protection hidden="1"/>
    </xf>
    <xf numFmtId="1" fontId="24" fillId="0" borderId="8" xfId="0" applyNumberFormat="1" applyFont="1" applyBorder="1" applyAlignment="1" applyProtection="1">
      <alignment horizontal="left" wrapText="1"/>
      <protection hidden="1"/>
    </xf>
    <xf numFmtId="49" fontId="24" fillId="0" borderId="11" xfId="0" applyNumberFormat="1" applyFont="1" applyBorder="1" applyAlignment="1" applyProtection="1">
      <alignment horizontal="left" vertical="center" wrapText="1"/>
      <protection hidden="1"/>
    </xf>
    <xf numFmtId="49" fontId="24" fillId="0" borderId="11" xfId="0" applyNumberFormat="1" applyFont="1" applyBorder="1" applyAlignment="1" applyProtection="1">
      <alignment horizontal="left" wrapText="1"/>
      <protection hidden="1"/>
    </xf>
    <xf numFmtId="15" fontId="24" fillId="0" borderId="11" xfId="0" applyNumberFormat="1" applyFont="1" applyBorder="1" applyAlignment="1" applyProtection="1">
      <alignment horizontal="left" wrapText="1"/>
      <protection hidden="1"/>
    </xf>
    <xf numFmtId="4" fontId="25" fillId="0" borderId="10" xfId="0" applyNumberFormat="1" applyFont="1" applyBorder="1" applyProtection="1">
      <protection hidden="1"/>
    </xf>
    <xf numFmtId="0" fontId="27" fillId="0" borderId="0" xfId="5" applyFont="1" applyFill="1" applyAlignment="1">
      <alignment horizontal="center" vertical="center"/>
    </xf>
    <xf numFmtId="0" fontId="26" fillId="0" borderId="0" xfId="5" applyFill="1" applyBorder="1"/>
    <xf numFmtId="0" fontId="26" fillId="0" borderId="0" xfId="5" applyFill="1" applyBorder="1" applyAlignment="1">
      <alignment horizontal="center" vertical="center"/>
    </xf>
    <xf numFmtId="0" fontId="26" fillId="0" borderId="0" xfId="5" applyFont="1" applyFill="1" applyBorder="1" applyAlignment="1">
      <alignment horizontal="center" vertical="center"/>
    </xf>
    <xf numFmtId="0" fontId="26" fillId="0" borderId="0" xfId="5" applyFont="1" applyFill="1" applyBorder="1"/>
    <xf numFmtId="164" fontId="26" fillId="0" borderId="0" xfId="6" applyNumberFormat="1" applyFill="1" applyBorder="1"/>
    <xf numFmtId="164" fontId="26" fillId="0" borderId="0" xfId="6" applyNumberFormat="1" applyFill="1"/>
    <xf numFmtId="0" fontId="26" fillId="0" borderId="11" xfId="5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8" fillId="3" borderId="0" xfId="0" applyFont="1" applyFill="1"/>
    <xf numFmtId="0" fontId="0" fillId="0" borderId="0" xfId="0" applyFill="1"/>
    <xf numFmtId="0" fontId="28" fillId="0" borderId="0" xfId="0" applyFont="1" applyFill="1"/>
    <xf numFmtId="166" fontId="0" fillId="0" borderId="0" xfId="1" applyNumberFormat="1" applyFont="1" applyFill="1"/>
    <xf numFmtId="9" fontId="0" fillId="0" borderId="0" xfId="0" applyNumberFormat="1" applyFill="1"/>
    <xf numFmtId="166" fontId="28" fillId="3" borderId="0" xfId="1" applyNumberFormat="1" applyFont="1" applyFill="1"/>
    <xf numFmtId="0" fontId="28" fillId="4" borderId="0" xfId="0" applyFont="1" applyFill="1"/>
    <xf numFmtId="0" fontId="0" fillId="3" borderId="0" xfId="0" applyFill="1"/>
    <xf numFmtId="9" fontId="0" fillId="0" borderId="0" xfId="0" quotePrefix="1" applyNumberFormat="1" applyAlignment="1">
      <alignment horizontal="left"/>
    </xf>
    <xf numFmtId="9" fontId="0" fillId="0" borderId="22" xfId="0" applyNumberFormat="1" applyBorder="1" applyAlignment="1">
      <alignment horizontal="center" vertical="center" wrapText="1"/>
    </xf>
    <xf numFmtId="14" fontId="0" fillId="0" borderId="22" xfId="0" applyNumberFormat="1" applyBorder="1"/>
    <xf numFmtId="166" fontId="0" fillId="0" borderId="22" xfId="1" applyNumberFormat="1" applyFont="1" applyBorder="1"/>
    <xf numFmtId="9" fontId="0" fillId="0" borderId="22" xfId="1" applyNumberFormat="1" applyFont="1" applyBorder="1" applyAlignment="1">
      <alignment horizontal="center"/>
    </xf>
    <xf numFmtId="0" fontId="0" fillId="0" borderId="22" xfId="0" applyBorder="1"/>
    <xf numFmtId="166" fontId="0" fillId="0" borderId="0" xfId="1" applyNumberFormat="1" applyFont="1" applyAlignment="1">
      <alignment horizontal="center"/>
    </xf>
    <xf numFmtId="0" fontId="0" fillId="0" borderId="0" xfId="0" applyBorder="1"/>
    <xf numFmtId="166" fontId="29" fillId="0" borderId="2" xfId="1" applyNumberFormat="1" applyFont="1" applyBorder="1"/>
    <xf numFmtId="9" fontId="29" fillId="0" borderId="2" xfId="0" applyNumberFormat="1" applyFont="1" applyBorder="1" applyAlignment="1">
      <alignment horizontal="center" vertical="center"/>
    </xf>
    <xf numFmtId="9" fontId="0" fillId="0" borderId="0" xfId="0" applyNumberFormat="1" applyBorder="1"/>
    <xf numFmtId="0" fontId="29" fillId="0" borderId="2" xfId="0" applyFont="1" applyBorder="1"/>
    <xf numFmtId="0" fontId="20" fillId="0" borderId="0" xfId="0" applyFont="1" applyBorder="1"/>
    <xf numFmtId="166" fontId="6" fillId="0" borderId="0" xfId="1" applyNumberFormat="1" applyFont="1"/>
    <xf numFmtId="0" fontId="0" fillId="0" borderId="0" xfId="0" applyAlignment="1">
      <alignment horizontal="center" vertical="center"/>
    </xf>
    <xf numFmtId="166" fontId="6" fillId="0" borderId="0" xfId="0" applyNumberFormat="1" applyFont="1"/>
    <xf numFmtId="0" fontId="12" fillId="0" borderId="0" xfId="2" applyFont="1" applyAlignment="1">
      <alignment horizontal="left" vertical="center"/>
    </xf>
    <xf numFmtId="14" fontId="1" fillId="0" borderId="0" xfId="2" applyNumberFormat="1" applyAlignment="1">
      <alignment horizontal="center" vertical="center"/>
    </xf>
    <xf numFmtId="14" fontId="1" fillId="0" borderId="0" xfId="2" applyNumberFormat="1" applyAlignment="1">
      <alignment horizontal="left" vertical="center"/>
    </xf>
    <xf numFmtId="0" fontId="1" fillId="0" borderId="0" xfId="2" quotePrefix="1" applyAlignment="1">
      <alignment horizontal="left" vertical="center"/>
    </xf>
    <xf numFmtId="0" fontId="1" fillId="0" borderId="0" xfId="2" applyFill="1" applyAlignment="1">
      <alignment horizontal="center" vertical="center"/>
    </xf>
    <xf numFmtId="0" fontId="13" fillId="0" borderId="0" xfId="2" applyFont="1" applyFill="1" applyAlignment="1">
      <alignment horizontal="center" vertical="center"/>
    </xf>
    <xf numFmtId="0" fontId="12" fillId="0" borderId="0" xfId="2" applyFont="1" applyFill="1" applyAlignment="1">
      <alignment horizontal="center" vertical="center"/>
    </xf>
    <xf numFmtId="14" fontId="12" fillId="0" borderId="0" xfId="2" applyNumberFormat="1" applyFont="1" applyFill="1" applyAlignment="1">
      <alignment horizontal="center" vertical="center"/>
    </xf>
    <xf numFmtId="166" fontId="20" fillId="0" borderId="1" xfId="3" applyNumberFormat="1" applyFont="1" applyFill="1" applyBorder="1"/>
    <xf numFmtId="164" fontId="30" fillId="0" borderId="0" xfId="1" applyNumberFormat="1" applyFont="1" applyFill="1" applyBorder="1"/>
    <xf numFmtId="164" fontId="30" fillId="0" borderId="0" xfId="1" applyNumberFormat="1" applyFont="1" applyFill="1" applyBorder="1" applyAlignment="1">
      <alignment horizontal="right"/>
    </xf>
    <xf numFmtId="164" fontId="30" fillId="0" borderId="0" xfId="1" applyNumberFormat="1" applyFont="1" applyFill="1" applyBorder="1" applyAlignment="1">
      <alignment horizontal="center"/>
    </xf>
    <xf numFmtId="164" fontId="30" fillId="0" borderId="27" xfId="1" applyNumberFormat="1" applyFont="1" applyFill="1" applyBorder="1" applyAlignment="1">
      <alignment horizontal="center"/>
    </xf>
    <xf numFmtId="9" fontId="30" fillId="0" borderId="0" xfId="7" applyFont="1" applyFill="1" applyBorder="1" applyAlignment="1">
      <alignment horizontal="center"/>
    </xf>
    <xf numFmtId="164" fontId="30" fillId="0" borderId="27" xfId="1" applyNumberFormat="1" applyFont="1" applyFill="1" applyBorder="1"/>
    <xf numFmtId="9" fontId="30" fillId="0" borderId="28" xfId="7" applyFont="1" applyFill="1" applyBorder="1" applyAlignment="1">
      <alignment horizontal="center"/>
    </xf>
    <xf numFmtId="164" fontId="30" fillId="0" borderId="29" xfId="1" applyNumberFormat="1" applyFont="1" applyFill="1" applyBorder="1"/>
    <xf numFmtId="164" fontId="32" fillId="0" borderId="30" xfId="1" applyNumberFormat="1" applyFont="1" applyFill="1" applyBorder="1"/>
    <xf numFmtId="9" fontId="0" fillId="0" borderId="0" xfId="1" applyNumberFormat="1" applyFont="1" applyFill="1"/>
    <xf numFmtId="164" fontId="32" fillId="0" borderId="31" xfId="1" applyNumberFormat="1" applyFont="1" applyFill="1" applyBorder="1" applyAlignment="1" applyProtection="1">
      <alignment horizontal="center"/>
      <protection locked="0"/>
    </xf>
    <xf numFmtId="164" fontId="32" fillId="0" borderId="26" xfId="1" applyNumberFormat="1" applyFont="1" applyFill="1" applyBorder="1" applyAlignment="1" applyProtection="1">
      <alignment horizontal="center"/>
      <protection locked="0"/>
    </xf>
    <xf numFmtId="164" fontId="0" fillId="0" borderId="1" xfId="0" applyNumberFormat="1" applyFill="1" applyBorder="1"/>
    <xf numFmtId="164" fontId="4" fillId="0" borderId="0" xfId="1" applyFont="1" applyAlignment="1">
      <alignment horizontal="center" wrapText="1"/>
    </xf>
    <xf numFmtId="164" fontId="2" fillId="0" borderId="0" xfId="1" applyFont="1"/>
    <xf numFmtId="164" fontId="0" fillId="0" borderId="0" xfId="1" applyFont="1"/>
    <xf numFmtId="0" fontId="0" fillId="5" borderId="0" xfId="0" applyFill="1"/>
    <xf numFmtId="0" fontId="34" fillId="0" borderId="0" xfId="0" applyFont="1"/>
    <xf numFmtId="0" fontId="0" fillId="0" borderId="0" xfId="0" quotePrefix="1"/>
    <xf numFmtId="0" fontId="0" fillId="0" borderId="2" xfId="0" applyFill="1" applyBorder="1"/>
    <xf numFmtId="164" fontId="31" fillId="0" borderId="23" xfId="1" applyNumberFormat="1" applyFont="1" applyFill="1" applyBorder="1" applyAlignment="1">
      <alignment horizontal="justify" vertical="center" wrapText="1"/>
    </xf>
    <xf numFmtId="164" fontId="31" fillId="0" borderId="24" xfId="1" applyNumberFormat="1" applyFont="1" applyFill="1" applyBorder="1" applyAlignment="1">
      <alignment horizontal="justify" vertical="center" wrapText="1"/>
    </xf>
    <xf numFmtId="164" fontId="31" fillId="0" borderId="25" xfId="1" applyNumberFormat="1" applyFont="1" applyFill="1" applyBorder="1" applyAlignment="1">
      <alignment horizontal="justify" vertical="center" wrapText="1"/>
    </xf>
    <xf numFmtId="164" fontId="33" fillId="0" borderId="23" xfId="1" applyNumberFormat="1" applyFont="1" applyFill="1" applyBorder="1" applyAlignment="1">
      <alignment horizontal="justify" vertical="center" wrapText="1"/>
    </xf>
    <xf numFmtId="164" fontId="33" fillId="0" borderId="24" xfId="1" applyNumberFormat="1" applyFont="1" applyFill="1" applyBorder="1" applyAlignment="1">
      <alignment horizontal="justify" vertical="center" wrapText="1"/>
    </xf>
    <xf numFmtId="164" fontId="33" fillId="0" borderId="25" xfId="1" applyNumberFormat="1" applyFont="1" applyFill="1" applyBorder="1" applyAlignment="1">
      <alignment horizontal="justify" vertical="center" wrapText="1"/>
    </xf>
    <xf numFmtId="0" fontId="0" fillId="0" borderId="16" xfId="0" applyNumberFormat="1" applyBorder="1" applyAlignment="1">
      <alignment horizontal="center" vertical="center" wrapText="1"/>
    </xf>
    <xf numFmtId="0" fontId="0" fillId="0" borderId="18" xfId="0" applyNumberFormat="1" applyBorder="1" applyAlignment="1">
      <alignment horizontal="center" vertical="center" wrapText="1"/>
    </xf>
    <xf numFmtId="0" fontId="0" fillId="0" borderId="21" xfId="0" applyNumberFormat="1" applyBorder="1" applyAlignment="1">
      <alignment horizontal="center" vertical="center" wrapText="1"/>
    </xf>
    <xf numFmtId="0" fontId="0" fillId="0" borderId="17" xfId="0" applyNumberFormat="1" applyBorder="1" applyAlignment="1">
      <alignment horizontal="center" vertical="center" wrapText="1"/>
    </xf>
    <xf numFmtId="0" fontId="0" fillId="0" borderId="19" xfId="0" applyNumberFormat="1" applyBorder="1" applyAlignment="1">
      <alignment horizontal="center" vertical="center" wrapText="1"/>
    </xf>
    <xf numFmtId="0" fontId="0" fillId="0" borderId="20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20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5" borderId="0" xfId="0" applyFill="1" applyAlignment="1">
      <alignment horizontal="left"/>
    </xf>
  </cellXfs>
  <cellStyles count="8">
    <cellStyle name="Comma" xfId="1" builtinId="3"/>
    <cellStyle name="Comma 2" xfId="3" xr:uid="{00000000-0005-0000-0000-000001000000}"/>
    <cellStyle name="Comma 3" xfId="6" xr:uid="{00000000-0005-0000-0000-000002000000}"/>
    <cellStyle name="Normal" xfId="0" builtinId="0"/>
    <cellStyle name="Normal 2" xfId="2" xr:uid="{00000000-0005-0000-0000-000004000000}"/>
    <cellStyle name="Normal 3" xfId="5" xr:uid="{00000000-0005-0000-0000-000005000000}"/>
    <cellStyle name="Percent" xfId="7" builtinId="5"/>
    <cellStyle name="Yellow" xfId="4" xr:uid="{00000000-0005-0000-0000-000007000000}"/>
  </cellStyles>
  <dxfs count="1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4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4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4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4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4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4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4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4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4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4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4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164" formatCode="_(* #,##0.00_);_(* \(#,##0.00\);_(* &quot;-&quot;??_);_(@_)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mic Sans MS"/>
        <scheme val="none"/>
      </font>
      <numFmt numFmtId="3" formatCode="#,##0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mic Sans MS"/>
        <scheme val="none"/>
      </font>
      <numFmt numFmtId="170" formatCode="dd/mmm/yy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mic Sans MS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mic Sans MS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mic Sans MS"/>
        <scheme val="none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mic Sans MS"/>
        <scheme val="none"/>
      </font>
      <numFmt numFmtId="1" formatCode="0"/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mic Sans MS"/>
        <scheme val="none"/>
      </font>
      <alignment horizontal="left" vertical="bottom" textRotation="0" wrapText="1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0"/>
        <color theme="1"/>
        <name val="Comic Sans MS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6" totalsRowShown="0" headerRowDxfId="153" dataDxfId="151" headerRowBorderDxfId="152" tableBorderDxfId="150" totalsRowBorderDxfId="149">
  <autoFilter ref="A1:G16" xr:uid="{00000000-0009-0000-0100-000001000000}"/>
  <tableColumns count="7">
    <tableColumn id="1" xr3:uid="{00000000-0010-0000-0000-000001000000}" name="ID" dataDxfId="148"/>
    <tableColumn id="2" xr3:uid="{00000000-0010-0000-0000-000002000000}" name="Name" dataDxfId="147"/>
    <tableColumn id="4" xr3:uid="{00000000-0010-0000-0000-000004000000}" name="Designation" dataDxfId="146"/>
    <tableColumn id="5" xr3:uid="{00000000-0010-0000-0000-000005000000}" name="Division" dataDxfId="145"/>
    <tableColumn id="6" xr3:uid="{00000000-0010-0000-0000-000006000000}" name="date" dataDxfId="144"/>
    <tableColumn id="7" xr3:uid="{00000000-0010-0000-0000-000007000000}" name="Amount" dataDxfId="143"/>
    <tableColumn id="8" xr3:uid="{00000000-0010-0000-0000-000008000000}" name="Amount2" dataDxfId="142">
      <calculatedColumnFormula>F2*9%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P201" totalsRowShown="0" headerRowDxfId="141" dataDxfId="140" headerRowCellStyle="Normal 3" dataCellStyle="Comma 3">
  <sortState ref="A2:P539">
    <sortCondition descending="1" ref="P1:P539"/>
  </sortState>
  <tableColumns count="16">
    <tableColumn id="1" xr3:uid="{00000000-0010-0000-0100-000001000000}" name="SL" dataDxfId="139" dataCellStyle="Normal 3"/>
    <tableColumn id="2" xr3:uid="{00000000-0010-0000-0100-000002000000}" name="P_CODE" dataDxfId="138" dataCellStyle="Normal 3"/>
    <tableColumn id="3" xr3:uid="{00000000-0010-0000-0100-000003000000}" name="PROD_NM" dataDxfId="137" dataCellStyle="Normal 3"/>
    <tableColumn id="4" xr3:uid="{00000000-0010-0000-0100-000004000000}" name="JAN" dataDxfId="136" dataCellStyle="Comma 3"/>
    <tableColumn id="5" xr3:uid="{00000000-0010-0000-0100-000005000000}" name="FEB" dataDxfId="135" dataCellStyle="Comma 3"/>
    <tableColumn id="6" xr3:uid="{00000000-0010-0000-0100-000006000000}" name="MAR" dataDxfId="134" dataCellStyle="Comma 3"/>
    <tableColumn id="7" xr3:uid="{00000000-0010-0000-0100-000007000000}" name="APR" dataDxfId="133" dataCellStyle="Comma 3"/>
    <tableColumn id="8" xr3:uid="{00000000-0010-0000-0100-000008000000}" name="MAY" dataDxfId="132" dataCellStyle="Comma 3"/>
    <tableColumn id="9" xr3:uid="{00000000-0010-0000-0100-000009000000}" name="JUN" dataDxfId="131" dataCellStyle="Comma 3"/>
    <tableColumn id="10" xr3:uid="{00000000-0010-0000-0100-00000A000000}" name="JUL" dataDxfId="130" dataCellStyle="Comma 3"/>
    <tableColumn id="11" xr3:uid="{00000000-0010-0000-0100-00000B000000}" name="AUG" dataDxfId="129" dataCellStyle="Comma 3"/>
    <tableColumn id="12" xr3:uid="{00000000-0010-0000-0100-00000C000000}" name="SEP" dataDxfId="128" dataCellStyle="Comma 3"/>
    <tableColumn id="13" xr3:uid="{00000000-0010-0000-0100-00000D000000}" name="OCT" dataDxfId="127" dataCellStyle="Comma 3"/>
    <tableColumn id="14" xr3:uid="{00000000-0010-0000-0100-00000E000000}" name="NOV" dataDxfId="126" dataCellStyle="Comma 3"/>
    <tableColumn id="15" xr3:uid="{00000000-0010-0000-0100-00000F000000}" name="DEC" dataDxfId="125" dataCellStyle="Comma 3">
      <calculatedColumnFormula>ROUND(N2*110%,2)</calculatedColumnFormula>
    </tableColumn>
    <tableColumn id="16" xr3:uid="{00000000-0010-0000-0100-000010000000}" name="TOTAL" dataDxfId="124" dataCellStyle="Comma 3">
      <calculatedColumnFormula>SUM(Table2[[#This Row],[JAN]:[DEC]])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449C-2D82-493E-9633-1522157B4158}">
  <dimension ref="A1:C16"/>
  <sheetViews>
    <sheetView workbookViewId="0">
      <selection activeCell="B9" sqref="B9"/>
    </sheetView>
  </sheetViews>
  <sheetFormatPr defaultRowHeight="15" x14ac:dyDescent="0.25"/>
  <cols>
    <col min="1" max="1" width="9.140625" style="185"/>
    <col min="2" max="2" width="28.42578125" style="185" customWidth="1"/>
    <col min="3" max="3" width="19.85546875" style="185" customWidth="1"/>
    <col min="4" max="16384" width="9.140625" style="185"/>
  </cols>
  <sheetData>
    <row r="1" spans="1:3" x14ac:dyDescent="0.25">
      <c r="A1" s="186" t="s">
        <v>560</v>
      </c>
      <c r="B1" s="186" t="s">
        <v>32</v>
      </c>
      <c r="C1" s="186" t="s">
        <v>33</v>
      </c>
    </row>
    <row r="2" spans="1:3" x14ac:dyDescent="0.25">
      <c r="A2" s="187">
        <f>IF(B2&lt;&gt;"",COUNTA($B$2:B2),"")</f>
        <v>1</v>
      </c>
      <c r="B2" s="187" t="s">
        <v>3</v>
      </c>
      <c r="C2" s="187" t="s">
        <v>1</v>
      </c>
    </row>
    <row r="3" spans="1:3" x14ac:dyDescent="0.25">
      <c r="A3" s="187">
        <f>IF(B3&lt;&gt;"",COUNTA($B$2:B3),"")</f>
        <v>2</v>
      </c>
      <c r="B3" s="187" t="s">
        <v>5</v>
      </c>
      <c r="C3" s="187" t="s">
        <v>1</v>
      </c>
    </row>
    <row r="4" spans="1:3" x14ac:dyDescent="0.25">
      <c r="A4" s="187" t="str">
        <f>IF(B4&lt;&gt;"",COUNTA($B$2:B4),"")</f>
        <v/>
      </c>
      <c r="B4" s="187"/>
      <c r="C4" s="187" t="s">
        <v>8</v>
      </c>
    </row>
    <row r="5" spans="1:3" x14ac:dyDescent="0.25">
      <c r="A5" s="187">
        <f>IF(B5&lt;&gt;"",COUNTA($B$2:B5),"")</f>
        <v>3</v>
      </c>
      <c r="B5" s="187" t="s">
        <v>10</v>
      </c>
      <c r="C5" s="187" t="s">
        <v>8</v>
      </c>
    </row>
    <row r="6" spans="1:3" x14ac:dyDescent="0.25">
      <c r="A6" s="187" t="str">
        <f>IF(B6&lt;&gt;"",COUNTA($B$2:B6),"")</f>
        <v/>
      </c>
      <c r="B6" s="187"/>
      <c r="C6" s="187" t="s">
        <v>30</v>
      </c>
    </row>
    <row r="7" spans="1:3" x14ac:dyDescent="0.25">
      <c r="A7" s="187">
        <f>IF(B7&lt;&gt;"",COUNTA($B$2:B7),"")</f>
        <v>4</v>
      </c>
      <c r="B7" s="187" t="s">
        <v>37</v>
      </c>
      <c r="C7" s="187" t="s">
        <v>30</v>
      </c>
    </row>
    <row r="8" spans="1:3" x14ac:dyDescent="0.25">
      <c r="A8" s="187" t="str">
        <f>IF(B8&lt;&gt;"",COUNTA($B$2:B8),"")</f>
        <v/>
      </c>
      <c r="B8" s="187"/>
      <c r="C8" s="187" t="s">
        <v>8</v>
      </c>
    </row>
    <row r="9" spans="1:3" x14ac:dyDescent="0.25">
      <c r="A9" s="187">
        <f>IF(B9&lt;&gt;"",COUNTA($B$2:B9),"")</f>
        <v>5</v>
      </c>
      <c r="B9" s="187" t="s">
        <v>38</v>
      </c>
      <c r="C9" s="187" t="s">
        <v>8</v>
      </c>
    </row>
    <row r="10" spans="1:3" x14ac:dyDescent="0.25">
      <c r="A10" s="187">
        <f>IF(B10&lt;&gt;"",COUNTA($B$2:B10),"")</f>
        <v>6</v>
      </c>
      <c r="B10" s="187" t="s">
        <v>19</v>
      </c>
      <c r="C10" s="187" t="s">
        <v>8</v>
      </c>
    </row>
    <row r="11" spans="1:3" x14ac:dyDescent="0.25">
      <c r="A11" s="187">
        <f>IF(B11&lt;&gt;"",COUNTA($B$2:B11),"")</f>
        <v>7</v>
      </c>
      <c r="B11" s="187" t="s">
        <v>21</v>
      </c>
      <c r="C11" s="187" t="s">
        <v>22</v>
      </c>
    </row>
    <row r="15" spans="1:3" x14ac:dyDescent="0.25">
      <c r="B15" s="185">
        <f>COUNT(B2,B5,B6,B9,B11)</f>
        <v>0</v>
      </c>
    </row>
    <row r="16" spans="1:3" x14ac:dyDescent="0.25">
      <c r="B16" s="185">
        <f>COUNTA(B2:B11)</f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opLeftCell="A25" zoomScale="90" zoomScaleNormal="90" workbookViewId="0">
      <selection activeCell="J65" sqref="J65"/>
    </sheetView>
  </sheetViews>
  <sheetFormatPr defaultRowHeight="14.25" x14ac:dyDescent="0.25"/>
  <cols>
    <col min="1" max="1" width="7.85546875" style="32" bestFit="1" customWidth="1"/>
    <col min="2" max="2" width="8.28515625" style="32" bestFit="1" customWidth="1"/>
    <col min="3" max="3" width="5.5703125" style="32" bestFit="1" customWidth="1"/>
    <col min="4" max="4" width="2.42578125" style="32" customWidth="1"/>
    <col min="5" max="5" width="13.42578125" style="33" bestFit="1" customWidth="1"/>
    <col min="6" max="6" width="13.7109375" style="33" bestFit="1" customWidth="1"/>
    <col min="7" max="7" width="6.140625" style="33" customWidth="1"/>
    <col min="8" max="8" width="10" style="33" bestFit="1" customWidth="1"/>
    <col min="9" max="9" width="7.140625" style="33" customWidth="1"/>
    <col min="10" max="10" width="4" style="33" customWidth="1"/>
    <col min="11" max="11" width="9.7109375" style="33" bestFit="1" customWidth="1"/>
    <col min="12" max="12" width="9.140625" style="33"/>
    <col min="13" max="13" width="12.140625" style="33" customWidth="1"/>
    <col min="14" max="15" width="9.7109375" style="33" bestFit="1" customWidth="1"/>
    <col min="16" max="16" width="4" style="32" bestFit="1" customWidth="1"/>
    <col min="17" max="16384" width="9.140625" style="32"/>
  </cols>
  <sheetData>
    <row r="1" spans="1:16" ht="31.5" customHeight="1" x14ac:dyDescent="0.25"/>
    <row r="4" spans="1:16" x14ac:dyDescent="0.25">
      <c r="C4" s="32" t="s">
        <v>551</v>
      </c>
    </row>
    <row r="5" spans="1:16" x14ac:dyDescent="0.25">
      <c r="A5" s="32">
        <v>6</v>
      </c>
      <c r="B5" s="32">
        <v>4</v>
      </c>
      <c r="C5" s="32">
        <v>1</v>
      </c>
    </row>
    <row r="6" spans="1:16" ht="15" x14ac:dyDescent="0.25">
      <c r="A6" s="32">
        <v>7</v>
      </c>
      <c r="B6" s="32">
        <v>5</v>
      </c>
      <c r="C6" s="32">
        <v>2</v>
      </c>
      <c r="E6" s="143" t="s">
        <v>799</v>
      </c>
    </row>
    <row r="7" spans="1:16" x14ac:dyDescent="0.25">
      <c r="A7" s="32">
        <v>8</v>
      </c>
      <c r="B7" s="32">
        <v>6</v>
      </c>
      <c r="C7" s="32">
        <v>3</v>
      </c>
    </row>
    <row r="8" spans="1:16" x14ac:dyDescent="0.2">
      <c r="A8" s="32">
        <v>9</v>
      </c>
      <c r="B8" s="32">
        <v>7</v>
      </c>
      <c r="C8" s="32">
        <v>4</v>
      </c>
      <c r="E8" s="49"/>
      <c r="F8" s="48"/>
      <c r="G8" s="46"/>
      <c r="H8" s="47" t="s">
        <v>543</v>
      </c>
      <c r="I8" s="46"/>
      <c r="J8" s="46"/>
      <c r="K8" s="46" t="s">
        <v>542</v>
      </c>
      <c r="L8" s="46"/>
      <c r="M8" s="46"/>
      <c r="N8" s="46" t="s">
        <v>546</v>
      </c>
      <c r="O8" s="46" t="s">
        <v>542</v>
      </c>
      <c r="P8" s="45" t="s">
        <v>521</v>
      </c>
    </row>
    <row r="9" spans="1:16" x14ac:dyDescent="0.2">
      <c r="A9" s="32">
        <v>10</v>
      </c>
      <c r="B9" s="32">
        <v>8</v>
      </c>
      <c r="C9" s="32">
        <v>5</v>
      </c>
      <c r="E9" s="41" t="s">
        <v>541</v>
      </c>
      <c r="F9" s="44">
        <v>30680</v>
      </c>
      <c r="G9" s="35"/>
      <c r="H9" s="36">
        <v>35859</v>
      </c>
      <c r="I9" s="35"/>
      <c r="J9" s="35"/>
      <c r="K9" s="36">
        <v>41750</v>
      </c>
      <c r="L9" s="35"/>
      <c r="M9" s="35"/>
      <c r="N9" s="36">
        <v>35162</v>
      </c>
      <c r="O9" s="36">
        <v>41750</v>
      </c>
      <c r="P9" s="40"/>
    </row>
    <row r="10" spans="1:16" x14ac:dyDescent="0.2">
      <c r="A10" s="32">
        <v>11</v>
      </c>
      <c r="B10" s="32">
        <v>9</v>
      </c>
      <c r="C10" s="32">
        <v>6</v>
      </c>
      <c r="E10" s="41"/>
      <c r="F10" s="35"/>
      <c r="G10" s="35"/>
      <c r="H10" s="35"/>
      <c r="I10" s="43"/>
      <c r="J10" s="35"/>
      <c r="K10" s="35"/>
      <c r="L10" s="43"/>
      <c r="M10" s="35"/>
      <c r="N10" s="35"/>
      <c r="O10" s="35"/>
      <c r="P10" s="42"/>
    </row>
    <row r="11" spans="1:16" x14ac:dyDescent="0.2">
      <c r="A11" s="32">
        <v>12</v>
      </c>
      <c r="B11" s="32">
        <v>10</v>
      </c>
      <c r="C11" s="32">
        <v>7</v>
      </c>
      <c r="E11" s="41"/>
      <c r="F11" s="34">
        <f ca="1">DATEDIF(F9,TODAY(),"y")</f>
        <v>40</v>
      </c>
      <c r="G11" s="35"/>
      <c r="H11" s="34">
        <f>DATEDIF(F9,H9,"y")</f>
        <v>14</v>
      </c>
      <c r="I11" s="43"/>
      <c r="J11" s="35"/>
      <c r="K11" s="34">
        <f>DATEDIF(F9,K9,"y")</f>
        <v>30</v>
      </c>
      <c r="L11" s="43"/>
      <c r="M11" s="35"/>
      <c r="N11" s="34">
        <f ca="1">DATEDIF(N9,TODAY(),"y")</f>
        <v>28</v>
      </c>
      <c r="O11" s="34">
        <f>DATEDIF(N9,O9,"y")</f>
        <v>18</v>
      </c>
      <c r="P11" s="42">
        <f ca="1">F11-N11</f>
        <v>12</v>
      </c>
    </row>
    <row r="12" spans="1:16" x14ac:dyDescent="0.2">
      <c r="A12" s="32">
        <v>13</v>
      </c>
      <c r="B12" s="32">
        <v>11</v>
      </c>
      <c r="C12" s="32">
        <v>8</v>
      </c>
      <c r="E12" s="41"/>
      <c r="F12" s="34">
        <f ca="1">DATEDIF(F9,TODAY(),"ym")</f>
        <v>3</v>
      </c>
      <c r="G12" s="35"/>
      <c r="H12" s="34">
        <f>DATEDIF(F9,H9,"ym")</f>
        <v>2</v>
      </c>
      <c r="I12" s="43"/>
      <c r="J12" s="35"/>
      <c r="K12" s="34">
        <f>DATEDIF(F9,K9,"ym")</f>
        <v>3</v>
      </c>
      <c r="L12" s="43"/>
      <c r="M12" s="35"/>
      <c r="N12" s="34">
        <f ca="1">DATEDIF(N9,TODAY(),"ym")</f>
        <v>0</v>
      </c>
      <c r="O12" s="34">
        <f>DATEDIF(N9,O9,"ym")</f>
        <v>0</v>
      </c>
      <c r="P12" s="42">
        <f ca="1">F12-N12</f>
        <v>3</v>
      </c>
    </row>
    <row r="13" spans="1:16" x14ac:dyDescent="0.2">
      <c r="A13" s="32">
        <v>15</v>
      </c>
      <c r="B13" s="32">
        <v>12</v>
      </c>
      <c r="C13" s="32">
        <v>9</v>
      </c>
      <c r="E13" s="41"/>
      <c r="F13" s="34">
        <f ca="1">DATEDIF(F9,TODAY(),"md")</f>
        <v>11</v>
      </c>
      <c r="G13" s="35"/>
      <c r="H13" s="34">
        <f>DATEDIF(F9,H9,"md")</f>
        <v>3</v>
      </c>
      <c r="I13" s="43"/>
      <c r="J13" s="35"/>
      <c r="K13" s="34">
        <f>DATEDIF(F9,K9,"md")</f>
        <v>22</v>
      </c>
      <c r="L13" s="43"/>
      <c r="M13" s="35"/>
      <c r="N13" s="34">
        <f ca="1">DATEDIF(N9,TODAY(),"md")</f>
        <v>3</v>
      </c>
      <c r="O13" s="34">
        <f>DATEDIF(N9,O9,"md")</f>
        <v>14</v>
      </c>
      <c r="P13" s="42">
        <f ca="1">F13-N13</f>
        <v>8</v>
      </c>
    </row>
    <row r="14" spans="1:16" x14ac:dyDescent="0.25">
      <c r="A14" s="32">
        <v>16</v>
      </c>
      <c r="B14" s="32">
        <v>13</v>
      </c>
      <c r="C14" s="32">
        <v>10</v>
      </c>
      <c r="E14" s="41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</row>
    <row r="15" spans="1:16" x14ac:dyDescent="0.25">
      <c r="A15" s="32" t="s">
        <v>545</v>
      </c>
      <c r="B15" s="32" t="s">
        <v>544</v>
      </c>
      <c r="C15" s="32" t="s">
        <v>543</v>
      </c>
      <c r="E15" s="39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7"/>
    </row>
    <row r="18" spans="5:16" ht="15" x14ac:dyDescent="0.25">
      <c r="E18" s="143" t="s">
        <v>798</v>
      </c>
    </row>
    <row r="19" spans="5:16" x14ac:dyDescent="0.25">
      <c r="F19" s="33" t="s">
        <v>550</v>
      </c>
      <c r="I19" s="33" t="s">
        <v>797</v>
      </c>
    </row>
    <row r="20" spans="5:16" x14ac:dyDescent="0.25">
      <c r="E20" s="33" t="s">
        <v>549</v>
      </c>
      <c r="F20" s="33" t="s">
        <v>548</v>
      </c>
      <c r="I20" s="33" t="s">
        <v>547</v>
      </c>
    </row>
    <row r="21" spans="5:16" x14ac:dyDescent="0.2">
      <c r="E21" s="49"/>
      <c r="F21" s="48"/>
      <c r="G21" s="46"/>
      <c r="H21" s="47" t="s">
        <v>543</v>
      </c>
      <c r="I21" s="46"/>
      <c r="J21" s="46"/>
      <c r="K21" s="46" t="s">
        <v>542</v>
      </c>
      <c r="L21" s="46"/>
      <c r="M21" s="46"/>
      <c r="N21" s="46"/>
      <c r="O21" s="46"/>
      <c r="P21" s="45" t="s">
        <v>521</v>
      </c>
    </row>
    <row r="22" spans="5:16" x14ac:dyDescent="0.2">
      <c r="E22" s="41" t="s">
        <v>541</v>
      </c>
      <c r="F22" s="44">
        <v>30953</v>
      </c>
      <c r="G22" s="35"/>
      <c r="H22" s="36">
        <v>35859</v>
      </c>
      <c r="I22" s="35"/>
      <c r="J22" s="35"/>
      <c r="K22" s="36">
        <v>41750</v>
      </c>
      <c r="L22" s="35"/>
      <c r="M22" s="35"/>
      <c r="N22" s="36">
        <v>35162</v>
      </c>
      <c r="O22" s="36">
        <v>41750</v>
      </c>
      <c r="P22" s="40"/>
    </row>
    <row r="23" spans="5:16" x14ac:dyDescent="0.2">
      <c r="E23" s="41"/>
      <c r="F23" s="35"/>
      <c r="G23" s="35"/>
      <c r="H23" s="35"/>
      <c r="I23" s="43"/>
      <c r="J23" s="35"/>
      <c r="K23" s="35"/>
      <c r="L23" s="43"/>
      <c r="M23" s="35"/>
      <c r="N23" s="35"/>
      <c r="O23" s="35"/>
      <c r="P23" s="42"/>
    </row>
    <row r="24" spans="5:16" x14ac:dyDescent="0.2">
      <c r="E24" s="41"/>
      <c r="F24" s="34">
        <f ca="1">DATEDIF(F22,TODAY(),"y")</f>
        <v>39</v>
      </c>
      <c r="G24" s="35"/>
      <c r="H24" s="34">
        <f>DATEDIF(F22,H22,"y")</f>
        <v>13</v>
      </c>
      <c r="I24" s="43"/>
      <c r="J24" s="35"/>
      <c r="K24" s="34">
        <f>DATEDIF(F22,K22,"y")</f>
        <v>29</v>
      </c>
      <c r="L24" s="43"/>
      <c r="M24" s="35"/>
      <c r="N24" s="34">
        <f ca="1">DATEDIF(N22,TODAY(),"y")</f>
        <v>28</v>
      </c>
      <c r="O24" s="34">
        <f>DATEDIF(N22,O22,"y")</f>
        <v>18</v>
      </c>
      <c r="P24" s="42">
        <f ca="1">F24-N24</f>
        <v>11</v>
      </c>
    </row>
    <row r="25" spans="5:16" x14ac:dyDescent="0.2">
      <c r="E25" s="41"/>
      <c r="F25" s="34">
        <f ca="1">DATEDIF(F22,TODAY(),"ym")</f>
        <v>6</v>
      </c>
      <c r="G25" s="35"/>
      <c r="H25" s="34">
        <f>DATEDIF(F22,H22,"ym")</f>
        <v>5</v>
      </c>
      <c r="I25" s="43"/>
      <c r="J25" s="35"/>
      <c r="K25" s="34">
        <f>DATEDIF(F22,K22,"ym")</f>
        <v>6</v>
      </c>
      <c r="L25" s="43"/>
      <c r="M25" s="35"/>
      <c r="N25" s="34">
        <f ca="1">DATEDIF(N22,TODAY(),"ym")</f>
        <v>0</v>
      </c>
      <c r="O25" s="34">
        <f>DATEDIF(N22,O22,"ym")</f>
        <v>0</v>
      </c>
      <c r="P25" s="42">
        <f ca="1">F25-N25</f>
        <v>6</v>
      </c>
    </row>
    <row r="26" spans="5:16" x14ac:dyDescent="0.2">
      <c r="E26" s="41"/>
      <c r="F26" s="34">
        <f ca="1">DATEDIF(F22,TODAY(),"md")</f>
        <v>13</v>
      </c>
      <c r="G26" s="35"/>
      <c r="H26" s="34">
        <f>DATEDIF(F22,H22,"md")</f>
        <v>5</v>
      </c>
      <c r="I26" s="43"/>
      <c r="J26" s="35"/>
      <c r="K26" s="34">
        <f>DATEDIF(F22,K22,"md")</f>
        <v>24</v>
      </c>
      <c r="L26" s="43"/>
      <c r="M26" s="35"/>
      <c r="N26" s="34">
        <f ca="1">DATEDIF(N22,TODAY(),"md")</f>
        <v>3</v>
      </c>
      <c r="O26" s="34">
        <f>DATEDIF(N22,O22,"md")</f>
        <v>14</v>
      </c>
      <c r="P26" s="42">
        <f ca="1">F26-N26</f>
        <v>10</v>
      </c>
    </row>
    <row r="27" spans="5:16" x14ac:dyDescent="0.25">
      <c r="E27" s="41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</row>
    <row r="28" spans="5:16" x14ac:dyDescent="0.25">
      <c r="E28" s="39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7"/>
    </row>
    <row r="32" spans="5:16" x14ac:dyDescent="0.2">
      <c r="F32" s="36">
        <v>30680</v>
      </c>
    </row>
    <row r="33" spans="3:15" x14ac:dyDescent="0.25">
      <c r="F33" s="35"/>
    </row>
    <row r="34" spans="3:15" x14ac:dyDescent="0.2">
      <c r="F34" s="34">
        <f ca="1">DATEDIF(F32,TODAY(),"y")</f>
        <v>40</v>
      </c>
    </row>
    <row r="35" spans="3:15" x14ac:dyDescent="0.2">
      <c r="E35" s="32"/>
      <c r="F35" s="34">
        <f ca="1">DATEDIF(F32,TODAY(),"ym")</f>
        <v>3</v>
      </c>
      <c r="G35" s="32"/>
      <c r="H35" s="32"/>
      <c r="I35" s="32"/>
      <c r="J35" s="32"/>
      <c r="K35" s="32"/>
      <c r="L35" s="32"/>
      <c r="M35" s="32"/>
      <c r="N35" s="32"/>
      <c r="O35" s="32"/>
    </row>
    <row r="36" spans="3:15" x14ac:dyDescent="0.2">
      <c r="E36" s="32"/>
      <c r="F36" s="34">
        <f ca="1">DATEDIF(F32,TODAY(),"md")</f>
        <v>11</v>
      </c>
      <c r="G36" s="32"/>
      <c r="H36" s="32"/>
      <c r="I36" s="32"/>
      <c r="J36" s="32"/>
      <c r="K36" s="32"/>
      <c r="L36" s="144">
        <v>30953</v>
      </c>
      <c r="M36" s="144">
        <v>30953</v>
      </c>
      <c r="N36" s="32"/>
      <c r="O36" s="32"/>
    </row>
    <row r="37" spans="3:15" x14ac:dyDescent="0.25">
      <c r="L37" s="145">
        <v>35889</v>
      </c>
      <c r="M37" s="145">
        <v>35889</v>
      </c>
    </row>
    <row r="38" spans="3:15" x14ac:dyDescent="0.25">
      <c r="L38" s="146">
        <f>DATEDIF(L36,L37,("Y"))</f>
        <v>13</v>
      </c>
      <c r="M38" s="146">
        <f>DATEDIF(M36,M37,("MD"))</f>
        <v>7</v>
      </c>
    </row>
    <row r="40" spans="3:15" x14ac:dyDescent="0.2">
      <c r="F40" s="36">
        <v>30951</v>
      </c>
    </row>
    <row r="41" spans="3:15" x14ac:dyDescent="0.25">
      <c r="F41" s="35"/>
    </row>
    <row r="42" spans="3:15" x14ac:dyDescent="0.2">
      <c r="F42" s="34">
        <f ca="1">DATEDIF(F40,TODAY(),"y")</f>
        <v>39</v>
      </c>
    </row>
    <row r="43" spans="3:15" x14ac:dyDescent="0.2">
      <c r="F43" s="34">
        <f ca="1">DATEDIF(F40,TODAY(),"ym")</f>
        <v>6</v>
      </c>
    </row>
    <row r="44" spans="3:15" x14ac:dyDescent="0.2">
      <c r="F44" s="34">
        <f ca="1">DATEDIF(F40,TODAY(),"md")</f>
        <v>15</v>
      </c>
    </row>
    <row r="45" spans="3:15" x14ac:dyDescent="0.25">
      <c r="F45" s="50"/>
    </row>
    <row r="46" spans="3:15" x14ac:dyDescent="0.25">
      <c r="C46" s="32">
        <v>1</v>
      </c>
    </row>
    <row r="47" spans="3:15" x14ac:dyDescent="0.25">
      <c r="C47" s="32">
        <v>2</v>
      </c>
    </row>
    <row r="48" spans="3:15" x14ac:dyDescent="0.25">
      <c r="C48" s="32">
        <v>3</v>
      </c>
      <c r="E48" s="50">
        <v>100000</v>
      </c>
    </row>
    <row r="49" spans="3:6" x14ac:dyDescent="0.25">
      <c r="C49" s="32">
        <v>4</v>
      </c>
      <c r="E49" s="50">
        <v>100000</v>
      </c>
    </row>
    <row r="50" spans="3:6" x14ac:dyDescent="0.25">
      <c r="C50" s="32">
        <v>5</v>
      </c>
      <c r="E50" s="50">
        <v>100000</v>
      </c>
    </row>
    <row r="51" spans="3:6" x14ac:dyDescent="0.25">
      <c r="C51" s="32">
        <v>6</v>
      </c>
      <c r="E51" s="50">
        <v>100000</v>
      </c>
    </row>
    <row r="52" spans="3:6" x14ac:dyDescent="0.25">
      <c r="C52" s="32">
        <v>7</v>
      </c>
      <c r="E52" s="50">
        <v>100000</v>
      </c>
    </row>
    <row r="53" spans="3:6" x14ac:dyDescent="0.25">
      <c r="C53" s="32">
        <v>8</v>
      </c>
      <c r="E53" s="50">
        <v>100000</v>
      </c>
    </row>
    <row r="54" spans="3:6" x14ac:dyDescent="0.25">
      <c r="C54" s="32">
        <v>9</v>
      </c>
      <c r="E54" s="50">
        <v>100000</v>
      </c>
    </row>
    <row r="55" spans="3:6" x14ac:dyDescent="0.25">
      <c r="C55" s="32">
        <v>10</v>
      </c>
      <c r="E55" s="50">
        <v>100000</v>
      </c>
    </row>
    <row r="56" spans="3:6" x14ac:dyDescent="0.25">
      <c r="C56" s="32">
        <v>11</v>
      </c>
      <c r="E56" s="50">
        <v>100000</v>
      </c>
    </row>
    <row r="57" spans="3:6" x14ac:dyDescent="0.25">
      <c r="C57" s="32">
        <v>12</v>
      </c>
      <c r="E57" s="50">
        <v>100000</v>
      </c>
    </row>
    <row r="58" spans="3:6" x14ac:dyDescent="0.25">
      <c r="E58" s="50">
        <v>100000</v>
      </c>
      <c r="F58" s="50"/>
    </row>
    <row r="59" spans="3:6" x14ac:dyDescent="0.25">
      <c r="E59" s="50">
        <v>100000</v>
      </c>
      <c r="F59" s="50"/>
    </row>
    <row r="60" spans="3:6" x14ac:dyDescent="0.25">
      <c r="E60" s="50">
        <v>100000</v>
      </c>
      <c r="F60" s="50"/>
    </row>
    <row r="61" spans="3:6" x14ac:dyDescent="0.25">
      <c r="E61" s="50">
        <v>100000</v>
      </c>
      <c r="F61" s="50"/>
    </row>
    <row r="62" spans="3:6" x14ac:dyDescent="0.25">
      <c r="E62" s="50">
        <v>100000</v>
      </c>
      <c r="F62" s="5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"/>
  <sheetViews>
    <sheetView workbookViewId="0">
      <selection activeCell="G4" sqref="G4"/>
    </sheetView>
  </sheetViews>
  <sheetFormatPr defaultRowHeight="15" x14ac:dyDescent="0.25"/>
  <cols>
    <col min="1" max="1" width="10.85546875" style="55" bestFit="1" customWidth="1"/>
    <col min="2" max="2" width="9.42578125" style="55" bestFit="1" customWidth="1"/>
    <col min="3" max="3" width="10.140625" style="55" bestFit="1" customWidth="1"/>
    <col min="4" max="4" width="13.28515625" style="57" bestFit="1" customWidth="1"/>
    <col min="5" max="5" width="17.5703125" style="147" bestFit="1" customWidth="1"/>
    <col min="6" max="6" width="9.85546875" style="57" customWidth="1"/>
    <col min="7" max="7" width="13.42578125" style="55" customWidth="1"/>
    <col min="8" max="8" width="13.42578125" style="55" bestFit="1" customWidth="1"/>
    <col min="9" max="9" width="11.5703125" style="55" bestFit="1" customWidth="1"/>
    <col min="10" max="10" width="13.42578125" style="55" bestFit="1" customWidth="1"/>
    <col min="11" max="11" width="9.5703125" style="55" bestFit="1" customWidth="1"/>
    <col min="12" max="16384" width="9.140625" style="55"/>
  </cols>
  <sheetData>
    <row r="1" spans="1:10" x14ac:dyDescent="0.25">
      <c r="G1" s="65" t="s">
        <v>522</v>
      </c>
      <c r="H1" s="65" t="s">
        <v>523</v>
      </c>
      <c r="I1" s="65" t="s">
        <v>524</v>
      </c>
      <c r="J1" s="65" t="s">
        <v>525</v>
      </c>
    </row>
    <row r="2" spans="1:10" s="52" customFormat="1" x14ac:dyDescent="0.25">
      <c r="A2" s="52" t="s">
        <v>526</v>
      </c>
      <c r="B2" s="52" t="s">
        <v>527</v>
      </c>
      <c r="C2" s="53" t="s">
        <v>195</v>
      </c>
      <c r="D2" s="54" t="s">
        <v>36</v>
      </c>
      <c r="E2" s="148" t="s">
        <v>528</v>
      </c>
      <c r="F2" s="54" t="s">
        <v>800</v>
      </c>
    </row>
    <row r="3" spans="1:10" x14ac:dyDescent="0.25">
      <c r="A3" s="55" t="s">
        <v>529</v>
      </c>
      <c r="B3" s="55">
        <v>4001</v>
      </c>
      <c r="C3" s="56">
        <v>42927</v>
      </c>
      <c r="D3" s="57">
        <v>50000</v>
      </c>
      <c r="E3" s="147">
        <f t="shared" ref="E3:E14" ca="1" si="0">IF(TODAY()&gt;C3,TODAY()-C3,0)</f>
        <v>2465</v>
      </c>
      <c r="F3" s="57">
        <f t="shared" ref="F3:F14" ca="1" si="1">IF(E3=0,D3,0)</f>
        <v>0</v>
      </c>
      <c r="G3" s="57">
        <f ca="1">IF(C3&lt;TODAY(),IF(TODAY()-C3&lt;=30,D3,0),0)</f>
        <v>0</v>
      </c>
      <c r="H3" s="57">
        <f ca="1">IF(AND(TODAY()-C3&lt;=60,TODAY()-C3&gt;30),D3,0)</f>
        <v>0</v>
      </c>
      <c r="I3" s="57">
        <f ca="1">IF(AND(TODAY()-C3&lt;=90,TODAY()-C3&gt;60),D3,0)</f>
        <v>0</v>
      </c>
      <c r="J3" s="57">
        <f ca="1">IF(TODAY()-C3&gt;90,D3,0)</f>
        <v>50000</v>
      </c>
    </row>
    <row r="4" spans="1:10" x14ac:dyDescent="0.25">
      <c r="A4" s="55" t="s">
        <v>530</v>
      </c>
      <c r="B4" s="55">
        <v>4002</v>
      </c>
      <c r="C4" s="56">
        <v>42755</v>
      </c>
      <c r="D4" s="57">
        <v>60000</v>
      </c>
      <c r="E4" s="147">
        <f ca="1">IF(TODAY()&gt;C4,TODAY()-C4,0)</f>
        <v>2637</v>
      </c>
      <c r="F4" s="57">
        <f t="shared" ca="1" si="1"/>
        <v>0</v>
      </c>
      <c r="G4" s="57">
        <f t="shared" ref="G4:G14" ca="1" si="2">IF(C4&lt;TODAY(),IF(TODAY()-C4&lt;=30,D4,0),0)</f>
        <v>0</v>
      </c>
      <c r="H4" s="57">
        <f t="shared" ref="H4:H14" ca="1" si="3">IF(AND(TODAY()-C4&lt;=60,TODAY()-C4&gt;30),D4,0)</f>
        <v>0</v>
      </c>
      <c r="I4" s="57">
        <f t="shared" ref="I4:I14" ca="1" si="4">IF(AND(TODAY()-C4&lt;=90,TODAY()-C4&gt;60),D4,0)</f>
        <v>0</v>
      </c>
      <c r="J4" s="57">
        <f t="shared" ref="J4:J14" ca="1" si="5">IF(TODAY()-C4&gt;90,D4,0)</f>
        <v>60000</v>
      </c>
    </row>
    <row r="5" spans="1:10" x14ac:dyDescent="0.25">
      <c r="A5" s="55" t="s">
        <v>531</v>
      </c>
      <c r="B5" s="55">
        <v>4003</v>
      </c>
      <c r="C5" s="56">
        <v>42945</v>
      </c>
      <c r="D5" s="57">
        <v>36000</v>
      </c>
      <c r="E5" s="147">
        <f ca="1">IF(TODAY()&gt;C5,TODAY()-C5,0)</f>
        <v>2447</v>
      </c>
      <c r="F5" s="57">
        <f t="shared" ca="1" si="1"/>
        <v>0</v>
      </c>
      <c r="G5" s="57">
        <f t="shared" ca="1" si="2"/>
        <v>0</v>
      </c>
      <c r="H5" s="57">
        <f t="shared" ca="1" si="3"/>
        <v>0</v>
      </c>
      <c r="I5" s="57">
        <f t="shared" ca="1" si="4"/>
        <v>0</v>
      </c>
      <c r="J5" s="57">
        <f t="shared" ca="1" si="5"/>
        <v>36000</v>
      </c>
    </row>
    <row r="6" spans="1:10" x14ac:dyDescent="0.25">
      <c r="A6" s="55" t="s">
        <v>532</v>
      </c>
      <c r="B6" s="55">
        <v>4004</v>
      </c>
      <c r="C6" s="56">
        <v>42816</v>
      </c>
      <c r="D6" s="57">
        <v>45000</v>
      </c>
      <c r="E6" s="147">
        <f t="shared" ca="1" si="0"/>
        <v>2576</v>
      </c>
      <c r="F6" s="57">
        <f t="shared" ca="1" si="1"/>
        <v>0</v>
      </c>
      <c r="G6" s="57">
        <f t="shared" ca="1" si="2"/>
        <v>0</v>
      </c>
      <c r="H6" s="57">
        <f t="shared" ca="1" si="3"/>
        <v>0</v>
      </c>
      <c r="I6" s="57">
        <f t="shared" ca="1" si="4"/>
        <v>0</v>
      </c>
      <c r="J6" s="57">
        <f t="shared" ca="1" si="5"/>
        <v>45000</v>
      </c>
    </row>
    <row r="7" spans="1:10" x14ac:dyDescent="0.25">
      <c r="A7" s="55" t="s">
        <v>533</v>
      </c>
      <c r="B7" s="55">
        <v>4005</v>
      </c>
      <c r="C7" s="56">
        <v>42878</v>
      </c>
      <c r="D7" s="57">
        <v>15000</v>
      </c>
      <c r="E7" s="147">
        <f t="shared" ca="1" si="0"/>
        <v>2514</v>
      </c>
      <c r="F7" s="57">
        <f t="shared" ca="1" si="1"/>
        <v>0</v>
      </c>
      <c r="G7" s="57">
        <f t="shared" ca="1" si="2"/>
        <v>0</v>
      </c>
      <c r="H7" s="57">
        <f t="shared" ca="1" si="3"/>
        <v>0</v>
      </c>
      <c r="I7" s="57">
        <f t="shared" ca="1" si="4"/>
        <v>0</v>
      </c>
      <c r="J7" s="57">
        <f t="shared" ca="1" si="5"/>
        <v>15000</v>
      </c>
    </row>
    <row r="8" spans="1:10" x14ac:dyDescent="0.25">
      <c r="A8" s="55" t="s">
        <v>534</v>
      </c>
      <c r="B8" s="55">
        <v>4006</v>
      </c>
      <c r="C8" s="56">
        <v>42936</v>
      </c>
      <c r="D8" s="57">
        <v>62000</v>
      </c>
      <c r="E8" s="147">
        <f t="shared" ca="1" si="0"/>
        <v>2456</v>
      </c>
      <c r="F8" s="57">
        <f t="shared" ca="1" si="1"/>
        <v>0</v>
      </c>
      <c r="G8" s="57">
        <f t="shared" ca="1" si="2"/>
        <v>0</v>
      </c>
      <c r="H8" s="57">
        <f t="shared" ca="1" si="3"/>
        <v>0</v>
      </c>
      <c r="I8" s="57">
        <f t="shared" ca="1" si="4"/>
        <v>0</v>
      </c>
      <c r="J8" s="57">
        <f t="shared" ca="1" si="5"/>
        <v>62000</v>
      </c>
    </row>
    <row r="9" spans="1:10" x14ac:dyDescent="0.25">
      <c r="A9" s="55" t="s">
        <v>535</v>
      </c>
      <c r="B9" s="55">
        <v>4007</v>
      </c>
      <c r="C9" s="56">
        <v>42911</v>
      </c>
      <c r="D9" s="57">
        <v>63000</v>
      </c>
      <c r="E9" s="147">
        <f t="shared" ca="1" si="0"/>
        <v>2481</v>
      </c>
      <c r="F9" s="57">
        <f t="shared" ca="1" si="1"/>
        <v>0</v>
      </c>
      <c r="G9" s="57">
        <f t="shared" ca="1" si="2"/>
        <v>0</v>
      </c>
      <c r="H9" s="57">
        <f t="shared" ca="1" si="3"/>
        <v>0</v>
      </c>
      <c r="I9" s="57">
        <f t="shared" ca="1" si="4"/>
        <v>0</v>
      </c>
      <c r="J9" s="57">
        <f t="shared" ca="1" si="5"/>
        <v>63000</v>
      </c>
    </row>
    <row r="10" spans="1:10" x14ac:dyDescent="0.25">
      <c r="A10" s="55" t="s">
        <v>536</v>
      </c>
      <c r="B10" s="55">
        <v>4008</v>
      </c>
      <c r="C10" s="56">
        <v>42820</v>
      </c>
      <c r="D10" s="57">
        <v>100000</v>
      </c>
      <c r="E10" s="147">
        <f t="shared" ca="1" si="0"/>
        <v>2572</v>
      </c>
      <c r="F10" s="57">
        <f t="shared" ca="1" si="1"/>
        <v>0</v>
      </c>
      <c r="G10" s="57">
        <f t="shared" ca="1" si="2"/>
        <v>0</v>
      </c>
      <c r="H10" s="57">
        <f t="shared" ca="1" si="3"/>
        <v>0</v>
      </c>
      <c r="I10" s="57">
        <f t="shared" ca="1" si="4"/>
        <v>0</v>
      </c>
      <c r="J10" s="57">
        <f t="shared" ca="1" si="5"/>
        <v>100000</v>
      </c>
    </row>
    <row r="11" spans="1:10" x14ac:dyDescent="0.25">
      <c r="A11" s="55" t="s">
        <v>537</v>
      </c>
      <c r="B11" s="55">
        <v>4009</v>
      </c>
      <c r="C11" s="58">
        <v>42974</v>
      </c>
      <c r="D11" s="57">
        <v>5000</v>
      </c>
      <c r="E11" s="147">
        <f t="shared" ca="1" si="0"/>
        <v>2418</v>
      </c>
      <c r="F11" s="57">
        <f ca="1">IF(E11=0,D11,0)</f>
        <v>0</v>
      </c>
      <c r="G11" s="57">
        <f ca="1">IF(C11&lt;TODAY(),IF(TODAY()-C11&lt;=30,D11,0),0)</f>
        <v>0</v>
      </c>
      <c r="H11" s="57">
        <f t="shared" ca="1" si="3"/>
        <v>0</v>
      </c>
      <c r="I11" s="57">
        <f t="shared" ca="1" si="4"/>
        <v>0</v>
      </c>
      <c r="J11" s="57">
        <f t="shared" ca="1" si="5"/>
        <v>5000</v>
      </c>
    </row>
    <row r="12" spans="1:10" x14ac:dyDescent="0.25">
      <c r="A12" s="55" t="s">
        <v>538</v>
      </c>
      <c r="B12" s="55">
        <v>4010</v>
      </c>
      <c r="C12" s="56">
        <v>42794</v>
      </c>
      <c r="D12" s="57">
        <v>99000</v>
      </c>
      <c r="E12" s="147">
        <f t="shared" ca="1" si="0"/>
        <v>2598</v>
      </c>
      <c r="F12" s="57">
        <f t="shared" ca="1" si="1"/>
        <v>0</v>
      </c>
      <c r="G12" s="57">
        <f t="shared" ca="1" si="2"/>
        <v>0</v>
      </c>
      <c r="H12" s="57">
        <f t="shared" ca="1" si="3"/>
        <v>0</v>
      </c>
      <c r="I12" s="57">
        <f t="shared" ca="1" si="4"/>
        <v>0</v>
      </c>
      <c r="J12" s="57">
        <f t="shared" ca="1" si="5"/>
        <v>99000</v>
      </c>
    </row>
    <row r="13" spans="1:10" x14ac:dyDescent="0.25">
      <c r="A13" s="55" t="s">
        <v>539</v>
      </c>
      <c r="B13" s="55">
        <v>4011</v>
      </c>
      <c r="C13" s="56">
        <v>42936</v>
      </c>
      <c r="D13" s="57">
        <v>86000</v>
      </c>
      <c r="E13" s="147">
        <f t="shared" ca="1" si="0"/>
        <v>2456</v>
      </c>
      <c r="F13" s="57">
        <f t="shared" ca="1" si="1"/>
        <v>0</v>
      </c>
      <c r="G13" s="57">
        <f t="shared" ca="1" si="2"/>
        <v>0</v>
      </c>
      <c r="H13" s="57">
        <f t="shared" ca="1" si="3"/>
        <v>0</v>
      </c>
      <c r="I13" s="57">
        <f t="shared" ca="1" si="4"/>
        <v>0</v>
      </c>
      <c r="J13" s="57">
        <f t="shared" ca="1" si="5"/>
        <v>86000</v>
      </c>
    </row>
    <row r="14" spans="1:10" x14ac:dyDescent="0.25">
      <c r="A14" s="55" t="s">
        <v>540</v>
      </c>
      <c r="B14" s="55">
        <v>4012</v>
      </c>
      <c r="C14" s="56">
        <v>42957</v>
      </c>
      <c r="D14" s="57">
        <v>22000</v>
      </c>
      <c r="E14" s="147">
        <f t="shared" ca="1" si="0"/>
        <v>2435</v>
      </c>
      <c r="F14" s="57">
        <f t="shared" ca="1" si="1"/>
        <v>0</v>
      </c>
      <c r="G14" s="57">
        <f t="shared" ca="1" si="2"/>
        <v>0</v>
      </c>
      <c r="H14" s="57">
        <f t="shared" ca="1" si="3"/>
        <v>0</v>
      </c>
      <c r="I14" s="57">
        <f t="shared" ca="1" si="4"/>
        <v>0</v>
      </c>
      <c r="J14" s="57">
        <f t="shared" ca="1" si="5"/>
        <v>22000</v>
      </c>
    </row>
    <row r="15" spans="1:10" s="60" customFormat="1" ht="15.75" thickBot="1" x14ac:dyDescent="0.3">
      <c r="D15" s="59">
        <f>SUM(D3:D14)</f>
        <v>643000</v>
      </c>
      <c r="E15" s="149"/>
      <c r="F15" s="66">
        <f ca="1">SUM(F3:F14)</f>
        <v>0</v>
      </c>
      <c r="G15" s="66">
        <f t="shared" ref="G15:J15" ca="1" si="6">SUM(G3:G14)</f>
        <v>0</v>
      </c>
      <c r="H15" s="66">
        <f t="shared" ca="1" si="6"/>
        <v>0</v>
      </c>
      <c r="I15" s="66">
        <f t="shared" ca="1" si="6"/>
        <v>0</v>
      </c>
      <c r="J15" s="66">
        <f t="shared" ca="1" si="6"/>
        <v>643000</v>
      </c>
    </row>
    <row r="16" spans="1:10" ht="15.75" thickTop="1" x14ac:dyDescent="0.25">
      <c r="G16" s="57"/>
      <c r="H16" s="57"/>
      <c r="I16" s="57"/>
      <c r="J16" s="57"/>
    </row>
    <row r="17" spans="1:11" x14ac:dyDescent="0.25">
      <c r="G17" s="57"/>
      <c r="H17" s="57"/>
      <c r="I17" s="57"/>
      <c r="J17" s="57"/>
    </row>
    <row r="21" spans="1:11" x14ac:dyDescent="0.25">
      <c r="G21" s="65" t="s">
        <v>522</v>
      </c>
      <c r="H21" s="65" t="s">
        <v>523</v>
      </c>
      <c r="I21" s="65" t="s">
        <v>524</v>
      </c>
      <c r="J21" s="65" t="s">
        <v>525</v>
      </c>
    </row>
    <row r="22" spans="1:11" x14ac:dyDescent="0.25">
      <c r="A22" s="52" t="s">
        <v>526</v>
      </c>
      <c r="B22" s="52" t="s">
        <v>527</v>
      </c>
      <c r="C22" s="53" t="s">
        <v>195</v>
      </c>
      <c r="D22" s="54" t="s">
        <v>36</v>
      </c>
      <c r="E22" s="148" t="s">
        <v>528</v>
      </c>
      <c r="F22" s="54" t="s">
        <v>800</v>
      </c>
      <c r="G22" s="52"/>
      <c r="H22" s="52"/>
      <c r="I22" s="52"/>
      <c r="J22" s="52"/>
      <c r="K22" s="52"/>
    </row>
    <row r="23" spans="1:11" x14ac:dyDescent="0.25">
      <c r="A23" s="55" t="s">
        <v>529</v>
      </c>
      <c r="B23" s="55">
        <v>4001</v>
      </c>
      <c r="C23" s="56">
        <v>42927</v>
      </c>
      <c r="D23" s="57">
        <v>50000</v>
      </c>
      <c r="E23" s="147">
        <f t="shared" ref="E23" ca="1" si="7">IF(TODAY()&gt;C23,TODAY()-C23,0)</f>
        <v>2465</v>
      </c>
      <c r="F23" s="57">
        <f t="shared" ref="F23:F30" ca="1" si="8">IF(E23=0,D23,0)</f>
        <v>0</v>
      </c>
      <c r="G23" s="57">
        <f ca="1">IF(C23&lt;TODAY(),IF(TODAY()-C23&lt;=30,D23,0),0)</f>
        <v>0</v>
      </c>
      <c r="H23" s="57">
        <f ca="1">IF(AND(TODAY()-C23&lt;=60,TODAY()-C23&gt;30),D23,0)</f>
        <v>0</v>
      </c>
      <c r="I23" s="57">
        <f ca="1">IF(AND(TODAY()-C23&lt;=90,TODAY()-C23&gt;60),D23,0)</f>
        <v>0</v>
      </c>
      <c r="J23" s="57">
        <f ca="1">IF(TODAY()-C23&gt;90,D23,0)</f>
        <v>50000</v>
      </c>
      <c r="K23" s="57">
        <f ca="1">IF(TODAY()-C23&gt;180,D23,0)</f>
        <v>50000</v>
      </c>
    </row>
    <row r="24" spans="1:11" x14ac:dyDescent="0.25">
      <c r="A24" s="55" t="s">
        <v>530</v>
      </c>
      <c r="B24" s="55">
        <v>4002</v>
      </c>
      <c r="C24" s="56">
        <v>42755</v>
      </c>
      <c r="D24" s="57">
        <v>60000</v>
      </c>
      <c r="E24" s="147">
        <f ca="1">IF(TODAY()&gt;C24,TODAY()-C24,0)</f>
        <v>2637</v>
      </c>
      <c r="F24" s="57">
        <f t="shared" ca="1" si="8"/>
        <v>0</v>
      </c>
      <c r="G24" s="57">
        <f t="shared" ref="G24:G30" ca="1" si="9">IF(C24&lt;TODAY(),IF(TODAY()-C24&lt;=30,D24,0),0)</f>
        <v>0</v>
      </c>
      <c r="H24" s="57">
        <f t="shared" ref="H24:H34" ca="1" si="10">IF(AND(TODAY()-C24&lt;=60,TODAY()-C24&gt;30),D24,0)</f>
        <v>0</v>
      </c>
      <c r="I24" s="57">
        <f t="shared" ref="I24:I34" ca="1" si="11">IF(AND(TODAY()-C24&lt;=90,TODAY()-C24&gt;60),D24,0)</f>
        <v>0</v>
      </c>
      <c r="J24" s="57">
        <f t="shared" ref="J24:J34" ca="1" si="12">IF(TODAY()-C24&gt;90,D24,0)</f>
        <v>60000</v>
      </c>
    </row>
    <row r="25" spans="1:11" x14ac:dyDescent="0.25">
      <c r="A25" s="55" t="s">
        <v>531</v>
      </c>
      <c r="B25" s="55">
        <v>4003</v>
      </c>
      <c r="C25" s="56">
        <v>42945</v>
      </c>
      <c r="D25" s="57">
        <v>36000</v>
      </c>
      <c r="E25" s="147">
        <f ca="1">IF(TODAY()&gt;C25,TODAY()-C25,0)</f>
        <v>2447</v>
      </c>
      <c r="F25" s="57">
        <f t="shared" ca="1" si="8"/>
        <v>0</v>
      </c>
      <c r="G25" s="57">
        <f t="shared" ca="1" si="9"/>
        <v>0</v>
      </c>
      <c r="H25" s="57">
        <f t="shared" ca="1" si="10"/>
        <v>0</v>
      </c>
      <c r="I25" s="57">
        <f t="shared" ca="1" si="11"/>
        <v>0</v>
      </c>
      <c r="J25" s="57">
        <f t="shared" ca="1" si="12"/>
        <v>36000</v>
      </c>
    </row>
    <row r="26" spans="1:11" x14ac:dyDescent="0.25">
      <c r="A26" s="55" t="s">
        <v>532</v>
      </c>
      <c r="B26" s="55">
        <v>4004</v>
      </c>
      <c r="C26" s="56">
        <v>42816</v>
      </c>
      <c r="D26" s="57">
        <v>45000</v>
      </c>
      <c r="E26" s="147">
        <f t="shared" ref="E26:E34" ca="1" si="13">IF(TODAY()&gt;C26,TODAY()-C26,0)</f>
        <v>2576</v>
      </c>
      <c r="F26" s="57">
        <f t="shared" ca="1" si="8"/>
        <v>0</v>
      </c>
      <c r="G26" s="57">
        <f t="shared" ca="1" si="9"/>
        <v>0</v>
      </c>
      <c r="H26" s="57">
        <f t="shared" ca="1" si="10"/>
        <v>0</v>
      </c>
      <c r="I26" s="57">
        <f t="shared" ca="1" si="11"/>
        <v>0</v>
      </c>
      <c r="J26" s="57">
        <f t="shared" ca="1" si="12"/>
        <v>45000</v>
      </c>
    </row>
    <row r="27" spans="1:11" x14ac:dyDescent="0.25">
      <c r="A27" s="55" t="s">
        <v>533</v>
      </c>
      <c r="B27" s="55">
        <v>4005</v>
      </c>
      <c r="C27" s="56">
        <v>42878</v>
      </c>
      <c r="D27" s="57">
        <v>15000</v>
      </c>
      <c r="E27" s="147">
        <f t="shared" ca="1" si="13"/>
        <v>2514</v>
      </c>
      <c r="F27" s="57">
        <f t="shared" ca="1" si="8"/>
        <v>0</v>
      </c>
      <c r="G27" s="57">
        <f t="shared" ca="1" si="9"/>
        <v>0</v>
      </c>
      <c r="H27" s="57">
        <f t="shared" ca="1" si="10"/>
        <v>0</v>
      </c>
      <c r="I27" s="57">
        <f t="shared" ca="1" si="11"/>
        <v>0</v>
      </c>
      <c r="J27" s="57">
        <f t="shared" ca="1" si="12"/>
        <v>15000</v>
      </c>
    </row>
    <row r="28" spans="1:11" x14ac:dyDescent="0.25">
      <c r="A28" s="55" t="s">
        <v>534</v>
      </c>
      <c r="B28" s="55">
        <v>4006</v>
      </c>
      <c r="C28" s="56">
        <v>42936</v>
      </c>
      <c r="D28" s="57">
        <v>62000</v>
      </c>
      <c r="E28" s="147">
        <f t="shared" ca="1" si="13"/>
        <v>2456</v>
      </c>
      <c r="F28" s="57">
        <f t="shared" ca="1" si="8"/>
        <v>0</v>
      </c>
      <c r="G28" s="57">
        <f t="shared" ca="1" si="9"/>
        <v>0</v>
      </c>
      <c r="H28" s="57">
        <f t="shared" ca="1" si="10"/>
        <v>0</v>
      </c>
      <c r="I28" s="57">
        <f t="shared" ca="1" si="11"/>
        <v>0</v>
      </c>
      <c r="J28" s="57">
        <f t="shared" ca="1" si="12"/>
        <v>62000</v>
      </c>
    </row>
    <row r="29" spans="1:11" x14ac:dyDescent="0.25">
      <c r="A29" s="55" t="s">
        <v>535</v>
      </c>
      <c r="B29" s="55">
        <v>4007</v>
      </c>
      <c r="C29" s="56">
        <v>42911</v>
      </c>
      <c r="D29" s="57">
        <v>63000</v>
      </c>
      <c r="E29" s="147">
        <f t="shared" ca="1" si="13"/>
        <v>2481</v>
      </c>
      <c r="F29" s="57">
        <f t="shared" ca="1" si="8"/>
        <v>0</v>
      </c>
      <c r="G29" s="57">
        <f t="shared" ca="1" si="9"/>
        <v>0</v>
      </c>
      <c r="H29" s="57">
        <f t="shared" ca="1" si="10"/>
        <v>0</v>
      </c>
      <c r="I29" s="57">
        <f t="shared" ca="1" si="11"/>
        <v>0</v>
      </c>
      <c r="J29" s="57">
        <f t="shared" ca="1" si="12"/>
        <v>63000</v>
      </c>
    </row>
    <row r="30" spans="1:11" x14ac:dyDescent="0.25">
      <c r="A30" s="55" t="s">
        <v>536</v>
      </c>
      <c r="B30" s="55">
        <v>4008</v>
      </c>
      <c r="C30" s="56">
        <v>42820</v>
      </c>
      <c r="D30" s="57">
        <v>100000</v>
      </c>
      <c r="E30" s="147">
        <f t="shared" ca="1" si="13"/>
        <v>2572</v>
      </c>
      <c r="F30" s="57">
        <f t="shared" ca="1" si="8"/>
        <v>0</v>
      </c>
      <c r="G30" s="57">
        <f t="shared" ca="1" si="9"/>
        <v>0</v>
      </c>
      <c r="H30" s="57">
        <f t="shared" ca="1" si="10"/>
        <v>0</v>
      </c>
      <c r="I30" s="57">
        <f t="shared" ca="1" si="11"/>
        <v>0</v>
      </c>
      <c r="J30" s="57">
        <f t="shared" ca="1" si="12"/>
        <v>100000</v>
      </c>
    </row>
    <row r="31" spans="1:11" x14ac:dyDescent="0.25">
      <c r="A31" s="55" t="s">
        <v>537</v>
      </c>
      <c r="B31" s="55">
        <v>4009</v>
      </c>
      <c r="C31" s="58">
        <v>42974</v>
      </c>
      <c r="D31" s="57">
        <v>5000</v>
      </c>
      <c r="E31" s="147">
        <f t="shared" ca="1" si="13"/>
        <v>2418</v>
      </c>
      <c r="F31" s="57">
        <f ca="1">IF(E31=0,D31,0)</f>
        <v>0</v>
      </c>
      <c r="G31" s="57">
        <f ca="1">IF(C31&lt;TODAY(),IF(TODAY()-C31&lt;=30,D31,0),0)</f>
        <v>0</v>
      </c>
      <c r="H31" s="57">
        <f t="shared" ca="1" si="10"/>
        <v>0</v>
      </c>
      <c r="I31" s="57">
        <f t="shared" ca="1" si="11"/>
        <v>0</v>
      </c>
      <c r="J31" s="57">
        <f t="shared" ca="1" si="12"/>
        <v>5000</v>
      </c>
    </row>
    <row r="32" spans="1:11" x14ac:dyDescent="0.25">
      <c r="A32" s="55" t="s">
        <v>538</v>
      </c>
      <c r="B32" s="55">
        <v>4010</v>
      </c>
      <c r="C32" s="56">
        <v>42794</v>
      </c>
      <c r="D32" s="57">
        <v>99000</v>
      </c>
      <c r="E32" s="147">
        <f t="shared" ca="1" si="13"/>
        <v>2598</v>
      </c>
      <c r="F32" s="57">
        <f t="shared" ref="F32:F34" ca="1" si="14">IF(E32=0,D32,0)</f>
        <v>0</v>
      </c>
      <c r="G32" s="57">
        <f t="shared" ref="G32:G34" ca="1" si="15">IF(C32&lt;TODAY(),IF(TODAY()-C32&lt;=30,D32,0),0)</f>
        <v>0</v>
      </c>
      <c r="H32" s="57">
        <f t="shared" ca="1" si="10"/>
        <v>0</v>
      </c>
      <c r="I32" s="57">
        <f t="shared" ca="1" si="11"/>
        <v>0</v>
      </c>
      <c r="J32" s="57">
        <f t="shared" ca="1" si="12"/>
        <v>99000</v>
      </c>
    </row>
    <row r="33" spans="1:11" x14ac:dyDescent="0.25">
      <c r="A33" s="55" t="s">
        <v>539</v>
      </c>
      <c r="B33" s="55">
        <v>4011</v>
      </c>
      <c r="C33" s="56">
        <v>42936</v>
      </c>
      <c r="D33" s="57">
        <v>86000</v>
      </c>
      <c r="E33" s="147">
        <f t="shared" ca="1" si="13"/>
        <v>2456</v>
      </c>
      <c r="F33" s="57">
        <f t="shared" ca="1" si="14"/>
        <v>0</v>
      </c>
      <c r="G33" s="57">
        <f t="shared" ca="1" si="15"/>
        <v>0</v>
      </c>
      <c r="H33" s="57">
        <f t="shared" ca="1" si="10"/>
        <v>0</v>
      </c>
      <c r="I33" s="57">
        <f t="shared" ca="1" si="11"/>
        <v>0</v>
      </c>
      <c r="J33" s="57">
        <f t="shared" ca="1" si="12"/>
        <v>86000</v>
      </c>
    </row>
    <row r="34" spans="1:11" x14ac:dyDescent="0.25">
      <c r="A34" s="55" t="s">
        <v>540</v>
      </c>
      <c r="B34" s="55">
        <v>4012</v>
      </c>
      <c r="C34" s="56">
        <v>42957</v>
      </c>
      <c r="D34" s="57">
        <v>22000</v>
      </c>
      <c r="E34" s="147">
        <f t="shared" ca="1" si="13"/>
        <v>2435</v>
      </c>
      <c r="F34" s="57">
        <f t="shared" ca="1" si="14"/>
        <v>0</v>
      </c>
      <c r="G34" s="57">
        <f t="shared" ca="1" si="15"/>
        <v>0</v>
      </c>
      <c r="H34" s="57">
        <f t="shared" ca="1" si="10"/>
        <v>0</v>
      </c>
      <c r="I34" s="57">
        <f t="shared" ca="1" si="11"/>
        <v>0</v>
      </c>
      <c r="J34" s="57">
        <f t="shared" ca="1" si="12"/>
        <v>22000</v>
      </c>
    </row>
    <row r="35" spans="1:11" ht="15.75" thickBot="1" x14ac:dyDescent="0.3">
      <c r="A35" s="60"/>
      <c r="B35" s="60"/>
      <c r="C35" s="60"/>
      <c r="D35" s="59">
        <f>SUM(D23:D34)</f>
        <v>643000</v>
      </c>
      <c r="E35" s="149"/>
      <c r="F35" s="66">
        <f ca="1">SUM(F23:F34)</f>
        <v>0</v>
      </c>
      <c r="G35" s="66">
        <f t="shared" ref="G35:J35" ca="1" si="16">SUM(G23:G34)</f>
        <v>0</v>
      </c>
      <c r="H35" s="66">
        <f t="shared" ca="1" si="16"/>
        <v>0</v>
      </c>
      <c r="I35" s="66">
        <f t="shared" ca="1" si="16"/>
        <v>0</v>
      </c>
      <c r="J35" s="66">
        <f t="shared" ca="1" si="16"/>
        <v>643000</v>
      </c>
      <c r="K35" s="60"/>
    </row>
    <row r="36" spans="1:11" ht="15.75" thickTop="1" x14ac:dyDescent="0.25">
      <c r="G36" s="57"/>
      <c r="H36" s="57"/>
      <c r="I36" s="57"/>
      <c r="J36" s="57"/>
    </row>
    <row r="40" spans="1:11" x14ac:dyDescent="0.25">
      <c r="C40" s="56">
        <v>42736</v>
      </c>
      <c r="F40" s="57" t="s">
        <v>803</v>
      </c>
      <c r="G40" s="65" t="s">
        <v>522</v>
      </c>
      <c r="H40" s="65" t="s">
        <v>523</v>
      </c>
      <c r="I40" s="65" t="s">
        <v>524</v>
      </c>
      <c r="J40" s="55" t="s">
        <v>804</v>
      </c>
      <c r="K40" s="55" t="s">
        <v>805</v>
      </c>
    </row>
    <row r="41" spans="1:11" x14ac:dyDescent="0.25">
      <c r="E41" s="150">
        <v>43039</v>
      </c>
    </row>
    <row r="42" spans="1:11" x14ac:dyDescent="0.25">
      <c r="C42" s="56">
        <v>42736</v>
      </c>
      <c r="D42" s="57">
        <v>50000</v>
      </c>
      <c r="E42" s="147">
        <f>IF($E$41&gt;C42,$E$41-C42,0)</f>
        <v>303</v>
      </c>
      <c r="F42" s="57">
        <f t="shared" ref="F42:F56" si="17">IF(E42=0,D42,0)</f>
        <v>0</v>
      </c>
      <c r="G42" s="57">
        <f>IF(C42&lt;$E$41,IF($E$41-C42&lt;=30,D42,0),0)</f>
        <v>0</v>
      </c>
      <c r="H42" s="57">
        <f>IF(AND($E$41-C42&lt;=60,$E$41-C42&gt;30),D42,0)</f>
        <v>0</v>
      </c>
      <c r="I42" s="57">
        <f>IF(AND($E$41-C42&lt;=90,$E$41-C42&gt;60),D42,0)</f>
        <v>0</v>
      </c>
      <c r="J42" s="57">
        <f>IF(AND($E$41-C42&lt;=180,$E$41-C42&gt;90),D42,0)</f>
        <v>0</v>
      </c>
      <c r="K42" s="57">
        <f>IF($E$41-C42&gt;180,D42,0)</f>
        <v>50000</v>
      </c>
    </row>
    <row r="43" spans="1:11" x14ac:dyDescent="0.25">
      <c r="C43" s="56">
        <v>42755</v>
      </c>
      <c r="D43" s="57">
        <v>60000</v>
      </c>
      <c r="E43" s="147">
        <f t="shared" ref="E43:E56" si="18">IF($E$41&gt;C43,$E$41-C43,0)</f>
        <v>284</v>
      </c>
      <c r="F43" s="57">
        <f t="shared" si="17"/>
        <v>0</v>
      </c>
      <c r="G43" s="57">
        <f t="shared" ref="G43:G56" si="19">IF(C43&lt;$E$41,IF($E$41-C43&lt;=30,D43,0),0)</f>
        <v>0</v>
      </c>
      <c r="H43" s="57">
        <f t="shared" ref="H43:H56" si="20">IF(AND($E$41-C43&lt;=60,$E$41-C43&gt;30),D43,0)</f>
        <v>0</v>
      </c>
      <c r="I43" s="57">
        <f t="shared" ref="I43:I56" si="21">IF(AND($E$41-C43&lt;=90,$E$41-C43&gt;60),D43,0)</f>
        <v>0</v>
      </c>
      <c r="J43" s="57">
        <f t="shared" ref="J43:J56" si="22">IF(AND($E$41-C43&lt;=180,$E$41-C43&gt;90),D43,0)</f>
        <v>0</v>
      </c>
      <c r="K43" s="57">
        <f t="shared" ref="K43:K56" si="23">IF($E$41-C43&gt;180,D43,0)</f>
        <v>60000</v>
      </c>
    </row>
    <row r="44" spans="1:11" x14ac:dyDescent="0.25">
      <c r="C44" s="56">
        <v>42794</v>
      </c>
      <c r="D44" s="57">
        <v>36000</v>
      </c>
      <c r="E44" s="147">
        <f t="shared" si="18"/>
        <v>245</v>
      </c>
      <c r="F44" s="57">
        <f t="shared" si="17"/>
        <v>0</v>
      </c>
      <c r="G44" s="57">
        <f t="shared" si="19"/>
        <v>0</v>
      </c>
      <c r="H44" s="57">
        <f t="shared" si="20"/>
        <v>0</v>
      </c>
      <c r="I44" s="57">
        <f t="shared" si="21"/>
        <v>0</v>
      </c>
      <c r="J44" s="57">
        <f t="shared" si="22"/>
        <v>0</v>
      </c>
      <c r="K44" s="57">
        <f t="shared" si="23"/>
        <v>36000</v>
      </c>
    </row>
    <row r="45" spans="1:11" x14ac:dyDescent="0.25">
      <c r="C45" s="56">
        <v>42816</v>
      </c>
      <c r="D45" s="57">
        <v>45000</v>
      </c>
      <c r="E45" s="147">
        <f t="shared" si="18"/>
        <v>223</v>
      </c>
      <c r="F45" s="57">
        <f t="shared" si="17"/>
        <v>0</v>
      </c>
      <c r="G45" s="57">
        <f t="shared" si="19"/>
        <v>0</v>
      </c>
      <c r="H45" s="57">
        <f t="shared" si="20"/>
        <v>0</v>
      </c>
      <c r="I45" s="57">
        <f t="shared" si="21"/>
        <v>0</v>
      </c>
      <c r="J45" s="57">
        <f t="shared" si="22"/>
        <v>0</v>
      </c>
      <c r="K45" s="57">
        <f t="shared" si="23"/>
        <v>45000</v>
      </c>
    </row>
    <row r="46" spans="1:11" x14ac:dyDescent="0.25">
      <c r="C46" s="56">
        <v>43050</v>
      </c>
      <c r="D46" s="57">
        <v>15000</v>
      </c>
      <c r="E46" s="147">
        <f t="shared" si="18"/>
        <v>0</v>
      </c>
      <c r="F46" s="57">
        <f t="shared" si="17"/>
        <v>15000</v>
      </c>
      <c r="G46" s="57">
        <f t="shared" si="19"/>
        <v>0</v>
      </c>
      <c r="H46" s="57">
        <f t="shared" si="20"/>
        <v>0</v>
      </c>
      <c r="I46" s="57">
        <f t="shared" si="21"/>
        <v>0</v>
      </c>
      <c r="J46" s="57">
        <f t="shared" si="22"/>
        <v>0</v>
      </c>
      <c r="K46" s="57">
        <f t="shared" si="23"/>
        <v>0</v>
      </c>
    </row>
    <row r="47" spans="1:11" x14ac:dyDescent="0.25">
      <c r="C47" s="56">
        <v>42878</v>
      </c>
      <c r="D47" s="57">
        <v>62000</v>
      </c>
      <c r="E47" s="147">
        <f t="shared" si="18"/>
        <v>161</v>
      </c>
      <c r="F47" s="57">
        <f t="shared" si="17"/>
        <v>0</v>
      </c>
      <c r="G47" s="57">
        <f t="shared" si="19"/>
        <v>0</v>
      </c>
      <c r="H47" s="57">
        <f t="shared" si="20"/>
        <v>0</v>
      </c>
      <c r="I47" s="57">
        <f t="shared" si="21"/>
        <v>0</v>
      </c>
      <c r="J47" s="57">
        <f t="shared" si="22"/>
        <v>62000</v>
      </c>
      <c r="K47" s="57">
        <f t="shared" si="23"/>
        <v>0</v>
      </c>
    </row>
    <row r="48" spans="1:11" x14ac:dyDescent="0.25">
      <c r="C48" s="56">
        <v>42911</v>
      </c>
      <c r="D48" s="57">
        <v>63000</v>
      </c>
      <c r="E48" s="147">
        <f t="shared" si="18"/>
        <v>128</v>
      </c>
      <c r="F48" s="57">
        <f t="shared" si="17"/>
        <v>0</v>
      </c>
      <c r="G48" s="57">
        <f t="shared" si="19"/>
        <v>0</v>
      </c>
      <c r="H48" s="57">
        <f t="shared" si="20"/>
        <v>0</v>
      </c>
      <c r="I48" s="57">
        <f t="shared" si="21"/>
        <v>0</v>
      </c>
      <c r="J48" s="57">
        <f t="shared" si="22"/>
        <v>63000</v>
      </c>
      <c r="K48" s="57">
        <f t="shared" si="23"/>
        <v>0</v>
      </c>
    </row>
    <row r="49" spans="3:11" x14ac:dyDescent="0.25">
      <c r="C49" s="56">
        <v>42927</v>
      </c>
      <c r="D49" s="57">
        <v>100000</v>
      </c>
      <c r="E49" s="147">
        <f t="shared" si="18"/>
        <v>112</v>
      </c>
      <c r="F49" s="57">
        <f t="shared" si="17"/>
        <v>0</v>
      </c>
      <c r="G49" s="57">
        <f t="shared" si="19"/>
        <v>0</v>
      </c>
      <c r="H49" s="57">
        <f t="shared" si="20"/>
        <v>0</v>
      </c>
      <c r="I49" s="57">
        <f t="shared" si="21"/>
        <v>0</v>
      </c>
      <c r="J49" s="57">
        <f t="shared" si="22"/>
        <v>100000</v>
      </c>
      <c r="K49" s="57">
        <f t="shared" si="23"/>
        <v>0</v>
      </c>
    </row>
    <row r="50" spans="3:11" x14ac:dyDescent="0.25">
      <c r="C50" s="56">
        <v>43038</v>
      </c>
      <c r="D50" s="57">
        <v>5000</v>
      </c>
      <c r="E50" s="147">
        <f t="shared" si="18"/>
        <v>1</v>
      </c>
      <c r="F50" s="57">
        <f t="shared" si="17"/>
        <v>0</v>
      </c>
      <c r="G50" s="57">
        <f t="shared" si="19"/>
        <v>5000</v>
      </c>
      <c r="H50" s="57">
        <f t="shared" si="20"/>
        <v>0</v>
      </c>
      <c r="I50" s="57">
        <f t="shared" si="21"/>
        <v>0</v>
      </c>
      <c r="J50" s="57">
        <f t="shared" si="22"/>
        <v>0</v>
      </c>
      <c r="K50" s="57">
        <f t="shared" si="23"/>
        <v>0</v>
      </c>
    </row>
    <row r="51" spans="3:11" x14ac:dyDescent="0.25">
      <c r="C51" s="56">
        <v>42936</v>
      </c>
      <c r="D51" s="57">
        <v>99000</v>
      </c>
      <c r="E51" s="147">
        <f t="shared" si="18"/>
        <v>103</v>
      </c>
      <c r="F51" s="57">
        <f t="shared" si="17"/>
        <v>0</v>
      </c>
      <c r="G51" s="57">
        <f t="shared" si="19"/>
        <v>0</v>
      </c>
      <c r="H51" s="57">
        <f t="shared" si="20"/>
        <v>0</v>
      </c>
      <c r="I51" s="57">
        <f t="shared" si="21"/>
        <v>0</v>
      </c>
      <c r="J51" s="57">
        <f t="shared" si="22"/>
        <v>99000</v>
      </c>
      <c r="K51" s="57">
        <f t="shared" si="23"/>
        <v>0</v>
      </c>
    </row>
    <row r="52" spans="3:11" x14ac:dyDescent="0.25">
      <c r="C52" s="56">
        <v>42945</v>
      </c>
      <c r="D52" s="57">
        <v>86000</v>
      </c>
      <c r="E52" s="147">
        <f t="shared" si="18"/>
        <v>94</v>
      </c>
      <c r="F52" s="57">
        <f t="shared" si="17"/>
        <v>0</v>
      </c>
      <c r="G52" s="57">
        <f t="shared" si="19"/>
        <v>0</v>
      </c>
      <c r="H52" s="57">
        <f t="shared" si="20"/>
        <v>0</v>
      </c>
      <c r="I52" s="57">
        <f t="shared" si="21"/>
        <v>0</v>
      </c>
      <c r="J52" s="57">
        <f t="shared" si="22"/>
        <v>86000</v>
      </c>
      <c r="K52" s="57">
        <f t="shared" si="23"/>
        <v>0</v>
      </c>
    </row>
    <row r="53" spans="3:11" x14ac:dyDescent="0.25">
      <c r="C53" s="56">
        <v>42957</v>
      </c>
      <c r="D53" s="57">
        <v>22000</v>
      </c>
      <c r="E53" s="147">
        <f t="shared" si="18"/>
        <v>82</v>
      </c>
      <c r="F53" s="57">
        <f t="shared" si="17"/>
        <v>0</v>
      </c>
      <c r="G53" s="57">
        <f t="shared" si="19"/>
        <v>0</v>
      </c>
      <c r="H53" s="57">
        <f t="shared" si="20"/>
        <v>0</v>
      </c>
      <c r="I53" s="57">
        <f t="shared" si="21"/>
        <v>22000</v>
      </c>
      <c r="J53" s="57">
        <f t="shared" si="22"/>
        <v>0</v>
      </c>
      <c r="K53" s="57">
        <f t="shared" si="23"/>
        <v>0</v>
      </c>
    </row>
    <row r="54" spans="3:11" x14ac:dyDescent="0.25">
      <c r="C54" s="56">
        <v>42989</v>
      </c>
      <c r="D54" s="57">
        <v>45000</v>
      </c>
      <c r="E54" s="147">
        <f t="shared" si="18"/>
        <v>50</v>
      </c>
      <c r="F54" s="57">
        <f t="shared" si="17"/>
        <v>0</v>
      </c>
      <c r="G54" s="57">
        <f t="shared" si="19"/>
        <v>0</v>
      </c>
      <c r="H54" s="57">
        <f t="shared" si="20"/>
        <v>45000</v>
      </c>
      <c r="I54" s="57">
        <f t="shared" si="21"/>
        <v>0</v>
      </c>
      <c r="J54" s="57">
        <f t="shared" si="22"/>
        <v>0</v>
      </c>
      <c r="K54" s="57">
        <f t="shared" si="23"/>
        <v>0</v>
      </c>
    </row>
    <row r="55" spans="3:11" x14ac:dyDescent="0.25">
      <c r="C55" s="56">
        <v>43020</v>
      </c>
      <c r="D55" s="57">
        <v>25000</v>
      </c>
      <c r="E55" s="147">
        <f t="shared" si="18"/>
        <v>19</v>
      </c>
      <c r="F55" s="57">
        <f t="shared" si="17"/>
        <v>0</v>
      </c>
      <c r="G55" s="57">
        <f t="shared" si="19"/>
        <v>25000</v>
      </c>
      <c r="H55" s="57">
        <f t="shared" si="20"/>
        <v>0</v>
      </c>
      <c r="I55" s="57">
        <f t="shared" si="21"/>
        <v>0</v>
      </c>
      <c r="J55" s="57">
        <f t="shared" si="22"/>
        <v>0</v>
      </c>
      <c r="K55" s="57">
        <f t="shared" si="23"/>
        <v>0</v>
      </c>
    </row>
    <row r="56" spans="3:11" x14ac:dyDescent="0.25">
      <c r="C56" s="56">
        <v>43039</v>
      </c>
      <c r="D56" s="57">
        <v>15500</v>
      </c>
      <c r="E56" s="147">
        <f t="shared" si="18"/>
        <v>0</v>
      </c>
      <c r="F56" s="57">
        <f t="shared" si="17"/>
        <v>15500</v>
      </c>
      <c r="G56" s="57">
        <f t="shared" si="19"/>
        <v>0</v>
      </c>
      <c r="H56" s="57">
        <f t="shared" si="20"/>
        <v>0</v>
      </c>
      <c r="I56" s="57">
        <f t="shared" si="21"/>
        <v>0</v>
      </c>
      <c r="J56" s="57">
        <f t="shared" si="22"/>
        <v>0</v>
      </c>
      <c r="K56" s="57">
        <f t="shared" si="23"/>
        <v>0</v>
      </c>
    </row>
    <row r="57" spans="3:11" ht="15.75" thickBot="1" x14ac:dyDescent="0.3">
      <c r="D57" s="151">
        <f>SUM(D42:D56)</f>
        <v>728500</v>
      </c>
      <c r="F57" s="151">
        <f>SUM(F42:F56)</f>
        <v>30500</v>
      </c>
      <c r="G57" s="151">
        <f t="shared" ref="G57:K57" si="24">SUM(G42:G56)</f>
        <v>30000</v>
      </c>
      <c r="H57" s="151">
        <f t="shared" si="24"/>
        <v>45000</v>
      </c>
      <c r="I57" s="151">
        <f t="shared" si="24"/>
        <v>22000</v>
      </c>
      <c r="J57" s="151">
        <f t="shared" si="24"/>
        <v>410000</v>
      </c>
      <c r="K57" s="151">
        <f t="shared" si="24"/>
        <v>191000</v>
      </c>
    </row>
    <row r="58" spans="3:11" ht="15.75" thickTop="1" x14ac:dyDescent="0.25"/>
  </sheetData>
  <sortState ref="C43:C54">
    <sortCondition ref="C43"/>
  </sortState>
  <pageMargins left="0.7" right="0.7" top="0.75" bottom="0.75" header="0.3" footer="0.3"/>
  <pageSetup paperSize="9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E37"/>
  <sheetViews>
    <sheetView workbookViewId="0">
      <selection activeCell="A19" sqref="A19"/>
    </sheetView>
  </sheetViews>
  <sheetFormatPr defaultRowHeight="15" x14ac:dyDescent="0.25"/>
  <cols>
    <col min="1" max="1" width="21.42578125" customWidth="1"/>
    <col min="2" max="2" width="10.7109375" customWidth="1"/>
    <col min="3" max="3" width="13" style="51" customWidth="1"/>
    <col min="5" max="5" width="14.85546875" bestFit="1" customWidth="1"/>
  </cols>
  <sheetData>
    <row r="4" spans="1:3" x14ac:dyDescent="0.25">
      <c r="A4" t="s">
        <v>801</v>
      </c>
    </row>
    <row r="5" spans="1:3" x14ac:dyDescent="0.25">
      <c r="A5" s="62">
        <v>250000</v>
      </c>
      <c r="B5" s="83">
        <v>0</v>
      </c>
    </row>
    <row r="6" spans="1:3" x14ac:dyDescent="0.25">
      <c r="A6" s="63">
        <v>400000</v>
      </c>
      <c r="B6" s="83">
        <v>0.1</v>
      </c>
    </row>
    <row r="7" spans="1:3" x14ac:dyDescent="0.25">
      <c r="A7" s="63">
        <v>500000</v>
      </c>
      <c r="B7" s="83">
        <v>0.15</v>
      </c>
    </row>
    <row r="8" spans="1:3" x14ac:dyDescent="0.25">
      <c r="A8" s="63">
        <v>600000</v>
      </c>
      <c r="B8" s="83">
        <v>0.2</v>
      </c>
    </row>
    <row r="9" spans="1:3" x14ac:dyDescent="0.25">
      <c r="A9" s="63">
        <v>3000000</v>
      </c>
      <c r="B9" s="83">
        <v>0.25</v>
      </c>
    </row>
    <row r="10" spans="1:3" x14ac:dyDescent="0.25">
      <c r="A10" s="64">
        <v>1054000</v>
      </c>
      <c r="B10" s="83">
        <v>0.3</v>
      </c>
    </row>
    <row r="11" spans="1:3" x14ac:dyDescent="0.25">
      <c r="A11" s="61"/>
      <c r="B11" s="61"/>
      <c r="C11" s="85"/>
    </row>
    <row r="12" spans="1:3" x14ac:dyDescent="0.25">
      <c r="A12" s="61">
        <v>25000666</v>
      </c>
      <c r="B12" s="61"/>
      <c r="C12" s="85"/>
    </row>
    <row r="13" spans="1:3" x14ac:dyDescent="0.25">
      <c r="A13" t="s">
        <v>802</v>
      </c>
      <c r="B13" s="61"/>
      <c r="C13" s="85"/>
    </row>
    <row r="14" spans="1:3" x14ac:dyDescent="0.25">
      <c r="A14" s="61">
        <f>IF($A$12&gt;=250000,250000,$A$12)</f>
        <v>250000</v>
      </c>
      <c r="B14" s="61" t="s">
        <v>553</v>
      </c>
      <c r="C14" s="85">
        <v>0</v>
      </c>
    </row>
    <row r="15" spans="1:3" x14ac:dyDescent="0.25">
      <c r="A15" s="61">
        <f>IF($A$12&gt;=650000,400000,$A$12-$A$14)</f>
        <v>400000</v>
      </c>
      <c r="B15" s="61" t="s">
        <v>553</v>
      </c>
      <c r="C15" s="85">
        <v>0.1</v>
      </c>
    </row>
    <row r="16" spans="1:3" x14ac:dyDescent="0.25">
      <c r="A16" s="61">
        <f>IF($A$12&gt;=1150000,500000,$A$12-$A$14-$A$15)</f>
        <v>500000</v>
      </c>
      <c r="B16" s="61" t="s">
        <v>553</v>
      </c>
      <c r="C16" s="85">
        <v>0.15</v>
      </c>
    </row>
    <row r="17" spans="1:5" x14ac:dyDescent="0.25">
      <c r="A17" s="61">
        <f>IF($A$12&gt;=1750000,600000,$A$12-$A$14-$A$15-$A$16)</f>
        <v>600000</v>
      </c>
      <c r="B17" s="61" t="s">
        <v>553</v>
      </c>
      <c r="C17" s="85">
        <v>0.2</v>
      </c>
    </row>
    <row r="18" spans="1:5" x14ac:dyDescent="0.25">
      <c r="A18" s="61">
        <f>IF($A$12&gt;=4750000,3000000,$A$12-$A$14-$A$15-$A$16-$A$17)</f>
        <v>3000000</v>
      </c>
      <c r="B18" s="61" t="s">
        <v>553</v>
      </c>
      <c r="C18" s="85">
        <v>0.25</v>
      </c>
    </row>
    <row r="19" spans="1:5" x14ac:dyDescent="0.25">
      <c r="A19" s="61">
        <f>IF($A$12&gt;4750000,$A$12-$A$14-$A$15-$A$16-$A$17-A18,0)</f>
        <v>20250666</v>
      </c>
      <c r="B19" s="61" t="s">
        <v>553</v>
      </c>
      <c r="C19" s="85">
        <v>0.3</v>
      </c>
    </row>
    <row r="20" spans="1:5" ht="15.75" thickBot="1" x14ac:dyDescent="0.3">
      <c r="A20" s="84">
        <f>SUM(A14:A19)</f>
        <v>25000666</v>
      </c>
      <c r="B20" s="61"/>
      <c r="C20" s="85"/>
    </row>
    <row r="21" spans="1:5" ht="15.75" thickTop="1" x14ac:dyDescent="0.25">
      <c r="A21" s="61"/>
      <c r="B21" s="61"/>
      <c r="C21" s="85"/>
    </row>
    <row r="22" spans="1:5" x14ac:dyDescent="0.25">
      <c r="A22" s="122"/>
      <c r="B22" s="122"/>
      <c r="C22" s="161"/>
      <c r="D22" s="120"/>
      <c r="E22" s="120"/>
    </row>
    <row r="23" spans="1:5" ht="15.75" thickBot="1" x14ac:dyDescent="0.3">
      <c r="A23" s="122"/>
      <c r="B23" s="122"/>
      <c r="C23" s="120" t="s">
        <v>815</v>
      </c>
      <c r="D23" s="120"/>
      <c r="E23" s="160">
        <v>3560000</v>
      </c>
    </row>
    <row r="24" spans="1:5" x14ac:dyDescent="0.25">
      <c r="A24" s="122"/>
      <c r="B24" s="122"/>
      <c r="C24" s="161"/>
      <c r="D24" s="120"/>
      <c r="E24" s="120"/>
    </row>
    <row r="25" spans="1:5" x14ac:dyDescent="0.25">
      <c r="A25" s="122"/>
      <c r="B25" s="122"/>
      <c r="C25" s="161"/>
      <c r="D25" s="120"/>
      <c r="E25" s="120"/>
    </row>
    <row r="26" spans="1:5" ht="15.75" thickBot="1" x14ac:dyDescent="0.3">
      <c r="A26" s="122"/>
      <c r="B26" s="122"/>
      <c r="C26" s="161"/>
      <c r="D26" s="120"/>
      <c r="E26" s="120"/>
    </row>
    <row r="27" spans="1:5" x14ac:dyDescent="0.25">
      <c r="A27" s="172" t="s">
        <v>806</v>
      </c>
      <c r="B27" s="122"/>
      <c r="C27" s="161"/>
      <c r="D27" s="120" t="s">
        <v>814</v>
      </c>
      <c r="E27" s="162" t="s">
        <v>813</v>
      </c>
    </row>
    <row r="28" spans="1:5" x14ac:dyDescent="0.25">
      <c r="A28" s="173"/>
      <c r="B28" s="122"/>
      <c r="C28" s="161"/>
      <c r="D28" s="120"/>
      <c r="E28" s="120"/>
    </row>
    <row r="29" spans="1:5" ht="15" customHeight="1" x14ac:dyDescent="0.25">
      <c r="A29" s="174"/>
      <c r="B29" s="153" t="s">
        <v>809</v>
      </c>
      <c r="C29" s="152">
        <f>IF(AND(A30="yes",A34="No",E23&gt;25000),IF(E27="Male",MIN(E23,250000+25000),IF(E27="Female",MIN(E23,300000+25000),IF(E27="Senior Citizen",MIN(E23,300000+25000),IF(E27="Handi Capped",MIN(E23,400000+25000),IF(E27="Freedom Fighter",MIN(E23,425000+25000)))))), IF(E27="Male",MIN(E23,250000),IF(E27="Female",MIN(E23,300000),IF(E27="Senior Citizen",MIN(E23,300000),IF(E27="Handi Capped",MIN(E23,400000),IF(E27="Freedom Fighter",MIN(E23,425000)))))))</f>
        <v>300000</v>
      </c>
      <c r="D29" s="154" t="s">
        <v>810</v>
      </c>
      <c r="E29" s="155">
        <v>0</v>
      </c>
    </row>
    <row r="30" spans="1:5" ht="15.75" thickBot="1" x14ac:dyDescent="0.3">
      <c r="A30" s="163" t="s">
        <v>807</v>
      </c>
      <c r="B30" s="153" t="s">
        <v>811</v>
      </c>
      <c r="C30" s="152">
        <f>IF(E23-C29&gt;400000,400000,E23-C29)</f>
        <v>400000</v>
      </c>
      <c r="D30" s="156">
        <v>0.1</v>
      </c>
      <c r="E30" s="157">
        <f>C30*D30</f>
        <v>40000</v>
      </c>
    </row>
    <row r="31" spans="1:5" x14ac:dyDescent="0.25">
      <c r="A31" s="175" t="s">
        <v>808</v>
      </c>
      <c r="B31" s="153" t="s">
        <v>811</v>
      </c>
      <c r="C31" s="152">
        <f>MIN($E$23-SUM($C$29:C30),500000)</f>
        <v>500000</v>
      </c>
      <c r="D31" s="156">
        <v>0.15</v>
      </c>
      <c r="E31" s="157">
        <f>C31*D31</f>
        <v>75000</v>
      </c>
    </row>
    <row r="32" spans="1:5" x14ac:dyDescent="0.25">
      <c r="A32" s="176"/>
      <c r="B32" s="153" t="s">
        <v>811</v>
      </c>
      <c r="C32" s="152">
        <f>MIN($E$23-SUM($C$29:C31),600000)</f>
        <v>600000</v>
      </c>
      <c r="D32" s="156">
        <v>0.2</v>
      </c>
      <c r="E32" s="157">
        <f>C32*D32</f>
        <v>120000</v>
      </c>
    </row>
    <row r="33" spans="1:5" x14ac:dyDescent="0.25">
      <c r="A33" s="177"/>
      <c r="B33" s="153" t="s">
        <v>811</v>
      </c>
      <c r="C33" s="152">
        <f>MIN($E$23-SUM($C$29:C32),3000000)</f>
        <v>1760000</v>
      </c>
      <c r="D33" s="156">
        <v>0.25</v>
      </c>
      <c r="E33" s="157">
        <f>C33*D33</f>
        <v>440000</v>
      </c>
    </row>
    <row r="34" spans="1:5" ht="15.75" thickBot="1" x14ac:dyDescent="0.3">
      <c r="A34" s="163" t="s">
        <v>807</v>
      </c>
      <c r="B34" s="153" t="s">
        <v>812</v>
      </c>
      <c r="C34" s="152">
        <f>$E$23-SUM($C$29:C33)</f>
        <v>0</v>
      </c>
      <c r="D34" s="158">
        <v>0.3</v>
      </c>
      <c r="E34" s="159">
        <f>C34*D34</f>
        <v>0</v>
      </c>
    </row>
    <row r="35" spans="1:5" ht="15.75" thickBot="1" x14ac:dyDescent="0.3">
      <c r="A35" s="120"/>
      <c r="B35" s="120"/>
      <c r="C35" s="164">
        <f>SUM(C29:C34)</f>
        <v>3560000</v>
      </c>
      <c r="D35" s="120"/>
      <c r="E35" s="120"/>
    </row>
    <row r="36" spans="1:5" ht="15.75" thickTop="1" x14ac:dyDescent="0.25">
      <c r="A36" s="120"/>
      <c r="B36" s="120"/>
      <c r="C36" s="123"/>
      <c r="D36" s="120"/>
      <c r="E36" s="120"/>
    </row>
    <row r="37" spans="1:5" x14ac:dyDescent="0.25">
      <c r="A37" s="120"/>
      <c r="B37" s="120"/>
      <c r="C37" s="123"/>
      <c r="D37" s="120"/>
      <c r="E37" s="120"/>
    </row>
  </sheetData>
  <mergeCells count="2">
    <mergeCell ref="A27:A29"/>
    <mergeCell ref="A31:A33"/>
  </mergeCells>
  <dataValidations count="2">
    <dataValidation type="list" allowBlank="1" showInputMessage="1" showErrorMessage="1" sqref="A30 A34" xr:uid="{00000000-0002-0000-0200-000000000000}">
      <formula1>"Yes, No"</formula1>
    </dataValidation>
    <dataValidation type="list" allowBlank="1" showInputMessage="1" showErrorMessage="1" sqref="E27" xr:uid="{00000000-0002-0000-0200-000001000000}">
      <formula1>"Male, Female, Senior Citizen, Handi capped, Freedom Fighter"</formula1>
    </dataValidation>
  </dataValidations>
  <pageMargins left="0.7" right="0.7" top="0.75" bottom="0.75" header="0.3" footer="0.3"/>
  <pageSetup paperSize="9" orientation="portrait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G20"/>
  <sheetViews>
    <sheetView zoomScale="120" zoomScaleNormal="120" workbookViewId="0">
      <selection activeCell="I12" sqref="I12"/>
    </sheetView>
  </sheetViews>
  <sheetFormatPr defaultRowHeight="15" x14ac:dyDescent="0.25"/>
  <cols>
    <col min="2" max="2" width="10.7109375" bestFit="1" customWidth="1"/>
    <col min="3" max="3" width="12.85546875" style="118" customWidth="1"/>
    <col min="5" max="6" width="13.28515625" bestFit="1" customWidth="1"/>
  </cols>
  <sheetData>
    <row r="6" spans="1:7" x14ac:dyDescent="0.25">
      <c r="A6" s="86"/>
      <c r="B6" s="86"/>
      <c r="C6" s="117"/>
    </row>
    <row r="7" spans="1:7" x14ac:dyDescent="0.25">
      <c r="A7" s="86"/>
      <c r="B7" s="86"/>
      <c r="C7" s="127" t="s">
        <v>775</v>
      </c>
    </row>
    <row r="8" spans="1:7" x14ac:dyDescent="0.25">
      <c r="A8" s="86"/>
      <c r="B8" s="86"/>
      <c r="C8" s="117"/>
    </row>
    <row r="9" spans="1:7" x14ac:dyDescent="0.25">
      <c r="B9" s="119">
        <v>200</v>
      </c>
      <c r="C9" s="127">
        <f t="shared" ref="C9:C15" si="0">IF(OR(AND(B9&gt;0,B9&lt;=1500000),AND(B9&gt;1500000,B9&lt;=2500000),AND(B9&gt;2500000,B9&lt;=10000000),AND(B9&gt;10000000,B9&lt;=50000000),AND(B9&gt;50000000,B9&lt;=100000000),(B9&gt;100000000)),IF(AND(B9&gt;0,B9&lt;=1500000),2%,IF(AND(B9&gt;1500000,B9&lt;=2500000),3%,IF(AND(B9&gt;2500000,B9&lt;=10000000),4%,IF(AND(B9&gt;10000000,B9&lt;=50000000),5%,IF(AND(B9&gt;50000000,B9&lt;=100000000),6%,IF(B9&gt;100000000,7%)))))),IF(AND(B9&gt;0,B9&lt;=1500000),0,IF(AND(B9&gt;1500000,B9&lt;=2500000),0,IF(AND(B9&gt;2500000,B9&lt;=10000000),0,IF(AND(B9&gt;10000000,B9&lt;=50000000),0,IF(AND(B9&gt;50000000,B9&lt;=100000000),0,IF(B9&gt;100000000,0)))))))</f>
        <v>0.02</v>
      </c>
      <c r="E9" s="61">
        <v>1</v>
      </c>
      <c r="F9" s="61">
        <v>1500000</v>
      </c>
      <c r="G9" s="51">
        <v>0.02</v>
      </c>
    </row>
    <row r="10" spans="1:7" x14ac:dyDescent="0.25">
      <c r="B10" s="126">
        <v>5000000</v>
      </c>
      <c r="C10" s="127">
        <f t="shared" si="0"/>
        <v>0.04</v>
      </c>
      <c r="E10" s="61">
        <v>1500001</v>
      </c>
      <c r="F10" s="61">
        <v>2500000</v>
      </c>
      <c r="G10" s="51">
        <v>0.03</v>
      </c>
    </row>
    <row r="11" spans="1:7" x14ac:dyDescent="0.25">
      <c r="B11" s="126">
        <v>0</v>
      </c>
      <c r="C11" s="127" t="b">
        <f t="shared" si="0"/>
        <v>0</v>
      </c>
      <c r="E11" s="61">
        <v>2500001</v>
      </c>
      <c r="F11" s="61">
        <v>10000000</v>
      </c>
      <c r="G11" s="51">
        <v>0.04</v>
      </c>
    </row>
    <row r="12" spans="1:7" x14ac:dyDescent="0.25">
      <c r="B12" s="126"/>
      <c r="C12" s="127" t="b">
        <f t="shared" si="0"/>
        <v>0</v>
      </c>
      <c r="E12" s="61">
        <v>10000001</v>
      </c>
      <c r="F12" s="61">
        <v>50000000</v>
      </c>
      <c r="G12" s="51">
        <v>0.05</v>
      </c>
    </row>
    <row r="13" spans="1:7" x14ac:dyDescent="0.25">
      <c r="B13" s="126"/>
      <c r="C13" s="127" t="b">
        <f t="shared" si="0"/>
        <v>0</v>
      </c>
      <c r="E13" s="61">
        <v>50000001</v>
      </c>
      <c r="F13" s="61">
        <v>100000000</v>
      </c>
      <c r="G13" s="51">
        <v>0.06</v>
      </c>
    </row>
    <row r="14" spans="1:7" x14ac:dyDescent="0.25">
      <c r="B14" s="124">
        <v>4550</v>
      </c>
      <c r="C14" s="127">
        <f>IF(OR(AND(B14&gt;0,B14&lt;=1500000),AND(B14&gt;1500000,B14&lt;=2500000),AND(B14&gt;2500000,B14&lt;=10000000),AND(B14&gt;10000000,B14&lt;=50000000),AND(B14&gt;50000000,B14&lt;=100000000),(B14&gt;100000000)),IF(AND(B14&gt;0,B14&lt;=1500000),2%,IF(AND(B14&gt;1500000,B14&lt;=2500000),3%,IF(AND(B14&gt;2500000,B14&lt;=10000000),4%,IF(AND(B14&gt;10000000,B14&lt;=50000000),5%,IF(AND(B14&gt;50000000,B14&lt;=100000000),6%,IF(B14&gt;100000000,7%)))))),IF(AND(B14&gt;0,B14&lt;=1500000),0,IF(AND(B14&gt;1500000,B14&lt;=2500000),0,IF(AND(B14&gt;2500000,B14&lt;=10000000),0,IF(AND(B14&gt;10000000,B14&lt;=50000000),0,IF(AND(B14&gt;50000000,B14&lt;=100000000),0,IF(B14&gt;100000000,0)))))))</f>
        <v>0.02</v>
      </c>
      <c r="E14" t="s">
        <v>774</v>
      </c>
      <c r="F14" s="61">
        <v>100000000</v>
      </c>
      <c r="G14" s="51">
        <v>7.0000000000000007E-2</v>
      </c>
    </row>
    <row r="15" spans="1:7" s="120" customFormat="1" x14ac:dyDescent="0.25">
      <c r="B15" s="121"/>
      <c r="C15" s="127" t="b">
        <f t="shared" si="0"/>
        <v>0</v>
      </c>
      <c r="F15" s="122"/>
      <c r="G15" s="123"/>
    </row>
    <row r="16" spans="1:7" x14ac:dyDescent="0.25">
      <c r="B16" s="125">
        <v>110000000</v>
      </c>
      <c r="C16" s="127">
        <f>IF(OR(AND(B16&gt;0,B16&lt;=1500000),AND(B16&gt;1500000,B16&lt;=2500000),AND(B16&gt;2500000,B16&lt;=10000000),AND(B16&gt;10000000,B16&lt;=50000000),AND(B16&gt;50000000,B16&lt;=100000000),(B16&gt;100000000)),IF(AND(B16&gt;0,B16&lt;=1500000),2%,IF(AND(B16&gt;1500000,B16&lt;=2500000),3%,IF(AND(B16&gt;2500000,B16&lt;=10000000),4%,IF(AND(B16&gt;10000000,B16&lt;=50000000),5%,IF(AND(B16&gt;50000000,B16&lt;=100000000),6%,IF(B16&gt;100000000,7%)))))),IF(AND(B16&gt;0,B16&lt;=1500000),0,IF(AND(B16&gt;1500000,B16&lt;=2500000),0,IF(AND(B16&gt;2500000,B16&lt;=10000000),0,IF(AND(B16&gt;10000000,B16&lt;=50000000),0,IF(AND(B16&gt;50000000,B16&lt;=100000000),0,IF(B16&gt;100000000,0)))))))</f>
        <v>7.0000000000000007E-2</v>
      </c>
      <c r="F16" s="61"/>
      <c r="G16" s="51"/>
    </row>
    <row r="17" spans="3:6" x14ac:dyDescent="0.25">
      <c r="C17" s="117"/>
      <c r="E17" s="61"/>
      <c r="F17" s="61"/>
    </row>
    <row r="18" spans="3:6" x14ac:dyDescent="0.25">
      <c r="C18" s="117"/>
      <c r="E18" s="61"/>
      <c r="F18" s="61"/>
    </row>
    <row r="19" spans="3:6" x14ac:dyDescent="0.25">
      <c r="C19" s="117"/>
      <c r="E19" s="61"/>
      <c r="F19" s="61"/>
    </row>
    <row r="20" spans="3:6" x14ac:dyDescent="0.25">
      <c r="C20" s="117"/>
    </row>
  </sheetData>
  <pageMargins left="0.7" right="0.7" top="0.75" bottom="0.75" header="0.3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"/>
  <sheetViews>
    <sheetView topLeftCell="A37" zoomScale="120" zoomScaleNormal="120" workbookViewId="0">
      <selection activeCell="E12" sqref="E12"/>
    </sheetView>
  </sheetViews>
  <sheetFormatPr defaultRowHeight="15" x14ac:dyDescent="0.25"/>
  <cols>
    <col min="1" max="1" width="10.5703125" customWidth="1"/>
    <col min="2" max="2" width="13.140625" customWidth="1"/>
    <col min="3" max="3" width="9.5703125" customWidth="1"/>
    <col min="4" max="5" width="13.140625" customWidth="1"/>
    <col min="6" max="6" width="11.140625" customWidth="1"/>
    <col min="7" max="7" width="13.140625" customWidth="1"/>
    <col min="8" max="8" width="11.5703125" customWidth="1"/>
    <col min="9" max="9" width="12.140625" customWidth="1"/>
    <col min="10" max="10" width="14" customWidth="1"/>
    <col min="11" max="11" width="13.140625" customWidth="1"/>
  </cols>
  <sheetData>
    <row r="1" spans="1:11" x14ac:dyDescent="0.25">
      <c r="A1" t="s">
        <v>776</v>
      </c>
      <c r="C1" t="s">
        <v>777</v>
      </c>
    </row>
    <row r="2" spans="1:11" x14ac:dyDescent="0.25">
      <c r="A2" t="s">
        <v>778</v>
      </c>
      <c r="C2" t="s">
        <v>779</v>
      </c>
    </row>
    <row r="3" spans="1:11" x14ac:dyDescent="0.25">
      <c r="A3" t="s">
        <v>780</v>
      </c>
      <c r="C3" t="s">
        <v>781</v>
      </c>
    </row>
    <row r="4" spans="1:11" x14ac:dyDescent="0.25">
      <c r="A4" t="s">
        <v>782</v>
      </c>
      <c r="C4" t="s">
        <v>783</v>
      </c>
    </row>
    <row r="6" spans="1:11" s="118" customFormat="1" x14ac:dyDescent="0.25">
      <c r="A6" s="178" t="s">
        <v>520</v>
      </c>
      <c r="B6" s="181" t="s">
        <v>784</v>
      </c>
      <c r="C6" s="181" t="s">
        <v>785</v>
      </c>
      <c r="D6" s="181" t="s">
        <v>786</v>
      </c>
      <c r="E6" s="181" t="s">
        <v>787</v>
      </c>
      <c r="F6" s="181" t="s">
        <v>788</v>
      </c>
      <c r="G6" s="181" t="s">
        <v>789</v>
      </c>
      <c r="H6" s="181" t="s">
        <v>790</v>
      </c>
      <c r="I6" s="181" t="s">
        <v>791</v>
      </c>
      <c r="J6" s="181" t="s">
        <v>792</v>
      </c>
      <c r="K6" s="181" t="s">
        <v>559</v>
      </c>
    </row>
    <row r="7" spans="1:11" s="118" customFormat="1" x14ac:dyDescent="0.25">
      <c r="A7" s="179"/>
      <c r="B7" s="182"/>
      <c r="C7" s="183"/>
      <c r="D7" s="182"/>
      <c r="E7" s="182"/>
      <c r="F7" s="182"/>
      <c r="G7" s="182"/>
      <c r="H7" s="182"/>
      <c r="I7" s="182"/>
      <c r="J7" s="182"/>
      <c r="K7" s="182"/>
    </row>
    <row r="8" spans="1:11" s="118" customFormat="1" x14ac:dyDescent="0.25">
      <c r="A8" s="180"/>
      <c r="B8" s="183"/>
      <c r="C8" s="128">
        <v>0.05</v>
      </c>
      <c r="D8" s="183"/>
      <c r="E8" s="183"/>
      <c r="F8" s="183"/>
      <c r="G8" s="183"/>
      <c r="H8" s="183"/>
      <c r="I8" s="183"/>
      <c r="J8" s="183"/>
      <c r="K8" s="183"/>
    </row>
    <row r="9" spans="1:11" x14ac:dyDescent="0.25">
      <c r="A9" s="129">
        <v>42849</v>
      </c>
      <c r="B9" s="130">
        <v>1196870</v>
      </c>
      <c r="C9" s="130">
        <f>B9/(100%+$C$8)*$C$8</f>
        <v>56993.809523809527</v>
      </c>
      <c r="D9" s="130">
        <f>B9-C9</f>
        <v>1139876.1904761905</v>
      </c>
      <c r="E9" s="130">
        <f>SUM($D$9:D9)</f>
        <v>1139876.1904761905</v>
      </c>
      <c r="F9" s="131">
        <f>IF(OR(AND(E9&gt;0,E9&lt;=1500000),AND(E9&gt;1500000,E9&lt;=2500000),AND(E9&gt;2500000,E9&lt;=10000000),AND(E9&gt;10000000,E9&lt;=50000000),AND(E9&gt;50000000,E9&lt;=100000000),(E9&gt;100000000)),IF(AND(E9&gt;0,E9&lt;=1500000),2%,IF(AND(E9&gt;1500000,E9&lt;=2500000),3%,IF(AND(E9&gt;2500000,E9&lt;=10000000),4%,IF(AND(E9&gt;10000000,E9&lt;=50000000),5%,IF(AND(E9&gt;50000000,E9&lt;=100000000),6%,IF(E9&gt;100000000,7%)))))),IF(AND(E9&gt;0,E9&lt;=1500000),0,IF(AND(E9&gt;1500000,E9&lt;=2500000),0,IF(AND(E9&gt;2500000,E9&lt;=10000000),0,IF(AND(E9&gt;10000000,E9&lt;=50000000),0,IF(AND(E9&gt;50000000,E9&lt;=100000000),0,IF(E9&gt;100000000,0)))))))</f>
        <v>0.02</v>
      </c>
      <c r="G9" s="130">
        <f>E9*F9</f>
        <v>22797.523809523813</v>
      </c>
      <c r="H9" s="130">
        <v>0</v>
      </c>
      <c r="I9" s="130">
        <f>G9-H9</f>
        <v>22797.523809523813</v>
      </c>
      <c r="J9" s="130">
        <f>B9-C9-I9</f>
        <v>1117078.6666666667</v>
      </c>
      <c r="K9" s="132"/>
    </row>
    <row r="10" spans="1:11" x14ac:dyDescent="0.25">
      <c r="A10" s="129">
        <v>43003</v>
      </c>
      <c r="B10" s="130">
        <v>450000</v>
      </c>
      <c r="C10" s="130">
        <f t="shared" ref="C10:C13" si="0">B10/(100%+$C$8)*$C$8</f>
        <v>21428.571428571431</v>
      </c>
      <c r="D10" s="130">
        <f>B10-C10</f>
        <v>428571.42857142858</v>
      </c>
      <c r="E10" s="130">
        <f>SUM($D$9:D10)</f>
        <v>1568447.6190476192</v>
      </c>
      <c r="F10" s="131">
        <f t="shared" ref="F10:F13" si="1">IF(OR(AND(E10&gt;0,E10&lt;=1500000),AND(E10&gt;1500000,E10&lt;=2500000),AND(E10&gt;2500000,E10&lt;=10000000),AND(E10&gt;10000000,E10&lt;=50000000),AND(E10&gt;50000000,E10&lt;=100000000),(E10&gt;100000000)),IF(AND(E10&gt;0,E10&lt;=1500000),2%,IF(AND(E10&gt;1500000,E10&lt;=2500000),3%,IF(AND(E10&gt;2500000,E10&lt;=10000000),4%,IF(AND(E10&gt;10000000,E10&lt;=50000000),5%,IF(AND(E10&gt;50000000,E10&lt;=100000000),6%,IF(E10&gt;100000000,7%)))))),IF(AND(E10&gt;0,E10&lt;=1500000),0,IF(AND(E10&gt;1500000,E10&lt;=2500000),0,IF(AND(E10&gt;2500000,E10&lt;=10000000),0,IF(AND(E10&gt;10000000,E10&lt;=50000000),0,IF(AND(E10&gt;50000000,E10&lt;=100000000),0,IF(E10&gt;100000000,0)))))))</f>
        <v>0.03</v>
      </c>
      <c r="G10" s="130">
        <f t="shared" ref="G10:G13" si="2">E10*F10</f>
        <v>47053.428571428572</v>
      </c>
      <c r="H10" s="130">
        <f>SUM($I$9:I9)</f>
        <v>22797.523809523813</v>
      </c>
      <c r="I10" s="130">
        <f>G10-H10</f>
        <v>24255.90476190476</v>
      </c>
      <c r="J10" s="130">
        <f>B10-C10-I10</f>
        <v>404315.52380952385</v>
      </c>
      <c r="K10" s="132"/>
    </row>
    <row r="11" spans="1:11" x14ac:dyDescent="0.25">
      <c r="A11" s="129">
        <v>43062</v>
      </c>
      <c r="B11" s="130">
        <v>190000</v>
      </c>
      <c r="C11" s="130">
        <f t="shared" si="0"/>
        <v>9047.6190476190477</v>
      </c>
      <c r="D11" s="130">
        <f>B11-C11</f>
        <v>180952.38095238095</v>
      </c>
      <c r="E11" s="130">
        <f>SUM($D$9:D11)</f>
        <v>1749400</v>
      </c>
      <c r="F11" s="131">
        <f t="shared" si="1"/>
        <v>0.03</v>
      </c>
      <c r="G11" s="130">
        <f t="shared" si="2"/>
        <v>52482</v>
      </c>
      <c r="H11" s="130">
        <f>SUM($I$9:I10)</f>
        <v>47053.428571428572</v>
      </c>
      <c r="I11" s="130">
        <f t="shared" ref="I11:I12" si="3">G11-H11</f>
        <v>5428.5714285714275</v>
      </c>
      <c r="J11" s="130">
        <f>B11-C11-I11</f>
        <v>175523.80952380953</v>
      </c>
      <c r="K11" s="132"/>
    </row>
    <row r="12" spans="1:11" x14ac:dyDescent="0.25">
      <c r="A12" s="129">
        <v>43124</v>
      </c>
      <c r="B12" s="130">
        <v>450000</v>
      </c>
      <c r="C12" s="130">
        <f t="shared" si="0"/>
        <v>21428.571428571431</v>
      </c>
      <c r="D12" s="130">
        <f>B12-C12</f>
        <v>428571.42857142858</v>
      </c>
      <c r="E12" s="130">
        <f>SUM($D$9:D12)</f>
        <v>2177971.4285714286</v>
      </c>
      <c r="F12" s="131">
        <f t="shared" si="1"/>
        <v>0.03</v>
      </c>
      <c r="G12" s="130">
        <f t="shared" si="2"/>
        <v>65339.142857142855</v>
      </c>
      <c r="H12" s="130">
        <f>SUM($I$9:I11)</f>
        <v>52482</v>
      </c>
      <c r="I12" s="130">
        <f t="shared" si="3"/>
        <v>12857.142857142855</v>
      </c>
      <c r="J12" s="130">
        <f>B12-C12-I12</f>
        <v>415714.28571428574</v>
      </c>
      <c r="K12" s="132"/>
    </row>
    <row r="13" spans="1:11" x14ac:dyDescent="0.25">
      <c r="A13" s="129">
        <v>43181</v>
      </c>
      <c r="B13" s="130">
        <v>453000</v>
      </c>
      <c r="C13" s="130">
        <f t="shared" si="0"/>
        <v>21571.428571428572</v>
      </c>
      <c r="D13" s="130">
        <f>B13-C13</f>
        <v>431428.57142857142</v>
      </c>
      <c r="E13" s="130">
        <f>SUM($D$9:D13)</f>
        <v>2609400</v>
      </c>
      <c r="F13" s="131">
        <f t="shared" si="1"/>
        <v>0.04</v>
      </c>
      <c r="G13" s="130">
        <f t="shared" si="2"/>
        <v>104376</v>
      </c>
      <c r="H13" s="130">
        <f>SUM($I$9:I12)</f>
        <v>65339.142857142855</v>
      </c>
      <c r="I13" s="130">
        <f>G13-H13</f>
        <v>39036.857142857145</v>
      </c>
      <c r="J13" s="130">
        <f>B13-C13-I13</f>
        <v>392391.71428571426</v>
      </c>
      <c r="K13" s="132"/>
    </row>
    <row r="14" spans="1:11" s="61" customFormat="1" x14ac:dyDescent="0.25">
      <c r="F14" s="133"/>
    </row>
    <row r="15" spans="1:11" s="61" customFormat="1" x14ac:dyDescent="0.25">
      <c r="A15" s="61" t="s">
        <v>793</v>
      </c>
      <c r="F15" s="133"/>
    </row>
    <row r="16" spans="1:11" s="61" customFormat="1" x14ac:dyDescent="0.25">
      <c r="A16" s="129">
        <v>42849</v>
      </c>
      <c r="B16" s="130">
        <v>1196870</v>
      </c>
      <c r="C16" s="130">
        <f>B16/105*5</f>
        <v>56993.809523809527</v>
      </c>
      <c r="D16" s="130">
        <f>B16-C16</f>
        <v>1139876.1904761905</v>
      </c>
      <c r="E16" s="130">
        <f>SUM($D$16:D16)</f>
        <v>1139876.1904761905</v>
      </c>
      <c r="F16" s="131">
        <v>0.02</v>
      </c>
      <c r="G16" s="130">
        <f>E16*F16</f>
        <v>22797.523809523813</v>
      </c>
      <c r="H16" s="130">
        <v>0</v>
      </c>
      <c r="I16" s="130">
        <f>G16-H16</f>
        <v>22797.523809523813</v>
      </c>
      <c r="J16" s="130">
        <f>B16-C16-I16</f>
        <v>1117078.6666666667</v>
      </c>
      <c r="K16" s="132"/>
    </row>
    <row r="17" spans="1:11" s="61" customFormat="1" x14ac:dyDescent="0.25">
      <c r="A17" s="129">
        <v>43003</v>
      </c>
      <c r="B17" s="130">
        <v>450000</v>
      </c>
      <c r="C17" s="130">
        <f>B17/105*5</f>
        <v>21428.571428571428</v>
      </c>
      <c r="D17" s="130">
        <f>B17-C17</f>
        <v>428571.42857142858</v>
      </c>
      <c r="E17" s="130">
        <f>SUM($D$16:D17)</f>
        <v>1568447.6190476192</v>
      </c>
      <c r="F17" s="131">
        <v>0.03</v>
      </c>
      <c r="G17" s="130">
        <f t="shared" ref="G17:G20" si="4">E17*F17</f>
        <v>47053.428571428572</v>
      </c>
      <c r="H17" s="130">
        <f>SUM($I$16:I16)</f>
        <v>22797.523809523813</v>
      </c>
      <c r="I17" s="130">
        <f>G17-H17</f>
        <v>24255.90476190476</v>
      </c>
      <c r="J17" s="130">
        <f>B17-C17-I17</f>
        <v>404315.52380952385</v>
      </c>
      <c r="K17" s="132"/>
    </row>
    <row r="18" spans="1:11" s="61" customFormat="1" x14ac:dyDescent="0.25">
      <c r="A18" s="129">
        <v>43062</v>
      </c>
      <c r="B18" s="130">
        <v>190000</v>
      </c>
      <c r="C18" s="130">
        <f>B18/105*5</f>
        <v>9047.6190476190477</v>
      </c>
      <c r="D18" s="130">
        <f>B18-C18</f>
        <v>180952.38095238095</v>
      </c>
      <c r="E18" s="130">
        <f>SUM($D$16:D18)</f>
        <v>1749400</v>
      </c>
      <c r="F18" s="131">
        <v>0.03</v>
      </c>
      <c r="G18" s="130">
        <f t="shared" si="4"/>
        <v>52482</v>
      </c>
      <c r="H18" s="130">
        <f>SUM($I$16:I17)</f>
        <v>47053.428571428572</v>
      </c>
      <c r="I18" s="130">
        <f t="shared" ref="I18:I20" si="5">G18-H18</f>
        <v>5428.5714285714275</v>
      </c>
      <c r="J18" s="130">
        <f>B18-C18-I18</f>
        <v>175523.80952380953</v>
      </c>
      <c r="K18" s="132"/>
    </row>
    <row r="19" spans="1:11" s="61" customFormat="1" x14ac:dyDescent="0.25">
      <c r="A19" s="129">
        <v>43124</v>
      </c>
      <c r="B19" s="130">
        <v>450000</v>
      </c>
      <c r="C19" s="130">
        <f>B19/105*5</f>
        <v>21428.571428571428</v>
      </c>
      <c r="D19" s="130">
        <f>B19-C19</f>
        <v>428571.42857142858</v>
      </c>
      <c r="E19" s="130">
        <f>SUM($D$16:D19)</f>
        <v>2177971.4285714286</v>
      </c>
      <c r="F19" s="131">
        <v>0.03</v>
      </c>
      <c r="G19" s="130">
        <f t="shared" si="4"/>
        <v>65339.142857142855</v>
      </c>
      <c r="H19" s="130">
        <f>SUM($I$16:I18)</f>
        <v>52482</v>
      </c>
      <c r="I19" s="130">
        <f t="shared" si="5"/>
        <v>12857.142857142855</v>
      </c>
      <c r="J19" s="130">
        <f>B19-C19-I19</f>
        <v>415714.28571428574</v>
      </c>
      <c r="K19" s="132"/>
    </row>
    <row r="20" spans="1:11" s="61" customFormat="1" x14ac:dyDescent="0.25">
      <c r="A20" s="129">
        <v>43181</v>
      </c>
      <c r="B20" s="130">
        <v>453000</v>
      </c>
      <c r="C20" s="130">
        <f>B20/105*5</f>
        <v>21571.428571428572</v>
      </c>
      <c r="D20" s="130">
        <f>B20-C20</f>
        <v>431428.57142857142</v>
      </c>
      <c r="E20" s="130">
        <f>SUM($D$16:D20)</f>
        <v>2609400</v>
      </c>
      <c r="F20" s="131">
        <v>0.04</v>
      </c>
      <c r="G20" s="130">
        <f t="shared" si="4"/>
        <v>104376</v>
      </c>
      <c r="H20" s="130">
        <f>SUM($I$16:I19)</f>
        <v>65339.142857142855</v>
      </c>
      <c r="I20" s="130">
        <f t="shared" si="5"/>
        <v>39036.857142857145</v>
      </c>
      <c r="J20" s="130">
        <f>B20-C20-I20</f>
        <v>392391.71428571426</v>
      </c>
      <c r="K20" s="132"/>
    </row>
    <row r="21" spans="1:11" s="61" customFormat="1" x14ac:dyDescent="0.25">
      <c r="F21" s="133"/>
    </row>
    <row r="22" spans="1:11" s="61" customFormat="1" x14ac:dyDescent="0.25">
      <c r="F22" s="133"/>
    </row>
    <row r="23" spans="1:11" s="61" customFormat="1" x14ac:dyDescent="0.25">
      <c r="F23" s="133"/>
    </row>
    <row r="24" spans="1:11" s="61" customFormat="1" x14ac:dyDescent="0.25">
      <c r="F24" s="133"/>
    </row>
    <row r="25" spans="1:11" s="61" customFormat="1" x14ac:dyDescent="0.25">
      <c r="F25" s="133"/>
    </row>
    <row r="27" spans="1:11" x14ac:dyDescent="0.25">
      <c r="A27" t="s">
        <v>794</v>
      </c>
    </row>
    <row r="28" spans="1:11" x14ac:dyDescent="0.25">
      <c r="A28" t="s">
        <v>795</v>
      </c>
    </row>
    <row r="29" spans="1:11" x14ac:dyDescent="0.25">
      <c r="H29" s="134"/>
      <c r="I29" s="134"/>
      <c r="J29" s="134"/>
    </row>
    <row r="30" spans="1:11" x14ac:dyDescent="0.25">
      <c r="E30" s="184" t="s">
        <v>796</v>
      </c>
      <c r="F30" s="184"/>
      <c r="G30" s="184"/>
      <c r="H30" s="134"/>
      <c r="I30" s="134"/>
      <c r="J30" s="134"/>
    </row>
    <row r="31" spans="1:11" x14ac:dyDescent="0.25">
      <c r="E31" s="135">
        <v>0</v>
      </c>
      <c r="F31" s="135">
        <v>1500000</v>
      </c>
      <c r="G31" s="136">
        <f>IF(F31&lt;=1500000,2%,0)</f>
        <v>0.02</v>
      </c>
      <c r="H31" s="134"/>
      <c r="I31" s="134"/>
      <c r="J31" s="137"/>
    </row>
    <row r="32" spans="1:11" x14ac:dyDescent="0.25">
      <c r="E32" s="135">
        <v>1500001</v>
      </c>
      <c r="F32" s="135">
        <v>2500000</v>
      </c>
      <c r="G32" s="136">
        <f>IF(AND(F32&gt;1500000,F32&lt;=2500000),3%,0)</f>
        <v>0.03</v>
      </c>
      <c r="H32" s="134"/>
      <c r="I32" s="134"/>
      <c r="J32" s="137"/>
    </row>
    <row r="33" spans="4:10" x14ac:dyDescent="0.25">
      <c r="E33" s="135">
        <v>2500001</v>
      </c>
      <c r="F33" s="135">
        <v>10000000</v>
      </c>
      <c r="G33" s="136">
        <f>IF(AND(F33&gt;2500000,F33&lt;=10000000),4%,0)</f>
        <v>0.04</v>
      </c>
      <c r="H33" s="134"/>
      <c r="I33" s="134"/>
      <c r="J33" s="137"/>
    </row>
    <row r="34" spans="4:10" x14ac:dyDescent="0.25">
      <c r="E34" s="135">
        <v>10000001</v>
      </c>
      <c r="F34" s="135">
        <v>50000000</v>
      </c>
      <c r="G34" s="136">
        <f>IF(AND(F34&gt;10000000,F34&lt;=50000000),5%,0)</f>
        <v>0.05</v>
      </c>
      <c r="H34" s="134"/>
      <c r="I34" s="134"/>
      <c r="J34" s="137"/>
    </row>
    <row r="35" spans="4:10" x14ac:dyDescent="0.25">
      <c r="E35" s="135">
        <v>50000001</v>
      </c>
      <c r="F35" s="135">
        <v>100000000</v>
      </c>
      <c r="G35" s="136">
        <f>IF(AND(F35&gt;50000000,F35&lt;=100000000),6%,0)</f>
        <v>0.06</v>
      </c>
      <c r="H35" s="134"/>
      <c r="I35" s="134"/>
      <c r="J35" s="137"/>
    </row>
    <row r="36" spans="4:10" x14ac:dyDescent="0.25">
      <c r="E36" s="138"/>
      <c r="F36" s="135">
        <v>100000001</v>
      </c>
      <c r="G36" s="136">
        <f>IF(F36&gt;100000000,7%,0)</f>
        <v>7.0000000000000007E-2</v>
      </c>
      <c r="H36" s="134"/>
      <c r="I36" s="139"/>
      <c r="J36" s="137"/>
    </row>
    <row r="37" spans="4:10" x14ac:dyDescent="0.25">
      <c r="D37" s="140"/>
      <c r="E37" s="140"/>
      <c r="F37" s="141"/>
      <c r="H37" s="134"/>
      <c r="I37" s="134"/>
      <c r="J37" s="137"/>
    </row>
    <row r="38" spans="4:10" x14ac:dyDescent="0.25">
      <c r="D38" s="140"/>
      <c r="E38" s="140"/>
      <c r="H38" s="134"/>
      <c r="I38" s="134"/>
      <c r="J38" s="137"/>
    </row>
    <row r="39" spans="4:10" x14ac:dyDescent="0.25">
      <c r="D39" s="140"/>
      <c r="E39" s="140"/>
    </row>
    <row r="40" spans="4:10" x14ac:dyDescent="0.25">
      <c r="D40" s="142"/>
      <c r="E40" s="142"/>
    </row>
  </sheetData>
  <mergeCells count="12">
    <mergeCell ref="H6:H8"/>
    <mergeCell ref="I6:I8"/>
    <mergeCell ref="J6:J8"/>
    <mergeCell ref="K6:K8"/>
    <mergeCell ref="E30:G30"/>
    <mergeCell ref="F6:F8"/>
    <mergeCell ref="G6:G8"/>
    <mergeCell ref="A6:A8"/>
    <mergeCell ref="B6:B8"/>
    <mergeCell ref="C6:C7"/>
    <mergeCell ref="D6:D8"/>
    <mergeCell ref="E6:E8"/>
  </mergeCells>
  <pageMargins left="1" right="1" top="1" bottom="1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2"/>
  <sheetViews>
    <sheetView workbookViewId="0">
      <selection activeCell="H19" sqref="H19"/>
    </sheetView>
  </sheetViews>
  <sheetFormatPr defaultRowHeight="12.75" x14ac:dyDescent="0.2"/>
  <cols>
    <col min="1" max="1" width="6.85546875" style="1" customWidth="1"/>
    <col min="2" max="2" width="30" style="1" bestFit="1" customWidth="1"/>
    <col min="3" max="3" width="11.28515625" style="1" bestFit="1" customWidth="1"/>
    <col min="4" max="4" width="15.85546875" style="1" bestFit="1" customWidth="1"/>
    <col min="5" max="5" width="13.5703125" style="1" bestFit="1" customWidth="1"/>
    <col min="6" max="6" width="10.85546875" style="1" bestFit="1" customWidth="1"/>
    <col min="7" max="7" width="1.140625" style="1" customWidth="1"/>
    <col min="8" max="8" width="12.140625" style="166" customWidth="1"/>
    <col min="9" max="16384" width="9.140625" style="1"/>
  </cols>
  <sheetData>
    <row r="1" spans="1:9" s="6" customFormat="1" ht="15.95" customHeight="1" x14ac:dyDescent="0.3">
      <c r="A1" s="5" t="s">
        <v>31</v>
      </c>
      <c r="B1" s="5" t="s">
        <v>32</v>
      </c>
      <c r="C1" s="5"/>
      <c r="D1" s="5" t="s">
        <v>33</v>
      </c>
      <c r="E1" s="5" t="s">
        <v>34</v>
      </c>
      <c r="F1" s="5" t="s">
        <v>35</v>
      </c>
      <c r="G1" s="5" t="s">
        <v>36</v>
      </c>
      <c r="H1" s="165" t="s">
        <v>36</v>
      </c>
    </row>
    <row r="2" spans="1:9" ht="15.95" customHeight="1" x14ac:dyDescent="0.3">
      <c r="A2" s="2">
        <v>3027</v>
      </c>
      <c r="B2" s="3" t="s">
        <v>0</v>
      </c>
      <c r="C2" s="1" t="str">
        <f t="shared" ref="C2:C15" si="0">LEFT(B2,SEARCH(" ",B2)-1)</f>
        <v>Md.</v>
      </c>
      <c r="D2" s="3" t="s">
        <v>29</v>
      </c>
      <c r="E2" s="3" t="s">
        <v>39</v>
      </c>
      <c r="F2" s="3" t="s">
        <v>2</v>
      </c>
      <c r="G2" s="4">
        <v>36730</v>
      </c>
      <c r="H2" s="166">
        <f t="shared" ref="H2:H15" si="1">G2*9%</f>
        <v>3305.7</v>
      </c>
      <c r="I2" s="7"/>
    </row>
    <row r="3" spans="1:9" ht="15.95" customHeight="1" x14ac:dyDescent="0.3">
      <c r="A3" s="2">
        <v>3262</v>
      </c>
      <c r="B3" s="3" t="s">
        <v>3</v>
      </c>
      <c r="C3" s="1" t="str">
        <f t="shared" si="0"/>
        <v>Quazi</v>
      </c>
      <c r="D3" s="3" t="s">
        <v>1</v>
      </c>
      <c r="E3" s="3" t="s">
        <v>39</v>
      </c>
      <c r="F3" s="3" t="s">
        <v>4</v>
      </c>
      <c r="G3" s="4">
        <v>36500</v>
      </c>
      <c r="H3" s="166">
        <f t="shared" si="1"/>
        <v>3285</v>
      </c>
      <c r="I3" s="7"/>
    </row>
    <row r="4" spans="1:9" ht="15.95" customHeight="1" x14ac:dyDescent="0.3">
      <c r="A4" s="2">
        <v>3267</v>
      </c>
      <c r="B4" s="3" t="s">
        <v>5</v>
      </c>
      <c r="C4" s="1" t="str">
        <f t="shared" si="0"/>
        <v>Mr.</v>
      </c>
      <c r="D4" s="3" t="s">
        <v>1</v>
      </c>
      <c r="E4" s="3" t="s">
        <v>39</v>
      </c>
      <c r="F4" s="3" t="s">
        <v>6</v>
      </c>
      <c r="G4" s="4">
        <v>33250</v>
      </c>
      <c r="H4" s="166">
        <f t="shared" si="1"/>
        <v>2992.5</v>
      </c>
      <c r="I4" s="7"/>
    </row>
    <row r="5" spans="1:9" ht="15.95" customHeight="1" x14ac:dyDescent="0.3">
      <c r="A5" s="2">
        <v>1184</v>
      </c>
      <c r="B5" s="3" t="s">
        <v>7</v>
      </c>
      <c r="C5" s="1" t="str">
        <f t="shared" si="0"/>
        <v>Md.</v>
      </c>
      <c r="D5" s="3" t="s">
        <v>8</v>
      </c>
      <c r="E5" s="3" t="s">
        <v>39</v>
      </c>
      <c r="F5" s="3" t="s">
        <v>9</v>
      </c>
      <c r="G5" s="4">
        <v>27480</v>
      </c>
      <c r="H5" s="166">
        <f t="shared" si="1"/>
        <v>2473.1999999999998</v>
      </c>
      <c r="I5" s="7"/>
    </row>
    <row r="6" spans="1:9" ht="15.95" customHeight="1" x14ac:dyDescent="0.3">
      <c r="A6" s="2">
        <v>3273</v>
      </c>
      <c r="B6" s="3" t="s">
        <v>10</v>
      </c>
      <c r="C6" s="1" t="str">
        <f t="shared" si="0"/>
        <v>Md.</v>
      </c>
      <c r="D6" s="3" t="s">
        <v>8</v>
      </c>
      <c r="E6" s="3" t="s">
        <v>39</v>
      </c>
      <c r="F6" s="3" t="s">
        <v>11</v>
      </c>
      <c r="G6" s="4">
        <v>27480</v>
      </c>
      <c r="H6" s="166">
        <f t="shared" si="1"/>
        <v>2473.1999999999998</v>
      </c>
      <c r="I6" s="7"/>
    </row>
    <row r="7" spans="1:9" ht="15.95" customHeight="1" x14ac:dyDescent="0.3">
      <c r="A7" s="2">
        <v>3297</v>
      </c>
      <c r="B7" s="3" t="s">
        <v>12</v>
      </c>
      <c r="C7" s="1" t="str">
        <f t="shared" si="0"/>
        <v>Mohammad</v>
      </c>
      <c r="D7" s="3" t="s">
        <v>30</v>
      </c>
      <c r="E7" s="3" t="s">
        <v>39</v>
      </c>
      <c r="F7" s="3" t="s">
        <v>13</v>
      </c>
      <c r="G7" s="4">
        <v>18720</v>
      </c>
      <c r="H7" s="166">
        <f t="shared" si="1"/>
        <v>1684.8</v>
      </c>
      <c r="I7" s="7"/>
    </row>
    <row r="8" spans="1:9" ht="15.95" customHeight="1" x14ac:dyDescent="0.3">
      <c r="A8" s="2">
        <v>3361</v>
      </c>
      <c r="B8" s="3" t="s">
        <v>37</v>
      </c>
      <c r="C8" s="1" t="str">
        <f t="shared" si="0"/>
        <v>Abu</v>
      </c>
      <c r="D8" s="3" t="s">
        <v>30</v>
      </c>
      <c r="E8" s="3" t="s">
        <v>39</v>
      </c>
      <c r="F8" s="3" t="s">
        <v>14</v>
      </c>
      <c r="G8" s="4">
        <v>17625</v>
      </c>
      <c r="H8" s="166">
        <f t="shared" si="1"/>
        <v>1586.25</v>
      </c>
      <c r="I8" s="7"/>
    </row>
    <row r="9" spans="1:9" ht="15.95" customHeight="1" x14ac:dyDescent="0.3">
      <c r="A9" s="2">
        <v>3367</v>
      </c>
      <c r="B9" s="3" t="s">
        <v>15</v>
      </c>
      <c r="C9" s="1" t="str">
        <f t="shared" si="0"/>
        <v>Mafizur</v>
      </c>
      <c r="D9" s="3" t="s">
        <v>8</v>
      </c>
      <c r="E9" s="3" t="s">
        <v>39</v>
      </c>
      <c r="F9" s="3" t="s">
        <v>16</v>
      </c>
      <c r="G9" s="4">
        <v>15435</v>
      </c>
      <c r="H9" s="166">
        <f t="shared" si="1"/>
        <v>1389.1499999999999</v>
      </c>
      <c r="I9" s="7"/>
    </row>
    <row r="10" spans="1:9" ht="15.95" customHeight="1" x14ac:dyDescent="0.3">
      <c r="A10" s="2">
        <v>3395</v>
      </c>
      <c r="B10" s="3" t="s">
        <v>38</v>
      </c>
      <c r="C10" s="1" t="str">
        <f t="shared" si="0"/>
        <v>Sajib</v>
      </c>
      <c r="D10" s="3" t="s">
        <v>8</v>
      </c>
      <c r="E10" s="3" t="s">
        <v>39</v>
      </c>
      <c r="F10" s="3" t="s">
        <v>17</v>
      </c>
      <c r="G10" s="4">
        <v>14340</v>
      </c>
      <c r="H10" s="166">
        <f t="shared" si="1"/>
        <v>1290.5999999999999</v>
      </c>
    </row>
    <row r="11" spans="1:9" ht="15.95" customHeight="1" x14ac:dyDescent="0.3">
      <c r="A11" s="2">
        <v>3394</v>
      </c>
      <c r="B11" s="3" t="s">
        <v>40</v>
      </c>
      <c r="C11" s="1" t="str">
        <f t="shared" si="0"/>
        <v>Sushanta</v>
      </c>
      <c r="D11" s="3" t="s">
        <v>8</v>
      </c>
      <c r="E11" s="3" t="s">
        <v>39</v>
      </c>
      <c r="F11" s="3" t="s">
        <v>18</v>
      </c>
      <c r="G11" s="4">
        <v>15435</v>
      </c>
      <c r="H11" s="166">
        <f t="shared" si="1"/>
        <v>1389.1499999999999</v>
      </c>
      <c r="I11" s="7"/>
    </row>
    <row r="12" spans="1:9" ht="15.95" customHeight="1" x14ac:dyDescent="0.3">
      <c r="A12" s="2">
        <v>3636</v>
      </c>
      <c r="B12" s="3" t="s">
        <v>19</v>
      </c>
      <c r="C12" s="1" t="str">
        <f t="shared" si="0"/>
        <v>Md.</v>
      </c>
      <c r="D12" s="3" t="s">
        <v>8</v>
      </c>
      <c r="E12" s="3" t="s">
        <v>39</v>
      </c>
      <c r="F12" s="3" t="s">
        <v>20</v>
      </c>
      <c r="G12" s="4">
        <v>14340</v>
      </c>
      <c r="H12" s="166">
        <f t="shared" si="1"/>
        <v>1290.5999999999999</v>
      </c>
      <c r="I12" s="7"/>
    </row>
    <row r="13" spans="1:9" ht="15.95" customHeight="1" x14ac:dyDescent="0.3">
      <c r="A13" s="2">
        <v>3661</v>
      </c>
      <c r="B13" s="3" t="s">
        <v>21</v>
      </c>
      <c r="C13" s="1" t="str">
        <f t="shared" si="0"/>
        <v>Shuesanquar</v>
      </c>
      <c r="D13" s="3" t="s">
        <v>22</v>
      </c>
      <c r="E13" s="3" t="s">
        <v>39</v>
      </c>
      <c r="F13" s="3" t="s">
        <v>23</v>
      </c>
      <c r="G13" s="4">
        <v>13765</v>
      </c>
      <c r="H13" s="166">
        <f t="shared" si="1"/>
        <v>1238.8499999999999</v>
      </c>
      <c r="I13" s="7"/>
    </row>
    <row r="14" spans="1:9" ht="15.95" customHeight="1" x14ac:dyDescent="0.3">
      <c r="A14" s="2">
        <v>3668</v>
      </c>
      <c r="B14" s="3" t="s">
        <v>24</v>
      </c>
      <c r="C14" s="1" t="str">
        <f t="shared" si="0"/>
        <v>Md.</v>
      </c>
      <c r="D14" s="3" t="s">
        <v>22</v>
      </c>
      <c r="E14" s="3" t="s">
        <v>39</v>
      </c>
      <c r="F14" s="3" t="s">
        <v>25</v>
      </c>
      <c r="G14" s="4">
        <v>13765</v>
      </c>
      <c r="H14" s="166">
        <f t="shared" si="1"/>
        <v>1238.8499999999999</v>
      </c>
      <c r="I14" s="7"/>
    </row>
    <row r="15" spans="1:9" ht="15.95" customHeight="1" x14ac:dyDescent="0.3">
      <c r="A15" s="2">
        <v>3652</v>
      </c>
      <c r="B15" s="3" t="s">
        <v>26</v>
      </c>
      <c r="C15" s="1" t="str">
        <f t="shared" si="0"/>
        <v>Md.</v>
      </c>
      <c r="D15" s="3" t="s">
        <v>27</v>
      </c>
      <c r="E15" s="3" t="s">
        <v>39</v>
      </c>
      <c r="F15" s="3" t="s">
        <v>28</v>
      </c>
      <c r="G15" s="4">
        <v>6405</v>
      </c>
      <c r="H15" s="166">
        <f t="shared" si="1"/>
        <v>576.44999999999993</v>
      </c>
      <c r="I15" s="7"/>
    </row>
    <row r="16" spans="1:9" ht="15.95" customHeight="1" x14ac:dyDescent="0.25">
      <c r="A16"/>
      <c r="B16"/>
      <c r="C16"/>
      <c r="D16"/>
      <c r="E16"/>
      <c r="F16"/>
      <c r="G16"/>
      <c r="H16" s="167"/>
      <c r="I16" s="7"/>
    </row>
    <row r="17" spans="1:9" ht="15.95" customHeight="1" x14ac:dyDescent="0.25">
      <c r="A17"/>
      <c r="B17"/>
      <c r="C17"/>
      <c r="D17"/>
      <c r="E17"/>
      <c r="F17"/>
      <c r="G17"/>
      <c r="H17" s="167"/>
      <c r="I17" s="7"/>
    </row>
    <row r="19" spans="1:9" x14ac:dyDescent="0.2">
      <c r="A19" s="1">
        <v>3395</v>
      </c>
      <c r="B19" s="1" t="str">
        <f>IFERROR(VLOOKUP($A$19,$A$2:$H$17,COLUMNS($A$1:B1),0),"WRONG ID")</f>
        <v>Sajib Sarker ORIG</v>
      </c>
      <c r="C19" s="1" t="str">
        <f>IFERROR(VLOOKUP($A$19,$A$2:$H$17,COLUMNS($A$1:C1),0),"WRONG ID")</f>
        <v>Sajib</v>
      </c>
      <c r="D19" s="1" t="str">
        <f>IFERROR(VLOOKUP($A$19,$A$2:$H$17,COLUMNS($A$1:D1),0),"WRONG ID")</f>
        <v>Senior Executive</v>
      </c>
      <c r="E19" s="1" t="str">
        <f>IFERROR(VLOOKUP($A$19,$A$2:$H$17,COLUMNS($A$1:E1),0),"WRONG ID")</f>
        <v>Internal Audit</v>
      </c>
      <c r="F19" s="1" t="str">
        <f>IFERROR(VLOOKUP($A$19,$A$2:$H$17,COLUMNS($A$1:F1),0),"WRONG ID")</f>
        <v>22-MAY-11</v>
      </c>
      <c r="G19" s="1">
        <f>IFERROR(VLOOKUP($A$19,$A$2:$H$17,COLUMNS($A$1:G1),0),"WRONG ID")</f>
        <v>14340</v>
      </c>
      <c r="H19" s="166">
        <f>IFERROR(VLOOKUP($A$19,$A$2:$H$17,COLUMNS($A$1:H1),0),"WRONG ID")</f>
        <v>1290.5999999999999</v>
      </c>
    </row>
    <row r="20" spans="1:9" x14ac:dyDescent="0.2">
      <c r="A20" s="1">
        <v>3</v>
      </c>
    </row>
    <row r="22" spans="1:9" x14ac:dyDescent="0.2">
      <c r="E22" s="8"/>
      <c r="F22" s="8"/>
    </row>
    <row r="25" spans="1:9" x14ac:dyDescent="0.2">
      <c r="E25" s="8"/>
      <c r="F25" s="8"/>
    </row>
    <row r="27" spans="1:9" x14ac:dyDescent="0.2">
      <c r="B27" s="1" t="str">
        <f>LEFT(B10,SEARCH(" ",B10)-1)</f>
        <v>Sajib</v>
      </c>
    </row>
    <row r="35" spans="2:5" ht="15" x14ac:dyDescent="0.3">
      <c r="B35" s="3"/>
    </row>
    <row r="36" spans="2:5" ht="15" x14ac:dyDescent="0.3">
      <c r="B36" s="3"/>
    </row>
    <row r="37" spans="2:5" ht="15" x14ac:dyDescent="0.3">
      <c r="B37" s="3"/>
    </row>
    <row r="38" spans="2:5" ht="15" x14ac:dyDescent="0.3">
      <c r="B38" s="3"/>
    </row>
    <row r="39" spans="2:5" ht="15" x14ac:dyDescent="0.3">
      <c r="B39" s="3"/>
    </row>
    <row r="40" spans="2:5" ht="15" x14ac:dyDescent="0.3">
      <c r="B40" s="3"/>
    </row>
    <row r="41" spans="2:5" ht="15" x14ac:dyDescent="0.3">
      <c r="B41" s="3"/>
      <c r="E41" s="1">
        <f>$E$39</f>
        <v>0</v>
      </c>
    </row>
    <row r="42" spans="2:5" ht="15" x14ac:dyDescent="0.3">
      <c r="B42" s="3"/>
    </row>
  </sheetData>
  <dataValidations count="1">
    <dataValidation type="list" allowBlank="1" showInputMessage="1" showErrorMessage="1" sqref="B2:B15" xr:uid="{00000000-0002-0000-0500-000000000000}">
      <formula1>$B$2:$B$17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0"/>
  <sheetViews>
    <sheetView topLeftCell="A4" workbookViewId="0">
      <selection activeCell="C17" sqref="C17"/>
    </sheetView>
  </sheetViews>
  <sheetFormatPr defaultColWidth="16.42578125" defaultRowHeight="15" x14ac:dyDescent="0.25"/>
  <cols>
    <col min="1" max="1" width="5.5703125" bestFit="1" customWidth="1"/>
    <col min="2" max="2" width="31.7109375" style="68" customWidth="1"/>
    <col min="3" max="3" width="11.28515625" bestFit="1" customWidth="1"/>
    <col min="4" max="4" width="15.85546875" bestFit="1" customWidth="1"/>
    <col min="5" max="5" width="13.5703125" bestFit="1" customWidth="1"/>
    <col min="6" max="6" width="10.85546875" style="69" bestFit="1" customWidth="1"/>
    <col min="7" max="7" width="9" customWidth="1"/>
    <col min="8" max="8" width="9.140625" style="70" bestFit="1" customWidth="1"/>
    <col min="9" max="9" width="9.140625" style="70" customWidth="1"/>
    <col min="10" max="10" width="25.85546875" style="70" customWidth="1"/>
    <col min="11" max="11" width="25.28515625" style="61" customWidth="1"/>
    <col min="12" max="12" width="27.7109375" customWidth="1"/>
    <col min="13" max="13" width="22.28515625" customWidth="1"/>
  </cols>
  <sheetData>
    <row r="1" spans="1:12" s="67" customFormat="1" ht="16.5" x14ac:dyDescent="0.35">
      <c r="A1" s="73" t="s">
        <v>31</v>
      </c>
      <c r="B1" s="74" t="s">
        <v>32</v>
      </c>
      <c r="C1" s="73" t="s">
        <v>552</v>
      </c>
      <c r="D1" s="73" t="s">
        <v>33</v>
      </c>
      <c r="E1" s="73" t="s">
        <v>34</v>
      </c>
      <c r="F1" s="75" t="s">
        <v>35</v>
      </c>
      <c r="G1" s="73" t="s">
        <v>36</v>
      </c>
      <c r="H1" s="76" t="s">
        <v>36</v>
      </c>
      <c r="I1" s="87"/>
      <c r="K1" s="90"/>
    </row>
    <row r="2" spans="1:12" ht="15.75" x14ac:dyDescent="0.3">
      <c r="A2" s="77">
        <v>3027</v>
      </c>
      <c r="B2" s="78" t="s">
        <v>0</v>
      </c>
      <c r="C2" s="79" t="str">
        <f t="shared" ref="C2:C9" si="0">LEFT(B2,SEARCH(" ",B2)-1)</f>
        <v>Md.</v>
      </c>
      <c r="D2" s="80" t="s">
        <v>29</v>
      </c>
      <c r="E2" s="80" t="s">
        <v>39</v>
      </c>
      <c r="F2" s="81">
        <v>40909</v>
      </c>
      <c r="G2" s="82">
        <v>30000</v>
      </c>
      <c r="H2" s="72">
        <f t="shared" ref="H2:H15" si="1">G2*9%</f>
        <v>2700</v>
      </c>
      <c r="I2" s="88"/>
    </row>
    <row r="3" spans="1:12" ht="15.75" x14ac:dyDescent="0.3">
      <c r="A3" s="77">
        <v>3262</v>
      </c>
      <c r="B3" s="78" t="s">
        <v>3</v>
      </c>
      <c r="C3" s="79" t="str">
        <f>LEFT(B3,SEARCH(" ",B3)-1)</f>
        <v>Quazi</v>
      </c>
      <c r="D3" s="80" t="s">
        <v>1</v>
      </c>
      <c r="E3" s="80" t="s">
        <v>39</v>
      </c>
      <c r="F3" s="81">
        <v>35765</v>
      </c>
      <c r="G3" s="82">
        <v>30001.5</v>
      </c>
      <c r="H3" s="72">
        <f>G3*9%</f>
        <v>2700.1349999999998</v>
      </c>
      <c r="I3" s="88"/>
    </row>
    <row r="4" spans="1:12" ht="15.75" x14ac:dyDescent="0.3">
      <c r="A4" s="77">
        <v>3267</v>
      </c>
      <c r="B4" s="78" t="s">
        <v>5</v>
      </c>
      <c r="C4" s="79" t="str">
        <f t="shared" si="0"/>
        <v>Mr.</v>
      </c>
      <c r="D4" s="80" t="s">
        <v>1</v>
      </c>
      <c r="E4" s="80" t="s">
        <v>39</v>
      </c>
      <c r="F4" s="81">
        <v>36251</v>
      </c>
      <c r="G4" s="82">
        <v>24937.5</v>
      </c>
      <c r="H4" s="72"/>
      <c r="I4" s="88"/>
    </row>
    <row r="5" spans="1:12" ht="15.75" x14ac:dyDescent="0.3">
      <c r="A5" s="77">
        <v>1184</v>
      </c>
      <c r="B5" s="78" t="s">
        <v>7</v>
      </c>
      <c r="C5" s="79" t="str">
        <f>LEFT(B5,3)</f>
        <v>Md.</v>
      </c>
      <c r="D5" s="80" t="s">
        <v>8</v>
      </c>
      <c r="E5" s="80" t="s">
        <v>39</v>
      </c>
      <c r="F5" s="81">
        <v>35683</v>
      </c>
      <c r="G5" s="82">
        <v>20610</v>
      </c>
      <c r="H5" s="72">
        <f>G5*9%+144.12</f>
        <v>1999.02</v>
      </c>
      <c r="I5" s="88"/>
    </row>
    <row r="6" spans="1:12" ht="15.75" x14ac:dyDescent="0.3">
      <c r="A6" s="77">
        <v>3273</v>
      </c>
      <c r="B6" s="78" t="s">
        <v>10</v>
      </c>
      <c r="C6" s="79" t="str">
        <f t="shared" si="0"/>
        <v>Md.</v>
      </c>
      <c r="D6" s="80" t="s">
        <v>8</v>
      </c>
      <c r="E6" s="80" t="s">
        <v>39</v>
      </c>
      <c r="F6" s="81">
        <v>36731</v>
      </c>
      <c r="G6" s="82">
        <v>20610</v>
      </c>
      <c r="H6" s="72">
        <f t="shared" si="1"/>
        <v>1854.8999999999999</v>
      </c>
      <c r="I6" s="88"/>
      <c r="J6" s="80" t="s">
        <v>27</v>
      </c>
      <c r="K6" s="61">
        <f>SUMIF($D$2:$D$15,J6,$G$2:$G$15)</f>
        <v>4803.75</v>
      </c>
      <c r="L6" s="86"/>
    </row>
    <row r="7" spans="1:12" ht="15.75" x14ac:dyDescent="0.3">
      <c r="A7" s="77">
        <v>3297</v>
      </c>
      <c r="B7" s="78" t="s">
        <v>12</v>
      </c>
      <c r="C7" s="79" t="str">
        <f t="shared" si="0"/>
        <v>Mohammad</v>
      </c>
      <c r="D7" s="80" t="s">
        <v>30</v>
      </c>
      <c r="E7" s="80" t="s">
        <v>39</v>
      </c>
      <c r="F7" s="81">
        <v>38504</v>
      </c>
      <c r="G7" s="82">
        <v>14040</v>
      </c>
      <c r="H7" s="72">
        <f t="shared" si="1"/>
        <v>1263.5999999999999</v>
      </c>
      <c r="I7" s="88"/>
      <c r="J7" s="80" t="s">
        <v>22</v>
      </c>
      <c r="K7" s="61">
        <f>SUMIF($D$2:$D$15,J7,$G$2:$G$15)</f>
        <v>20647.5</v>
      </c>
    </row>
    <row r="8" spans="1:12" ht="15.75" x14ac:dyDescent="0.3">
      <c r="A8" s="77">
        <v>3361</v>
      </c>
      <c r="B8" s="78" t="s">
        <v>37</v>
      </c>
      <c r="C8" s="79" t="str">
        <f t="shared" si="0"/>
        <v>Abu</v>
      </c>
      <c r="D8" s="80" t="s">
        <v>30</v>
      </c>
      <c r="E8" s="80" t="s">
        <v>39</v>
      </c>
      <c r="F8" s="81">
        <v>39142</v>
      </c>
      <c r="G8" s="82">
        <v>13218.75</v>
      </c>
      <c r="H8" s="72"/>
      <c r="I8" s="88"/>
      <c r="J8" s="80" t="s">
        <v>8</v>
      </c>
      <c r="K8" s="61">
        <f t="shared" ref="K8:K11" si="2">SUMIF($D$2:$D$15,J8,$G$2:$G$15)</f>
        <v>85882.5</v>
      </c>
    </row>
    <row r="9" spans="1:12" ht="15.75" x14ac:dyDescent="0.3">
      <c r="A9" s="77">
        <v>3367</v>
      </c>
      <c r="B9" s="78" t="s">
        <v>15</v>
      </c>
      <c r="C9" s="79" t="str">
        <f t="shared" si="0"/>
        <v>Mafizur</v>
      </c>
      <c r="D9" s="80" t="s">
        <v>8</v>
      </c>
      <c r="E9" s="80" t="s">
        <v>39</v>
      </c>
      <c r="F9" s="81">
        <v>39418</v>
      </c>
      <c r="G9" s="82">
        <v>11576.25</v>
      </c>
      <c r="H9" s="72">
        <f>G9*9%</f>
        <v>1041.8625</v>
      </c>
      <c r="I9" s="88"/>
      <c r="J9" s="80" t="s">
        <v>30</v>
      </c>
      <c r="K9" s="61">
        <f t="shared" si="2"/>
        <v>27258.75</v>
      </c>
    </row>
    <row r="10" spans="1:12" ht="15.75" x14ac:dyDescent="0.3">
      <c r="A10" s="77">
        <v>3395</v>
      </c>
      <c r="B10" s="78" t="s">
        <v>38</v>
      </c>
      <c r="C10" s="79" t="str">
        <f>LEFT(B10,SEARCH(" ",B10)-1)</f>
        <v>Sajib</v>
      </c>
      <c r="D10" s="80" t="s">
        <v>8</v>
      </c>
      <c r="E10" s="80" t="s">
        <v>39</v>
      </c>
      <c r="F10" s="81">
        <v>40685</v>
      </c>
      <c r="G10" s="82">
        <v>10755</v>
      </c>
      <c r="H10" s="72">
        <f t="shared" si="1"/>
        <v>967.94999999999993</v>
      </c>
      <c r="I10" s="88"/>
      <c r="J10" s="80" t="s">
        <v>1</v>
      </c>
      <c r="K10" s="61">
        <f t="shared" si="2"/>
        <v>54939</v>
      </c>
    </row>
    <row r="11" spans="1:12" ht="15.75" x14ac:dyDescent="0.3">
      <c r="A11" s="77">
        <v>3394</v>
      </c>
      <c r="B11" s="78" t="s">
        <v>40</v>
      </c>
      <c r="C11" s="79" t="str">
        <f t="shared" ref="C11:C15" si="3">LEFT(B11,SEARCH(" ",B11)-1)</f>
        <v>Sushanta</v>
      </c>
      <c r="D11" s="80" t="s">
        <v>8</v>
      </c>
      <c r="E11" s="80" t="s">
        <v>39</v>
      </c>
      <c r="F11" s="81">
        <v>40253</v>
      </c>
      <c r="G11" s="82">
        <v>11576.25</v>
      </c>
      <c r="H11" s="72"/>
      <c r="I11" s="88"/>
      <c r="J11" s="80" t="s">
        <v>29</v>
      </c>
      <c r="K11" s="61">
        <f t="shared" si="2"/>
        <v>30000</v>
      </c>
    </row>
    <row r="12" spans="1:12" ht="15.75" x14ac:dyDescent="0.3">
      <c r="A12" s="77">
        <v>3636</v>
      </c>
      <c r="B12" s="78" t="s">
        <v>19</v>
      </c>
      <c r="C12" s="79" t="str">
        <f t="shared" si="3"/>
        <v>Md.</v>
      </c>
      <c r="D12" s="80" t="s">
        <v>8</v>
      </c>
      <c r="E12" s="80" t="s">
        <v>39</v>
      </c>
      <c r="F12" s="81">
        <v>40622</v>
      </c>
      <c r="G12" s="82">
        <v>10755</v>
      </c>
      <c r="H12" s="72">
        <f t="shared" si="1"/>
        <v>967.94999999999993</v>
      </c>
      <c r="I12" s="88"/>
      <c r="J12" s="88"/>
      <c r="K12" s="61">
        <f>SUM(K6:K11)</f>
        <v>223531.5</v>
      </c>
    </row>
    <row r="13" spans="1:12" ht="15.75" x14ac:dyDescent="0.3">
      <c r="A13" s="77">
        <v>3661</v>
      </c>
      <c r="B13" s="78" t="s">
        <v>21</v>
      </c>
      <c r="C13" s="79" t="str">
        <f t="shared" si="3"/>
        <v>Shuesanquar</v>
      </c>
      <c r="D13" s="80" t="s">
        <v>22</v>
      </c>
      <c r="E13" s="80" t="s">
        <v>39</v>
      </c>
      <c r="F13" s="81">
        <v>41148</v>
      </c>
      <c r="G13" s="82">
        <v>10323.75</v>
      </c>
      <c r="H13" s="72">
        <f t="shared" si="1"/>
        <v>929.13749999999993</v>
      </c>
      <c r="I13" s="88"/>
      <c r="J13" s="88"/>
    </row>
    <row r="14" spans="1:12" ht="15.75" x14ac:dyDescent="0.3">
      <c r="A14" s="77">
        <v>3668</v>
      </c>
      <c r="B14" s="78" t="s">
        <v>24</v>
      </c>
      <c r="C14" s="79" t="str">
        <f t="shared" si="3"/>
        <v>Md.</v>
      </c>
      <c r="D14" s="80" t="s">
        <v>22</v>
      </c>
      <c r="E14" s="80" t="s">
        <v>39</v>
      </c>
      <c r="F14" s="81">
        <v>41396</v>
      </c>
      <c r="G14" s="82">
        <v>10323.75</v>
      </c>
      <c r="H14" s="72">
        <f t="shared" si="1"/>
        <v>929.13749999999993</v>
      </c>
      <c r="I14" s="88"/>
      <c r="J14" s="80" t="s">
        <v>29</v>
      </c>
      <c r="K14" s="61">
        <f t="shared" ref="K14" si="4">SUMIF($D$2:$D$15,J14,$G$2:$G$15)</f>
        <v>30000</v>
      </c>
    </row>
    <row r="15" spans="1:12" ht="15.75" x14ac:dyDescent="0.3">
      <c r="A15" s="77">
        <v>3652</v>
      </c>
      <c r="B15" s="78" t="s">
        <v>26</v>
      </c>
      <c r="C15" s="79" t="str">
        <f t="shared" si="3"/>
        <v>Md.</v>
      </c>
      <c r="D15" s="80" t="s">
        <v>27</v>
      </c>
      <c r="E15" s="80" t="s">
        <v>39</v>
      </c>
      <c r="F15" s="81">
        <v>41038</v>
      </c>
      <c r="G15" s="82">
        <v>4803.75</v>
      </c>
      <c r="H15" s="72">
        <f t="shared" si="1"/>
        <v>432.33749999999998</v>
      </c>
      <c r="I15" s="88"/>
      <c r="J15" s="88"/>
    </row>
    <row r="16" spans="1:12" ht="15.75" thickBot="1" x14ac:dyDescent="0.3">
      <c r="G16" s="86">
        <f>SUM(G2:G15)</f>
        <v>223531.5</v>
      </c>
      <c r="H16" s="71">
        <f>SUM(H1:H15)</f>
        <v>15786.030000000002</v>
      </c>
      <c r="I16" s="89"/>
      <c r="J16" s="89"/>
      <c r="L16" s="89"/>
    </row>
    <row r="17" spans="2:12" ht="15.75" thickTop="1" x14ac:dyDescent="0.25">
      <c r="B17" s="89" t="s">
        <v>556</v>
      </c>
      <c r="C17" s="61">
        <f>RIGHT(SEARCH(" ",B17))+1</f>
        <v>7</v>
      </c>
      <c r="D17" t="str">
        <f>IFERROR(LEFT(B17,FIND(" ",B17)-1),B17)</f>
        <v>SAJIB</v>
      </c>
      <c r="E17" s="89" t="str">
        <f>IFERROR(MID(B17,SEARCH(" ",B17),LEN(RIGHT(B17,SEARCH(" ",B17)+1))),B17)</f>
        <v xml:space="preserve"> SARKER</v>
      </c>
      <c r="F17" s="69" t="str">
        <f>IFERROR(RIGHT(B17,LEN(B17)-LEN(D17)-1),B17)</f>
        <v>SARKER DIPTOOO duronto</v>
      </c>
      <c r="G17" s="86"/>
      <c r="J17" s="89"/>
      <c r="L17" t="str">
        <f>'Lef Right'!D17</f>
        <v>SAJIB</v>
      </c>
    </row>
    <row r="18" spans="2:12" x14ac:dyDescent="0.25">
      <c r="B18" s="89" t="s">
        <v>818</v>
      </c>
      <c r="C18" s="61" t="e">
        <f>RIGHT(SEARCH(" ",B18))+1</f>
        <v>#VALUE!</v>
      </c>
      <c r="D18" t="str">
        <f>IFERROR(LEFT(B18,FIND(" ",B18)-1),B18)</f>
        <v>rony</v>
      </c>
      <c r="E18" s="89" t="str">
        <f>IFERROR(MID(B18,SEARCH(" ",B18),LEN(RIGHT(B18,SEARCH(" ",B18)+1))),B18)</f>
        <v>rony</v>
      </c>
      <c r="F18" s="69" t="str">
        <f>IFERROR(RIGHT(B18,LEN(B18)-LEN(D18)-1),B18)</f>
        <v>rony</v>
      </c>
      <c r="G18" s="86"/>
    </row>
    <row r="19" spans="2:12" x14ac:dyDescent="0.25">
      <c r="D19">
        <f>FIND(" ",B17)</f>
        <v>6</v>
      </c>
    </row>
    <row r="20" spans="2:12" x14ac:dyDescent="0.25">
      <c r="D20" t="str">
        <f>LEFT(B17,FIND(" ",B17)-1)</f>
        <v>SAJIB</v>
      </c>
    </row>
  </sheetData>
  <protectedRanges>
    <protectedRange algorithmName="SHA-512" hashValue="qC5wwZU5k3q7eSVjCxRNAhAU1dXJcWggXeuDydQlqJuld/FoOUmwUOWWsgmncJfLy1G/B4sm2QkDBAf+FMNr6A==" saltValue="a0O3KLlG33QiRmZJZQTqkA==" spinCount="100000" sqref="A1:I15 J6:J15" name="Range1"/>
  </protectedRanges>
  <dataValidations count="1">
    <dataValidation type="list" allowBlank="1" showInputMessage="1" showErrorMessage="1" sqref="B2:B15" xr:uid="{00000000-0002-0000-0600-000000000000}">
      <formula1>$B$2:$B$17</formula1>
    </dataValidation>
  </dataValidation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2EE3-0345-4572-8AD4-FF518D8A29DD}">
  <dimension ref="A1:N21"/>
  <sheetViews>
    <sheetView topLeftCell="A10" workbookViewId="0">
      <selection activeCell="C25" sqref="C25"/>
    </sheetView>
  </sheetViews>
  <sheetFormatPr defaultRowHeight="15" x14ac:dyDescent="0.25"/>
  <cols>
    <col min="1" max="1" width="28.140625" bestFit="1" customWidth="1"/>
    <col min="3" max="6" width="18.140625" customWidth="1"/>
  </cols>
  <sheetData>
    <row r="1" spans="1:14" x14ac:dyDescent="0.25">
      <c r="A1" t="s">
        <v>819</v>
      </c>
      <c r="C1" s="168" t="str">
        <f t="shared" ref="C1:C2" si="0">IFERROR(LEFT(A1,FIND(" ",A1)-1),A1)</f>
        <v>Sajib</v>
      </c>
      <c r="D1" s="168" t="str">
        <f>MID(A1,FIND(" ",A1)+1,FIND(" ",A1,FIND(" ",A1)+1)-1-FIND(" ",A1))</f>
        <v>Sarker</v>
      </c>
      <c r="E1" s="168" t="str">
        <f>RIGHT(A1,LEN(A1)-FIND(" ",A1,FIND(" ",A1)+1))</f>
        <v>ORIG man</v>
      </c>
    </row>
    <row r="2" spans="1:14" x14ac:dyDescent="0.25">
      <c r="A2" t="s">
        <v>820</v>
      </c>
      <c r="C2" s="168" t="str">
        <f t="shared" si="0"/>
        <v>SS</v>
      </c>
      <c r="D2" s="168"/>
      <c r="E2" s="168"/>
    </row>
    <row r="3" spans="1:14" x14ac:dyDescent="0.25">
      <c r="A3" t="s">
        <v>821</v>
      </c>
      <c r="C3" s="168" t="str">
        <f>IFERROR(LEFT(A3,FIND(" ",A3)-1),A3)</f>
        <v>ZZZZZZZ</v>
      </c>
      <c r="D3" s="168"/>
      <c r="E3" s="168"/>
    </row>
    <row r="4" spans="1:14" x14ac:dyDescent="0.25">
      <c r="A4" t="s">
        <v>38</v>
      </c>
      <c r="C4">
        <f>LEN(A4)</f>
        <v>17</v>
      </c>
      <c r="D4">
        <f>FIND(" ",A1,FIND(" ",A1)+1)</f>
        <v>13</v>
      </c>
      <c r="E4">
        <f>FIND(" ",A1)+1</f>
        <v>7</v>
      </c>
    </row>
    <row r="6" spans="1:14" ht="15.75" x14ac:dyDescent="0.25">
      <c r="A6" s="169" t="s">
        <v>827</v>
      </c>
      <c r="C6" s="188" t="str">
        <f>SUBSTITUTE(SUBSTITUTE(SUBSTITUTE(SUBSTITUTE(SUBSTITUTE(SUBSTITUTE(SUBSTITUTE(SUBSTITUTE(SUBSTITUTE(SUBSTITUTE(A6,0,""),1,""),2,""),3,""),4,""),5,""),6,""),7,""),8,""),9,"")</f>
        <v xml:space="preserve">      Rocky Set</v>
      </c>
    </row>
    <row r="7" spans="1:14" x14ac:dyDescent="0.25">
      <c r="A7" t="s">
        <v>822</v>
      </c>
      <c r="C7" s="168" t="str">
        <f>TRIM(SUBSTITUTE(SUBSTITUTE(SUBSTITUTE(SUBSTITUTE(SUBSTITUTE(SUBSTITUTE(SUBSTITUTE(SUBSTITUTE(SUBSTITUTE(SUBSTITUTE(A7,0,""),1,""),2,""),3,""),4,""),5,""),6,""),7,""),8,""),9,""))</f>
        <v>SAJIB SARKER</v>
      </c>
    </row>
    <row r="8" spans="1:14" x14ac:dyDescent="0.25">
      <c r="A8" t="s">
        <v>823</v>
      </c>
      <c r="C8" s="168" t="str">
        <f t="shared" ref="C8" si="1">TRIM(SUBSTITUTE(SUBSTITUTE(SUBSTITUTE(SUBSTITUTE(SUBSTITUTE(SUBSTITUTE(SUBSTITUTE(SUBSTITUTE(SUBSTITUTE(SUBSTITUTE(A8,0,""),1,""),2,""),3,""),4,""),5,""),6,""),7,""),8,""),9,""))</f>
        <v>Sajib Sarker Dew</v>
      </c>
    </row>
    <row r="9" spans="1:14" x14ac:dyDescent="0.25">
      <c r="C9" s="120"/>
      <c r="D9" s="120"/>
      <c r="E9" s="120"/>
      <c r="F9" s="120"/>
      <c r="G9" s="120"/>
      <c r="H9" s="120"/>
      <c r="I9" s="120"/>
      <c r="J9" s="120"/>
      <c r="K9" s="120"/>
      <c r="L9" s="120"/>
    </row>
    <row r="11" spans="1:14" x14ac:dyDescent="0.25">
      <c r="A11" s="170" t="s">
        <v>824</v>
      </c>
      <c r="B11" s="171" t="str">
        <f>MID($A11,COLUMN()-(COLUMN($A11)),1)</f>
        <v>3</v>
      </c>
      <c r="C11" s="171" t="str">
        <f t="shared" ref="C11:N11" si="2">MID($A11,COLUMN()-(COLUMN($A11)),1)</f>
        <v>8</v>
      </c>
      <c r="D11" s="171" t="str">
        <f t="shared" si="2"/>
        <v>3</v>
      </c>
      <c r="E11" s="171" t="str">
        <f t="shared" si="2"/>
        <v>4</v>
      </c>
      <c r="F11" s="171" t="str">
        <f t="shared" si="2"/>
        <v>1</v>
      </c>
      <c r="G11" s="171" t="str">
        <f t="shared" si="2"/>
        <v>3</v>
      </c>
      <c r="H11" s="171" t="str">
        <f t="shared" si="2"/>
        <v>9</v>
      </c>
      <c r="I11" s="171" t="str">
        <f t="shared" si="2"/>
        <v>0</v>
      </c>
      <c r="J11" s="171" t="str">
        <f t="shared" si="2"/>
        <v>7</v>
      </c>
      <c r="K11" s="171" t="str">
        <f t="shared" si="2"/>
        <v>2</v>
      </c>
      <c r="L11" s="171" t="str">
        <f t="shared" si="2"/>
        <v>5</v>
      </c>
      <c r="M11" s="171" t="str">
        <f t="shared" si="2"/>
        <v>7</v>
      </c>
      <c r="N11" s="168" t="str">
        <f t="shared" si="2"/>
        <v/>
      </c>
    </row>
    <row r="17" spans="1:3" x14ac:dyDescent="0.25">
      <c r="A17" t="s">
        <v>825</v>
      </c>
      <c r="C17" t="str">
        <f>TRIM(SUBSTITUTE(A17,5,""))</f>
        <v>34 Sajib 34</v>
      </c>
    </row>
    <row r="20" spans="1:3" x14ac:dyDescent="0.25">
      <c r="A20" t="s">
        <v>828</v>
      </c>
      <c r="C20" s="168" t="str">
        <f>LEFT(A20,FIND(" ",A20)-1)</f>
        <v>ddd</v>
      </c>
    </row>
    <row r="21" spans="1:3" x14ac:dyDescent="0.25">
      <c r="A21" t="s">
        <v>826</v>
      </c>
      <c r="C21" s="168" t="str">
        <f>LEFT(A21,FIND(" ",A21)-1)</f>
        <v>sssss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topLeftCell="A19" workbookViewId="0">
      <selection activeCell="G25" sqref="G25"/>
    </sheetView>
  </sheetViews>
  <sheetFormatPr defaultRowHeight="15" x14ac:dyDescent="0.25"/>
  <cols>
    <col min="4" max="4" width="22.5703125" bestFit="1" customWidth="1"/>
  </cols>
  <sheetData>
    <row r="1" spans="1:1" x14ac:dyDescent="0.25">
      <c r="A1" t="s">
        <v>37</v>
      </c>
    </row>
    <row r="2" spans="1:1" x14ac:dyDescent="0.25">
      <c r="A2" t="s">
        <v>816</v>
      </c>
    </row>
    <row r="3" spans="1:1" x14ac:dyDescent="0.25">
      <c r="A3" t="s">
        <v>0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7</v>
      </c>
    </row>
    <row r="7" spans="1:1" x14ac:dyDescent="0.25">
      <c r="A7" t="s">
        <v>10</v>
      </c>
    </row>
    <row r="8" spans="1:1" x14ac:dyDescent="0.25">
      <c r="A8" t="s">
        <v>12</v>
      </c>
    </row>
    <row r="9" spans="1:1" x14ac:dyDescent="0.25">
      <c r="A9" t="s">
        <v>15</v>
      </c>
    </row>
    <row r="10" spans="1:1" x14ac:dyDescent="0.25">
      <c r="A10" t="s">
        <v>38</v>
      </c>
    </row>
    <row r="11" spans="1:1" x14ac:dyDescent="0.25">
      <c r="A11" t="s">
        <v>40</v>
      </c>
    </row>
    <row r="12" spans="1:1" x14ac:dyDescent="0.25">
      <c r="A12" t="s">
        <v>19</v>
      </c>
    </row>
    <row r="13" spans="1:1" x14ac:dyDescent="0.25">
      <c r="A13" t="s">
        <v>21</v>
      </c>
    </row>
    <row r="14" spans="1:1" x14ac:dyDescent="0.25">
      <c r="A14" t="s">
        <v>24</v>
      </c>
    </row>
    <row r="15" spans="1:1" x14ac:dyDescent="0.25">
      <c r="A15" t="s">
        <v>26</v>
      </c>
    </row>
    <row r="16" spans="1:1" x14ac:dyDescent="0.25">
      <c r="A16" t="s">
        <v>817</v>
      </c>
    </row>
    <row r="19" spans="1:4" x14ac:dyDescent="0.25">
      <c r="A19">
        <f>COUNT(A1:A17)</f>
        <v>0</v>
      </c>
    </row>
    <row r="20" spans="1:4" x14ac:dyDescent="0.25">
      <c r="A20">
        <f>COUNTA(A1:A17)</f>
        <v>16</v>
      </c>
    </row>
    <row r="22" spans="1:4" x14ac:dyDescent="0.25">
      <c r="A22" t="s">
        <v>5</v>
      </c>
      <c r="D22">
        <f>LEN(A22)-LEN(SUBSTITUTE(A22," ",""))</f>
        <v>3</v>
      </c>
    </row>
    <row r="23" spans="1:4" x14ac:dyDescent="0.25">
      <c r="A23" t="s">
        <v>5</v>
      </c>
      <c r="D23">
        <f>LEN(A23)</f>
        <v>23</v>
      </c>
    </row>
    <row r="24" spans="1:4" x14ac:dyDescent="0.25">
      <c r="A24" t="s">
        <v>5</v>
      </c>
      <c r="D24" t="str">
        <f>SUBSTITUTE(A24," ","")</f>
        <v>Mr.ParimalKumarKundu</v>
      </c>
    </row>
    <row r="25" spans="1:4" x14ac:dyDescent="0.25">
      <c r="A25" t="s">
        <v>5</v>
      </c>
      <c r="D25">
        <f t="shared" ref="D25:D31" si="0">LEN(A25)-LEN(SUBSTITUTE(A25," ",""))</f>
        <v>3</v>
      </c>
    </row>
    <row r="26" spans="1:4" x14ac:dyDescent="0.25">
      <c r="A26" t="s">
        <v>5</v>
      </c>
      <c r="D26">
        <f t="shared" si="0"/>
        <v>3</v>
      </c>
    </row>
    <row r="27" spans="1:4" x14ac:dyDescent="0.25">
      <c r="A27" t="s">
        <v>5</v>
      </c>
      <c r="D27">
        <f t="shared" si="0"/>
        <v>3</v>
      </c>
    </row>
    <row r="28" spans="1:4" x14ac:dyDescent="0.25">
      <c r="A28" t="s">
        <v>5</v>
      </c>
      <c r="D28">
        <f t="shared" si="0"/>
        <v>3</v>
      </c>
    </row>
    <row r="29" spans="1:4" x14ac:dyDescent="0.25">
      <c r="A29" t="s">
        <v>5</v>
      </c>
      <c r="D29">
        <f t="shared" si="0"/>
        <v>3</v>
      </c>
    </row>
    <row r="30" spans="1:4" x14ac:dyDescent="0.25">
      <c r="A30" t="s">
        <v>5</v>
      </c>
      <c r="D30">
        <f t="shared" si="0"/>
        <v>3</v>
      </c>
    </row>
    <row r="31" spans="1:4" x14ac:dyDescent="0.25">
      <c r="A31" t="s">
        <v>5</v>
      </c>
      <c r="D31">
        <f t="shared" si="0"/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W89"/>
  <sheetViews>
    <sheetView topLeftCell="A34" workbookViewId="0">
      <selection activeCell="DX20" sqref="DX20"/>
    </sheetView>
  </sheetViews>
  <sheetFormatPr defaultRowHeight="15" x14ac:dyDescent="0.25"/>
  <cols>
    <col min="1" max="1" width="2.5703125" style="29" customWidth="1"/>
    <col min="2" max="6" width="9.140625" style="29" hidden="1" customWidth="1"/>
    <col min="7" max="7" width="16.42578125" style="29" hidden="1" customWidth="1"/>
    <col min="8" max="8" width="9.140625" style="29" hidden="1" customWidth="1"/>
    <col min="9" max="9" width="11.7109375" style="29" hidden="1" customWidth="1"/>
    <col min="10" max="10" width="0" style="29" hidden="1" customWidth="1"/>
    <col min="11" max="11" width="3.42578125" style="29" hidden="1" customWidth="1"/>
    <col min="12" max="12" width="15.42578125" style="29" hidden="1" customWidth="1"/>
    <col min="13" max="16" width="0" style="29" hidden="1" customWidth="1"/>
    <col min="17" max="17" width="5.140625" style="29" customWidth="1"/>
    <col min="18" max="18" width="19.85546875" style="29" customWidth="1"/>
    <col min="19" max="19" width="5.7109375" style="29" customWidth="1"/>
    <col min="20" max="20" width="2.5703125" style="29" hidden="1" customWidth="1"/>
    <col min="21" max="21" width="13.140625" style="29" customWidth="1"/>
    <col min="22" max="31" width="0" style="29" hidden="1" customWidth="1"/>
    <col min="32" max="32" width="5.85546875" style="29" hidden="1" customWidth="1"/>
    <col min="33" max="33" width="11" style="29" customWidth="1"/>
    <col min="34" max="34" width="17.28515625" style="29" customWidth="1"/>
    <col min="35" max="127" width="0" style="29" hidden="1" customWidth="1"/>
    <col min="128" max="16384" width="9.140625" style="29"/>
  </cols>
  <sheetData>
    <row r="1" spans="1:127" s="9" customFormat="1" ht="20.25" customHeight="1" x14ac:dyDescent="0.25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52</v>
      </c>
      <c r="M1" s="9" t="s">
        <v>53</v>
      </c>
      <c r="N1" s="9" t="s">
        <v>54</v>
      </c>
      <c r="O1" s="9" t="s">
        <v>55</v>
      </c>
      <c r="P1" s="9" t="s">
        <v>56</v>
      </c>
      <c r="Q1" s="10" t="s">
        <v>57</v>
      </c>
      <c r="R1" s="9" t="s">
        <v>58</v>
      </c>
      <c r="S1" s="9" t="s">
        <v>59</v>
      </c>
      <c r="T1" s="9" t="s">
        <v>60</v>
      </c>
      <c r="V1" s="9" t="s">
        <v>61</v>
      </c>
      <c r="W1" s="9" t="s">
        <v>62</v>
      </c>
      <c r="X1" s="9" t="s">
        <v>63</v>
      </c>
      <c r="Y1" s="9" t="s">
        <v>64</v>
      </c>
      <c r="Z1" s="9" t="s">
        <v>65</v>
      </c>
      <c r="AA1" s="9" t="s">
        <v>66</v>
      </c>
      <c r="AB1" s="9" t="s">
        <v>67</v>
      </c>
      <c r="AC1" s="9" t="s">
        <v>68</v>
      </c>
      <c r="AD1" s="9" t="s">
        <v>69</v>
      </c>
      <c r="AE1" s="9" t="s">
        <v>70</v>
      </c>
      <c r="AF1" s="9" t="s">
        <v>71</v>
      </c>
      <c r="AG1" s="9" t="s">
        <v>72</v>
      </c>
      <c r="AH1" s="9" t="s">
        <v>73</v>
      </c>
      <c r="AI1" s="9" t="s">
        <v>74</v>
      </c>
      <c r="AJ1" s="9" t="s">
        <v>75</v>
      </c>
      <c r="AL1" s="9" t="s">
        <v>60</v>
      </c>
      <c r="AM1" s="9" t="s">
        <v>76</v>
      </c>
      <c r="AO1" s="9">
        <v>42050</v>
      </c>
      <c r="AP1" s="9">
        <v>42050</v>
      </c>
      <c r="AQ1" s="11" t="s">
        <v>77</v>
      </c>
      <c r="AR1" s="11" t="s">
        <v>77</v>
      </c>
      <c r="AS1" s="9" t="s">
        <v>78</v>
      </c>
      <c r="AT1" s="9" t="s">
        <v>78</v>
      </c>
      <c r="AU1" s="9" t="s">
        <v>79</v>
      </c>
      <c r="AV1" s="9" t="s">
        <v>79</v>
      </c>
      <c r="AW1" s="9" t="s">
        <v>80</v>
      </c>
      <c r="AX1" s="9" t="s">
        <v>80</v>
      </c>
      <c r="AY1" s="9" t="s">
        <v>81</v>
      </c>
      <c r="AZ1" s="9" t="s">
        <v>81</v>
      </c>
      <c r="BA1" s="9" t="s">
        <v>82</v>
      </c>
      <c r="BB1" s="9" t="s">
        <v>82</v>
      </c>
      <c r="BC1" s="9" t="s">
        <v>83</v>
      </c>
      <c r="BD1" s="9" t="s">
        <v>83</v>
      </c>
      <c r="BE1" s="9" t="s">
        <v>84</v>
      </c>
      <c r="BF1" s="9" t="s">
        <v>84</v>
      </c>
      <c r="BG1" s="9" t="s">
        <v>85</v>
      </c>
      <c r="BH1" s="9" t="s">
        <v>85</v>
      </c>
      <c r="BI1" s="9" t="s">
        <v>86</v>
      </c>
      <c r="BJ1" s="9" t="s">
        <v>86</v>
      </c>
      <c r="BK1" s="9" t="s">
        <v>87</v>
      </c>
      <c r="BL1" s="9" t="s">
        <v>87</v>
      </c>
      <c r="BM1" s="9" t="s">
        <v>88</v>
      </c>
      <c r="BN1" s="9" t="s">
        <v>88</v>
      </c>
      <c r="BO1" s="9" t="s">
        <v>89</v>
      </c>
      <c r="BP1" s="9" t="s">
        <v>89</v>
      </c>
      <c r="BQ1" s="9" t="s">
        <v>90</v>
      </c>
      <c r="BR1" s="9" t="s">
        <v>90</v>
      </c>
      <c r="BS1" s="9" t="s">
        <v>91</v>
      </c>
      <c r="BT1" s="9" t="s">
        <v>91</v>
      </c>
      <c r="BU1" s="9" t="s">
        <v>60</v>
      </c>
      <c r="BX1" s="12" t="s">
        <v>92</v>
      </c>
      <c r="BY1" s="12" t="s">
        <v>93</v>
      </c>
      <c r="BZ1" s="12" t="s">
        <v>94</v>
      </c>
      <c r="CA1" s="12" t="s">
        <v>95</v>
      </c>
      <c r="CB1" s="12" t="s">
        <v>96</v>
      </c>
      <c r="CC1" s="12" t="s">
        <v>97</v>
      </c>
      <c r="CD1" s="9" t="s">
        <v>98</v>
      </c>
      <c r="CE1" s="9" t="s">
        <v>99</v>
      </c>
      <c r="CF1" s="9" t="s">
        <v>100</v>
      </c>
      <c r="CG1" s="9" t="s">
        <v>101</v>
      </c>
      <c r="CH1" s="9" t="s">
        <v>102</v>
      </c>
      <c r="CI1" s="9" t="s">
        <v>103</v>
      </c>
      <c r="CJ1" s="9" t="s">
        <v>104</v>
      </c>
      <c r="CK1" s="9" t="s">
        <v>105</v>
      </c>
      <c r="CL1" s="9" t="s">
        <v>106</v>
      </c>
      <c r="CM1" s="9" t="s">
        <v>106</v>
      </c>
      <c r="CN1" s="9" t="s">
        <v>107</v>
      </c>
      <c r="CO1" s="9" t="s">
        <v>108</v>
      </c>
      <c r="CP1" s="9" t="s">
        <v>109</v>
      </c>
      <c r="CQ1" s="9" t="s">
        <v>110</v>
      </c>
      <c r="CR1" s="9" t="s">
        <v>111</v>
      </c>
      <c r="CS1" s="9" t="s">
        <v>112</v>
      </c>
      <c r="CT1" s="9" t="s">
        <v>113</v>
      </c>
      <c r="CU1" s="9" t="s">
        <v>114</v>
      </c>
      <c r="CV1" s="9" t="s">
        <v>115</v>
      </c>
      <c r="CW1" s="9" t="s">
        <v>116</v>
      </c>
      <c r="CX1" s="9" t="s">
        <v>117</v>
      </c>
      <c r="CY1" s="9" t="s">
        <v>118</v>
      </c>
      <c r="CZ1" s="9" t="s">
        <v>119</v>
      </c>
      <c r="DA1" s="12" t="s">
        <v>120</v>
      </c>
      <c r="DB1" s="9" t="s">
        <v>121</v>
      </c>
      <c r="DC1" s="9" t="s">
        <v>122</v>
      </c>
      <c r="DD1" s="9" t="s">
        <v>123</v>
      </c>
      <c r="DE1" s="12" t="s">
        <v>124</v>
      </c>
      <c r="DJ1" s="9" t="s">
        <v>60</v>
      </c>
      <c r="DK1" s="9" t="s">
        <v>125</v>
      </c>
      <c r="DL1" s="9" t="s">
        <v>126</v>
      </c>
      <c r="DM1" s="9" t="s">
        <v>127</v>
      </c>
      <c r="DN1" s="9" t="s">
        <v>128</v>
      </c>
      <c r="DO1" s="9" t="s">
        <v>129</v>
      </c>
      <c r="DP1" s="9" t="s">
        <v>130</v>
      </c>
      <c r="DQ1" s="9" t="s">
        <v>131</v>
      </c>
      <c r="DR1" s="9" t="s">
        <v>132</v>
      </c>
    </row>
    <row r="2" spans="1:127" s="13" customFormat="1" ht="15.95" customHeight="1" x14ac:dyDescent="0.2">
      <c r="N2" s="14" t="s">
        <v>133</v>
      </c>
      <c r="O2" s="15"/>
      <c r="Q2" s="16" t="s">
        <v>134</v>
      </c>
      <c r="R2" s="17" t="s">
        <v>135</v>
      </c>
      <c r="S2" s="17" t="s">
        <v>136</v>
      </c>
      <c r="T2" s="16" t="s">
        <v>133</v>
      </c>
      <c r="U2" s="17" t="s">
        <v>137</v>
      </c>
      <c r="V2" s="18"/>
      <c r="W2" s="19">
        <v>1</v>
      </c>
      <c r="X2" s="18">
        <f>COUNTIF($AB3:$AB12,"A")</f>
        <v>3</v>
      </c>
      <c r="Y2" s="18">
        <f>COUNTIF($AB3:$AB12,"B")</f>
        <v>3</v>
      </c>
      <c r="Z2" s="18">
        <f>COUNTIF($AB3:$AB12,"G")</f>
        <v>2</v>
      </c>
      <c r="AA2" s="18">
        <f>COUNTIF($AB3:$AB12,"C")</f>
        <v>1</v>
      </c>
      <c r="AB2" s="19">
        <f>COUNTA(AB3:AB12)</f>
        <v>9</v>
      </c>
      <c r="AC2" s="18">
        <f>Y2+Z2</f>
        <v>5</v>
      </c>
      <c r="AG2" s="19" t="s">
        <v>138</v>
      </c>
      <c r="AH2" s="13" t="s">
        <v>139</v>
      </c>
      <c r="AI2" s="19" t="s">
        <v>62</v>
      </c>
      <c r="AJ2" s="20"/>
      <c r="AL2" s="16" t="s">
        <v>133</v>
      </c>
      <c r="AM2" s="21">
        <f t="shared" ref="AM2" si="0">SUM(AM3:AM12)</f>
        <v>4576022.9399999995</v>
      </c>
      <c r="AU2" s="18" t="s">
        <v>140</v>
      </c>
      <c r="AV2" s="17" t="s">
        <v>141</v>
      </c>
      <c r="AW2" s="18" t="s">
        <v>140</v>
      </c>
      <c r="AX2" s="17" t="s">
        <v>142</v>
      </c>
      <c r="BU2" s="14" t="s">
        <v>133</v>
      </c>
      <c r="BV2" s="17"/>
      <c r="BX2" s="21">
        <f t="shared" ref="BX2:CY2" si="1">SUM(BX3:BX12)</f>
        <v>3772971.59</v>
      </c>
      <c r="BY2" s="21">
        <f t="shared" si="1"/>
        <v>2558927.19</v>
      </c>
      <c r="BZ2" s="21">
        <f t="shared" si="1"/>
        <v>3803674</v>
      </c>
      <c r="CA2" s="21">
        <f t="shared" si="1"/>
        <v>2888838.5999999996</v>
      </c>
      <c r="CB2" s="21">
        <f t="shared" si="1"/>
        <v>3788970.79</v>
      </c>
      <c r="CC2" s="21">
        <f t="shared" si="1"/>
        <v>2885150.75</v>
      </c>
      <c r="CD2" s="21">
        <f t="shared" si="1"/>
        <v>3788970.79</v>
      </c>
      <c r="CE2" s="21">
        <f t="shared" si="1"/>
        <v>3091939.06</v>
      </c>
      <c r="CF2" s="21">
        <f t="shared" si="1"/>
        <v>3772971</v>
      </c>
      <c r="CG2" s="21">
        <f t="shared" si="1"/>
        <v>2715875.08</v>
      </c>
      <c r="CH2" s="21">
        <f t="shared" si="1"/>
        <v>3772971</v>
      </c>
      <c r="CI2" s="21">
        <f t="shared" si="1"/>
        <v>2820099.53</v>
      </c>
      <c r="CJ2" s="21">
        <f t="shared" si="1"/>
        <v>3772971</v>
      </c>
      <c r="CK2" s="21">
        <f t="shared" si="1"/>
        <v>2210786.06</v>
      </c>
      <c r="CL2" s="21">
        <f t="shared" si="1"/>
        <v>3682573</v>
      </c>
      <c r="CM2" s="21">
        <f t="shared" si="1"/>
        <v>134251.88</v>
      </c>
      <c r="CN2" s="21">
        <f t="shared" si="1"/>
        <v>3816824.8800000004</v>
      </c>
      <c r="CO2" s="21">
        <f t="shared" si="1"/>
        <v>2341657.86</v>
      </c>
      <c r="CP2" s="21">
        <f t="shared" si="1"/>
        <v>3682573.34</v>
      </c>
      <c r="CQ2" s="21">
        <f t="shared" si="1"/>
        <v>134251.88</v>
      </c>
      <c r="CR2" s="21">
        <f t="shared" si="1"/>
        <v>3816825.2199999997</v>
      </c>
      <c r="CS2" s="21">
        <f t="shared" si="1"/>
        <v>2408496.6900000004</v>
      </c>
      <c r="CT2" s="21">
        <f t="shared" si="1"/>
        <v>3682573.34</v>
      </c>
      <c r="CU2" s="21">
        <f t="shared" si="1"/>
        <v>134251.88</v>
      </c>
      <c r="CV2" s="21">
        <f t="shared" si="1"/>
        <v>3816825.2199999997</v>
      </c>
      <c r="CW2" s="21">
        <f t="shared" si="1"/>
        <v>2657901.23</v>
      </c>
      <c r="CX2" s="21">
        <f t="shared" si="1"/>
        <v>3704342.77</v>
      </c>
      <c r="CY2" s="21">
        <f t="shared" si="1"/>
        <v>112484.47</v>
      </c>
      <c r="CZ2" s="21">
        <f>SUM(CZ3:CZ12)</f>
        <v>3816827.24</v>
      </c>
      <c r="DA2" s="22">
        <f>SUM(DA3:DA12)</f>
        <v>2715085.18</v>
      </c>
      <c r="DB2" s="21">
        <f t="shared" ref="DB2:DC2" si="2">SUM(DB3:DB12)</f>
        <v>3704342.77</v>
      </c>
      <c r="DC2" s="21">
        <f t="shared" si="2"/>
        <v>112484.47</v>
      </c>
      <c r="DD2" s="21">
        <f>SUM(DD3:DD12)</f>
        <v>3816827.24</v>
      </c>
      <c r="DE2" s="21">
        <f>SUM(DE3:DE12)</f>
        <v>2694882.41</v>
      </c>
      <c r="DJ2" s="14" t="s">
        <v>133</v>
      </c>
      <c r="DK2" s="23">
        <f t="shared" ref="DK2:DQ2" si="3">SUM(DK3:DK12)</f>
        <v>4576022.9399999995</v>
      </c>
      <c r="DL2" s="23">
        <f t="shared" si="3"/>
        <v>2827778.24</v>
      </c>
      <c r="DM2" s="23">
        <f t="shared" si="3"/>
        <v>4576022.9399999995</v>
      </c>
      <c r="DN2" s="23">
        <f t="shared" si="3"/>
        <v>2697489.4499999997</v>
      </c>
      <c r="DO2" s="23">
        <f t="shared" si="3"/>
        <v>4576022.9399999995</v>
      </c>
      <c r="DP2" s="23">
        <f t="shared" si="3"/>
        <v>2818163.2</v>
      </c>
      <c r="DQ2" s="21">
        <f t="shared" si="3"/>
        <v>4576022.9399999995</v>
      </c>
      <c r="DR2" s="24"/>
      <c r="DS2" s="25">
        <f t="shared" ref="DS2:DS26" si="4">DL2/DK2*100</f>
        <v>61.79554335888011</v>
      </c>
      <c r="DT2" s="25">
        <f t="shared" ref="DT2:DT26" si="5">DN2/DM2*100</f>
        <v>58.948337571052477</v>
      </c>
      <c r="DU2" s="25">
        <f t="shared" ref="DU2:DU26" si="6">DP2/DO2*100</f>
        <v>61.585425531105408</v>
      </c>
      <c r="DV2" s="24"/>
      <c r="DW2" s="25"/>
    </row>
    <row r="3" spans="1:127" s="13" customFormat="1" ht="15.95" customHeight="1" x14ac:dyDescent="0.2">
      <c r="A3" s="13" t="s">
        <v>143</v>
      </c>
      <c r="B3" s="26" t="s">
        <v>144</v>
      </c>
      <c r="C3" s="13" t="s">
        <v>145</v>
      </c>
      <c r="D3" s="26" t="s">
        <v>146</v>
      </c>
      <c r="E3" s="13" t="s">
        <v>147</v>
      </c>
      <c r="G3" s="13" t="s">
        <v>148</v>
      </c>
      <c r="H3" s="26" t="s">
        <v>149</v>
      </c>
      <c r="I3" s="13" t="s">
        <v>150</v>
      </c>
      <c r="J3" s="19" t="s">
        <v>151</v>
      </c>
      <c r="K3" s="26" t="s">
        <v>152</v>
      </c>
      <c r="L3" s="13" t="s">
        <v>153</v>
      </c>
      <c r="M3" s="14" t="s">
        <v>134</v>
      </c>
      <c r="N3" s="14" t="s">
        <v>133</v>
      </c>
      <c r="O3" s="19">
        <v>1</v>
      </c>
      <c r="Q3" s="14" t="s">
        <v>154</v>
      </c>
      <c r="R3" s="30" t="s">
        <v>155</v>
      </c>
      <c r="S3" s="30" t="s">
        <v>156</v>
      </c>
      <c r="T3" s="31" t="s">
        <v>157</v>
      </c>
      <c r="U3" s="30" t="s">
        <v>158</v>
      </c>
      <c r="V3" s="19"/>
      <c r="W3" s="19"/>
      <c r="X3" s="19"/>
      <c r="Y3" s="19"/>
      <c r="Z3" s="19"/>
      <c r="AA3" s="19"/>
      <c r="AB3" s="19" t="s">
        <v>159</v>
      </c>
      <c r="AC3" s="19"/>
      <c r="AD3" s="13" t="s">
        <v>160</v>
      </c>
      <c r="AG3" s="19"/>
      <c r="AI3" s="19"/>
      <c r="AJ3" s="20"/>
      <c r="AL3" s="19" t="s">
        <v>157</v>
      </c>
      <c r="AM3" s="24">
        <v>523480.32000000001</v>
      </c>
      <c r="BU3" s="19" t="s">
        <v>157</v>
      </c>
      <c r="BX3" s="24">
        <v>434929.95</v>
      </c>
      <c r="BY3" s="24">
        <v>327291.73</v>
      </c>
      <c r="BZ3" s="27">
        <v>434930</v>
      </c>
      <c r="CA3" s="24">
        <v>426586.51</v>
      </c>
      <c r="CB3" s="24">
        <v>436962.85</v>
      </c>
      <c r="CC3" s="24">
        <v>413016.17</v>
      </c>
      <c r="CD3" s="24">
        <v>436962.85</v>
      </c>
      <c r="CE3" s="24">
        <v>498772.27</v>
      </c>
      <c r="CF3" s="24">
        <v>434930</v>
      </c>
      <c r="CG3" s="24">
        <v>310538.03999999998</v>
      </c>
      <c r="CH3" s="24">
        <v>434930</v>
      </c>
      <c r="CI3" s="24">
        <v>352896.6</v>
      </c>
      <c r="CJ3" s="24">
        <v>434930</v>
      </c>
      <c r="CK3" s="24">
        <v>319935.81</v>
      </c>
      <c r="CL3" s="24">
        <v>431150</v>
      </c>
      <c r="CM3" s="24">
        <v>5476.97</v>
      </c>
      <c r="CN3" s="24">
        <f t="shared" ref="CN3:CN26" si="7">SUM(CL3:CM3)</f>
        <v>436626.97</v>
      </c>
      <c r="CO3" s="24">
        <v>361187.11</v>
      </c>
      <c r="CP3" s="24">
        <v>431149.67</v>
      </c>
      <c r="CQ3" s="24">
        <v>5476.97</v>
      </c>
      <c r="CR3" s="24">
        <f t="shared" ref="CR3:CR26" si="8">SUM(CP3:CQ3)</f>
        <v>436626.63999999996</v>
      </c>
      <c r="CS3" s="24">
        <v>349010.71</v>
      </c>
      <c r="CT3" s="24">
        <v>431149.67</v>
      </c>
      <c r="CU3" s="24">
        <v>5476.97</v>
      </c>
      <c r="CV3" s="24">
        <f t="shared" ref="CV3:CV26" si="9">SUM(CT3:CU3)</f>
        <v>436626.63999999996</v>
      </c>
      <c r="CW3" s="24">
        <v>407176.36</v>
      </c>
      <c r="CX3" s="24">
        <v>431149.67</v>
      </c>
      <c r="CY3" s="24">
        <v>5476.97</v>
      </c>
      <c r="CZ3" s="24">
        <f t="shared" ref="CZ3:CZ26" si="10">SUM(CX3:CY3)</f>
        <v>436626.63999999996</v>
      </c>
      <c r="DA3" s="27">
        <v>401341.22</v>
      </c>
      <c r="DB3" s="24">
        <v>431149.67</v>
      </c>
      <c r="DC3" s="24">
        <v>5476.97</v>
      </c>
      <c r="DD3" s="24">
        <f t="shared" ref="DD3:DD11" si="11">SUM(DB3:DC3)</f>
        <v>436626.63999999996</v>
      </c>
      <c r="DE3" s="24">
        <v>395862.79</v>
      </c>
      <c r="DJ3" s="19" t="s">
        <v>157</v>
      </c>
      <c r="DK3" s="24">
        <v>523480.32000000001</v>
      </c>
      <c r="DL3" s="24">
        <v>427480.94</v>
      </c>
      <c r="DM3" s="24">
        <v>523480.32000000001</v>
      </c>
      <c r="DN3" s="24">
        <v>426198.85</v>
      </c>
      <c r="DO3" s="24">
        <v>523480.32000000001</v>
      </c>
      <c r="DP3" s="28">
        <v>442047.62</v>
      </c>
      <c r="DQ3" s="24">
        <v>523480.32000000001</v>
      </c>
      <c r="DR3" s="24"/>
      <c r="DS3" s="25">
        <f t="shared" si="4"/>
        <v>81.661320142847018</v>
      </c>
      <c r="DT3" s="25">
        <f t="shared" si="5"/>
        <v>81.416403581322783</v>
      </c>
      <c r="DU3" s="25">
        <f t="shared" si="6"/>
        <v>84.443980625670889</v>
      </c>
      <c r="DV3" s="24"/>
      <c r="DW3" s="25"/>
    </row>
    <row r="4" spans="1:127" s="13" customFormat="1" ht="15.95" customHeight="1" x14ac:dyDescent="0.2">
      <c r="A4" s="13" t="s">
        <v>143</v>
      </c>
      <c r="B4" s="26" t="s">
        <v>144</v>
      </c>
      <c r="C4" s="13" t="s">
        <v>145</v>
      </c>
      <c r="D4" s="26" t="s">
        <v>146</v>
      </c>
      <c r="E4" s="13" t="s">
        <v>147</v>
      </c>
      <c r="G4" s="13" t="s">
        <v>148</v>
      </c>
      <c r="H4" s="26" t="s">
        <v>149</v>
      </c>
      <c r="I4" s="13" t="s">
        <v>150</v>
      </c>
      <c r="J4" s="19" t="s">
        <v>151</v>
      </c>
      <c r="K4" s="26" t="s">
        <v>152</v>
      </c>
      <c r="L4" s="13" t="s">
        <v>153</v>
      </c>
      <c r="M4" s="14" t="s">
        <v>134</v>
      </c>
      <c r="N4" s="14" t="s">
        <v>133</v>
      </c>
      <c r="O4" s="19">
        <v>1</v>
      </c>
      <c r="Q4" s="14" t="s">
        <v>161</v>
      </c>
      <c r="R4" s="30" t="s">
        <v>162</v>
      </c>
      <c r="S4" s="30" t="s">
        <v>163</v>
      </c>
      <c r="T4" s="31" t="s">
        <v>164</v>
      </c>
      <c r="U4" s="30" t="s">
        <v>158</v>
      </c>
      <c r="V4" s="19"/>
      <c r="W4" s="19"/>
      <c r="X4" s="19"/>
      <c r="Y4" s="19"/>
      <c r="Z4" s="19"/>
      <c r="AA4" s="19"/>
      <c r="AB4" s="19" t="s">
        <v>165</v>
      </c>
      <c r="AC4" s="19"/>
      <c r="AD4" s="13" t="s">
        <v>160</v>
      </c>
      <c r="AG4" s="19"/>
      <c r="AI4" s="19"/>
      <c r="AJ4" s="20"/>
      <c r="AL4" s="19" t="s">
        <v>164</v>
      </c>
      <c r="AM4" s="24">
        <v>509595.06</v>
      </c>
      <c r="BU4" s="19" t="s">
        <v>164</v>
      </c>
      <c r="BX4" s="24">
        <v>419657.45</v>
      </c>
      <c r="BY4" s="24">
        <v>276190.64</v>
      </c>
      <c r="BZ4" s="27">
        <v>419657</v>
      </c>
      <c r="CA4" s="24">
        <v>339374.62</v>
      </c>
      <c r="CB4" s="24">
        <v>420848.15</v>
      </c>
      <c r="CC4" s="24">
        <v>306260.93</v>
      </c>
      <c r="CD4" s="24">
        <v>420848.15</v>
      </c>
      <c r="CE4" s="24">
        <v>440994.37</v>
      </c>
      <c r="CF4" s="24">
        <v>419657</v>
      </c>
      <c r="CG4" s="24">
        <v>239691.94</v>
      </c>
      <c r="CH4" s="24">
        <v>419657</v>
      </c>
      <c r="CI4" s="24">
        <v>297433.90999999997</v>
      </c>
      <c r="CJ4" s="24">
        <v>419657</v>
      </c>
      <c r="CK4" s="24">
        <v>286532.31</v>
      </c>
      <c r="CL4" s="24">
        <v>408675</v>
      </c>
      <c r="CM4" s="24">
        <v>16375.02</v>
      </c>
      <c r="CN4" s="24">
        <f t="shared" si="7"/>
        <v>425050.02</v>
      </c>
      <c r="CO4" s="24">
        <v>280735.5</v>
      </c>
      <c r="CP4" s="24">
        <v>408675.38</v>
      </c>
      <c r="CQ4" s="24">
        <v>16375.02</v>
      </c>
      <c r="CR4" s="24">
        <f t="shared" si="8"/>
        <v>425050.4</v>
      </c>
      <c r="CS4" s="24">
        <v>324127.38</v>
      </c>
      <c r="CT4" s="24">
        <v>408675.38</v>
      </c>
      <c r="CU4" s="24">
        <v>16375.02</v>
      </c>
      <c r="CV4" s="24">
        <f t="shared" si="9"/>
        <v>425050.4</v>
      </c>
      <c r="CW4" s="24">
        <v>319364.23</v>
      </c>
      <c r="CX4" s="24">
        <v>408675.38</v>
      </c>
      <c r="CY4" s="24">
        <v>16375.02</v>
      </c>
      <c r="CZ4" s="24">
        <f t="shared" si="10"/>
        <v>425050.4</v>
      </c>
      <c r="DA4" s="27">
        <v>343502.71</v>
      </c>
      <c r="DB4" s="24">
        <v>408675.38</v>
      </c>
      <c r="DC4" s="24">
        <v>16375.02</v>
      </c>
      <c r="DD4" s="24">
        <f t="shared" si="11"/>
        <v>425050.4</v>
      </c>
      <c r="DE4" s="24">
        <v>364800.71</v>
      </c>
      <c r="DJ4" s="19" t="s">
        <v>164</v>
      </c>
      <c r="DK4" s="24">
        <v>509595.06</v>
      </c>
      <c r="DL4" s="24">
        <v>370607.64</v>
      </c>
      <c r="DM4" s="24">
        <v>509595.06</v>
      </c>
      <c r="DN4" s="24">
        <v>368511.9</v>
      </c>
      <c r="DO4" s="24">
        <v>509595.06</v>
      </c>
      <c r="DP4" s="28">
        <v>367404.9</v>
      </c>
      <c r="DQ4" s="24">
        <v>509595.06</v>
      </c>
      <c r="DR4" s="24"/>
      <c r="DS4" s="25">
        <f t="shared" si="4"/>
        <v>72.725909077690048</v>
      </c>
      <c r="DT4" s="25">
        <f t="shared" si="5"/>
        <v>72.314653128701849</v>
      </c>
      <c r="DU4" s="25">
        <f t="shared" si="6"/>
        <v>72.097421823516115</v>
      </c>
      <c r="DV4" s="24"/>
      <c r="DW4" s="25"/>
    </row>
    <row r="5" spans="1:127" s="13" customFormat="1" ht="15.95" customHeight="1" x14ac:dyDescent="0.2">
      <c r="A5" s="13" t="s">
        <v>143</v>
      </c>
      <c r="B5" s="26" t="s">
        <v>144</v>
      </c>
      <c r="C5" s="13" t="s">
        <v>145</v>
      </c>
      <c r="D5" s="26" t="s">
        <v>146</v>
      </c>
      <c r="E5" s="13" t="s">
        <v>147</v>
      </c>
      <c r="G5" s="13" t="s">
        <v>148</v>
      </c>
      <c r="H5" s="26" t="s">
        <v>149</v>
      </c>
      <c r="I5" s="13" t="s">
        <v>150</v>
      </c>
      <c r="J5" s="19" t="s">
        <v>151</v>
      </c>
      <c r="K5" s="26" t="s">
        <v>152</v>
      </c>
      <c r="L5" s="13" t="s">
        <v>153</v>
      </c>
      <c r="M5" s="14" t="s">
        <v>134</v>
      </c>
      <c r="N5" s="14" t="s">
        <v>133</v>
      </c>
      <c r="O5" s="19">
        <v>1</v>
      </c>
      <c r="Q5" s="14" t="s">
        <v>166</v>
      </c>
      <c r="R5" s="13" t="s">
        <v>167</v>
      </c>
      <c r="S5" s="13" t="s">
        <v>163</v>
      </c>
      <c r="T5" s="19" t="s">
        <v>168</v>
      </c>
      <c r="U5" s="13" t="s">
        <v>169</v>
      </c>
      <c r="V5" s="19"/>
      <c r="W5" s="19"/>
      <c r="X5" s="19"/>
      <c r="Y5" s="19"/>
      <c r="Z5" s="19"/>
      <c r="AA5" s="19"/>
      <c r="AB5" s="19" t="s">
        <v>170</v>
      </c>
      <c r="AC5" s="19"/>
      <c r="AD5" s="13" t="s">
        <v>160</v>
      </c>
      <c r="AG5" s="19"/>
      <c r="AI5" s="19"/>
      <c r="AJ5" s="20"/>
      <c r="AL5" s="19" t="s">
        <v>168</v>
      </c>
      <c r="AM5" s="24">
        <v>389846.04</v>
      </c>
      <c r="BU5" s="19" t="s">
        <v>168</v>
      </c>
      <c r="BX5" s="24">
        <v>320317.99</v>
      </c>
      <c r="BY5" s="24">
        <v>261495.55</v>
      </c>
      <c r="BZ5" s="27">
        <v>320318</v>
      </c>
      <c r="CA5" s="24">
        <v>259989.77</v>
      </c>
      <c r="CB5" s="24">
        <v>323422.78999999998</v>
      </c>
      <c r="CC5" s="24">
        <v>258060.29</v>
      </c>
      <c r="CD5" s="24">
        <v>323422.78999999998</v>
      </c>
      <c r="CE5" s="24">
        <v>272040.53999999998</v>
      </c>
      <c r="CF5" s="24">
        <v>320318</v>
      </c>
      <c r="CG5" s="24">
        <v>272802.46999999997</v>
      </c>
      <c r="CH5" s="24">
        <v>320318</v>
      </c>
      <c r="CI5" s="24">
        <v>261177.29</v>
      </c>
      <c r="CJ5" s="24">
        <v>320318</v>
      </c>
      <c r="CK5" s="24">
        <v>220420.68</v>
      </c>
      <c r="CL5" s="24">
        <v>310024</v>
      </c>
      <c r="CM5" s="24">
        <v>15144.22</v>
      </c>
      <c r="CN5" s="24">
        <f t="shared" si="7"/>
        <v>325168.21999999997</v>
      </c>
      <c r="CO5" s="24">
        <v>263752.78999999998</v>
      </c>
      <c r="CP5" s="24">
        <v>310024.46000000002</v>
      </c>
      <c r="CQ5" s="24">
        <v>15144.22</v>
      </c>
      <c r="CR5" s="24">
        <f t="shared" si="8"/>
        <v>325168.68</v>
      </c>
      <c r="CS5" s="24">
        <v>274317.43</v>
      </c>
      <c r="CT5" s="24">
        <v>310024.46000000002</v>
      </c>
      <c r="CU5" s="24">
        <v>15144.22</v>
      </c>
      <c r="CV5" s="24">
        <f t="shared" si="9"/>
        <v>325168.68</v>
      </c>
      <c r="CW5" s="24">
        <v>262343.58</v>
      </c>
      <c r="CX5" s="24">
        <v>310024.46000000002</v>
      </c>
      <c r="CY5" s="24">
        <v>15144.22</v>
      </c>
      <c r="CZ5" s="24">
        <f t="shared" si="10"/>
        <v>325168.68</v>
      </c>
      <c r="DA5" s="27">
        <v>265220.46999999997</v>
      </c>
      <c r="DB5" s="24">
        <v>310024.46000000002</v>
      </c>
      <c r="DC5" s="24">
        <v>15144.22</v>
      </c>
      <c r="DD5" s="24">
        <f t="shared" si="11"/>
        <v>325168.68</v>
      </c>
      <c r="DE5" s="24">
        <v>267128.63</v>
      </c>
      <c r="DJ5" s="19" t="s">
        <v>168</v>
      </c>
      <c r="DK5" s="24">
        <v>389846.04</v>
      </c>
      <c r="DL5" s="24">
        <v>278020.71000000002</v>
      </c>
      <c r="DM5" s="24">
        <v>389846.04</v>
      </c>
      <c r="DN5" s="24">
        <v>315884.74</v>
      </c>
      <c r="DO5" s="24">
        <v>389846.04</v>
      </c>
      <c r="DP5" s="28">
        <v>316115.11</v>
      </c>
      <c r="DQ5" s="24">
        <v>389846.04</v>
      </c>
      <c r="DR5" s="24"/>
      <c r="DS5" s="25">
        <f t="shared" si="4"/>
        <v>71.315514709345265</v>
      </c>
      <c r="DT5" s="25">
        <f t="shared" si="5"/>
        <v>81.028074570155951</v>
      </c>
      <c r="DU5" s="25">
        <f t="shared" si="6"/>
        <v>81.087167128849131</v>
      </c>
      <c r="DV5" s="24"/>
      <c r="DW5" s="25"/>
    </row>
    <row r="6" spans="1:127" s="13" customFormat="1" ht="15.95" customHeight="1" x14ac:dyDescent="0.2">
      <c r="A6" s="13" t="s">
        <v>143</v>
      </c>
      <c r="B6" s="26" t="s">
        <v>144</v>
      </c>
      <c r="C6" s="13" t="s">
        <v>145</v>
      </c>
      <c r="D6" s="26" t="s">
        <v>146</v>
      </c>
      <c r="E6" s="13" t="s">
        <v>147</v>
      </c>
      <c r="G6" s="13" t="s">
        <v>148</v>
      </c>
      <c r="H6" s="26" t="s">
        <v>149</v>
      </c>
      <c r="I6" s="13" t="s">
        <v>150</v>
      </c>
      <c r="J6" s="19" t="s">
        <v>151</v>
      </c>
      <c r="K6" s="26" t="s">
        <v>152</v>
      </c>
      <c r="L6" s="13" t="s">
        <v>153</v>
      </c>
      <c r="M6" s="14" t="s">
        <v>134</v>
      </c>
      <c r="N6" s="14" t="s">
        <v>133</v>
      </c>
      <c r="O6" s="19">
        <v>1</v>
      </c>
      <c r="Q6" s="14" t="s">
        <v>171</v>
      </c>
      <c r="R6" s="30" t="s">
        <v>172</v>
      </c>
      <c r="S6" s="30" t="s">
        <v>163</v>
      </c>
      <c r="T6" s="31" t="s">
        <v>173</v>
      </c>
      <c r="U6" s="30" t="s">
        <v>174</v>
      </c>
      <c r="V6" s="19"/>
      <c r="W6" s="19"/>
      <c r="X6" s="19"/>
      <c r="Y6" s="19"/>
      <c r="Z6" s="19"/>
      <c r="AA6" s="19"/>
      <c r="AB6" s="19" t="s">
        <v>159</v>
      </c>
      <c r="AC6" s="19"/>
      <c r="AD6" s="13" t="s">
        <v>160</v>
      </c>
      <c r="AG6" s="19"/>
      <c r="AI6" s="19"/>
      <c r="AJ6" s="20"/>
      <c r="AL6" s="19" t="s">
        <v>173</v>
      </c>
      <c r="AM6" s="24">
        <v>451685.58</v>
      </c>
      <c r="BU6" s="19" t="s">
        <v>173</v>
      </c>
      <c r="BX6" s="24">
        <v>374577.12</v>
      </c>
      <c r="BY6" s="24">
        <v>211345.81999999998</v>
      </c>
      <c r="BZ6" s="27">
        <v>374577</v>
      </c>
      <c r="CA6" s="24">
        <v>214807.16</v>
      </c>
      <c r="CB6" s="24">
        <v>376610.02</v>
      </c>
      <c r="CC6" s="24">
        <v>253364.33</v>
      </c>
      <c r="CD6" s="24">
        <v>376610.02</v>
      </c>
      <c r="CE6" s="24">
        <v>267085.81</v>
      </c>
      <c r="CF6" s="24">
        <v>374577</v>
      </c>
      <c r="CG6" s="24">
        <v>261795.22</v>
      </c>
      <c r="CH6" s="24">
        <v>374577</v>
      </c>
      <c r="CI6" s="24">
        <v>260320.41</v>
      </c>
      <c r="CJ6" s="24">
        <v>374577</v>
      </c>
      <c r="CK6" s="24">
        <v>235899.03</v>
      </c>
      <c r="CL6" s="24">
        <v>369873</v>
      </c>
      <c r="CM6" s="24">
        <v>6874.51</v>
      </c>
      <c r="CN6" s="24">
        <f t="shared" si="7"/>
        <v>376747.51</v>
      </c>
      <c r="CO6" s="24">
        <v>246615.33</v>
      </c>
      <c r="CP6" s="24">
        <v>369872.52</v>
      </c>
      <c r="CQ6" s="24">
        <v>6874.51</v>
      </c>
      <c r="CR6" s="24">
        <f t="shared" si="8"/>
        <v>376747.03</v>
      </c>
      <c r="CS6" s="24">
        <v>260808.98</v>
      </c>
      <c r="CT6" s="24">
        <v>369872.52</v>
      </c>
      <c r="CU6" s="24">
        <v>6874.51</v>
      </c>
      <c r="CV6" s="24">
        <f t="shared" si="9"/>
        <v>376747.03</v>
      </c>
      <c r="CW6" s="24">
        <v>264506.56</v>
      </c>
      <c r="CX6" s="24">
        <v>369872.52</v>
      </c>
      <c r="CY6" s="24">
        <v>6874.51</v>
      </c>
      <c r="CZ6" s="24">
        <f t="shared" si="10"/>
        <v>376747.03</v>
      </c>
      <c r="DA6" s="27">
        <v>265724.56</v>
      </c>
      <c r="DB6" s="24">
        <v>369872.52</v>
      </c>
      <c r="DC6" s="24">
        <v>6874.51</v>
      </c>
      <c r="DD6" s="24">
        <f t="shared" si="11"/>
        <v>376747.03</v>
      </c>
      <c r="DE6" s="24">
        <v>238653.31</v>
      </c>
      <c r="DJ6" s="19" t="s">
        <v>173</v>
      </c>
      <c r="DK6" s="24">
        <v>451685.58</v>
      </c>
      <c r="DL6" s="24">
        <v>248468.35</v>
      </c>
      <c r="DM6" s="24">
        <v>451685.58</v>
      </c>
      <c r="DN6" s="24">
        <v>250005.93</v>
      </c>
      <c r="DO6" s="24">
        <v>451685.58</v>
      </c>
      <c r="DP6" s="28">
        <v>243215.73</v>
      </c>
      <c r="DQ6" s="24">
        <v>451685.58</v>
      </c>
      <c r="DR6" s="24"/>
      <c r="DS6" s="25">
        <f t="shared" si="4"/>
        <v>55.009139322092146</v>
      </c>
      <c r="DT6" s="25">
        <f t="shared" si="5"/>
        <v>55.349548683843295</v>
      </c>
      <c r="DU6" s="25">
        <f t="shared" si="6"/>
        <v>53.846246320283242</v>
      </c>
      <c r="DV6" s="24"/>
      <c r="DW6" s="25"/>
    </row>
    <row r="7" spans="1:127" s="13" customFormat="1" ht="15.95" customHeight="1" x14ac:dyDescent="0.2">
      <c r="A7" s="13" t="s">
        <v>143</v>
      </c>
      <c r="B7" s="26" t="s">
        <v>144</v>
      </c>
      <c r="C7" s="13" t="s">
        <v>145</v>
      </c>
      <c r="D7" s="26" t="s">
        <v>146</v>
      </c>
      <c r="E7" s="13" t="s">
        <v>147</v>
      </c>
      <c r="G7" s="13" t="s">
        <v>148</v>
      </c>
      <c r="H7" s="26" t="s">
        <v>149</v>
      </c>
      <c r="I7" s="13" t="s">
        <v>150</v>
      </c>
      <c r="J7" s="19" t="s">
        <v>151</v>
      </c>
      <c r="K7" s="26" t="s">
        <v>152</v>
      </c>
      <c r="L7" s="13" t="s">
        <v>153</v>
      </c>
      <c r="M7" s="14" t="s">
        <v>134</v>
      </c>
      <c r="N7" s="14" t="s">
        <v>133</v>
      </c>
      <c r="O7" s="19">
        <v>1</v>
      </c>
      <c r="Q7" s="14" t="s">
        <v>175</v>
      </c>
      <c r="R7" s="30" t="s">
        <v>176</v>
      </c>
      <c r="S7" s="30" t="s">
        <v>177</v>
      </c>
      <c r="T7" s="31" t="s">
        <v>178</v>
      </c>
      <c r="U7" s="30" t="s">
        <v>174</v>
      </c>
      <c r="V7" s="19"/>
      <c r="W7" s="19"/>
      <c r="X7" s="19"/>
      <c r="Y7" s="19"/>
      <c r="Z7" s="19"/>
      <c r="AA7" s="19"/>
      <c r="AB7" s="19" t="s">
        <v>165</v>
      </c>
      <c r="AC7" s="19"/>
      <c r="AD7" s="13" t="s">
        <v>160</v>
      </c>
      <c r="AG7" s="19"/>
      <c r="AI7" s="19"/>
      <c r="AJ7" s="20"/>
      <c r="AL7" s="19" t="s">
        <v>178</v>
      </c>
      <c r="AM7" s="24">
        <v>475687.2</v>
      </c>
      <c r="BU7" s="19" t="s">
        <v>178</v>
      </c>
      <c r="BX7" s="24">
        <v>390305.9</v>
      </c>
      <c r="BY7" s="24">
        <v>217184.35</v>
      </c>
      <c r="BZ7" s="27">
        <v>390306</v>
      </c>
      <c r="CA7" s="24">
        <v>262609.38</v>
      </c>
      <c r="CB7" s="24">
        <v>391496.6</v>
      </c>
      <c r="CC7" s="24">
        <v>256339.49</v>
      </c>
      <c r="CD7" s="24">
        <v>391496.6</v>
      </c>
      <c r="CE7" s="24">
        <v>269280.01</v>
      </c>
      <c r="CF7" s="24">
        <v>390306</v>
      </c>
      <c r="CG7" s="24">
        <v>274711.78999999998</v>
      </c>
      <c r="CH7" s="24">
        <v>390306</v>
      </c>
      <c r="CI7" s="24">
        <v>272318.65000000002</v>
      </c>
      <c r="CJ7" s="24">
        <v>390306</v>
      </c>
      <c r="CK7" s="24">
        <v>263506.89</v>
      </c>
      <c r="CL7" s="24">
        <v>377221</v>
      </c>
      <c r="CM7" s="24">
        <v>19546.009999999998</v>
      </c>
      <c r="CN7" s="24">
        <f t="shared" si="7"/>
        <v>396767.01</v>
      </c>
      <c r="CO7" s="24">
        <v>275272.05</v>
      </c>
      <c r="CP7" s="24">
        <v>377220.73</v>
      </c>
      <c r="CQ7" s="24">
        <v>19546.009999999998</v>
      </c>
      <c r="CR7" s="24">
        <f t="shared" si="8"/>
        <v>396766.74</v>
      </c>
      <c r="CS7" s="24">
        <v>275818.26</v>
      </c>
      <c r="CT7" s="24">
        <v>377220.73</v>
      </c>
      <c r="CU7" s="24">
        <v>19546.009999999998</v>
      </c>
      <c r="CV7" s="24">
        <f t="shared" si="9"/>
        <v>396766.74</v>
      </c>
      <c r="CW7" s="24">
        <v>290471.89</v>
      </c>
      <c r="CX7" s="24">
        <v>377220.73</v>
      </c>
      <c r="CY7" s="24">
        <v>19546.009999999998</v>
      </c>
      <c r="CZ7" s="24">
        <f t="shared" si="10"/>
        <v>396766.74</v>
      </c>
      <c r="DA7" s="27">
        <v>284484.57</v>
      </c>
      <c r="DB7" s="24">
        <v>377220.73</v>
      </c>
      <c r="DC7" s="24">
        <v>19546.009999999998</v>
      </c>
      <c r="DD7" s="24">
        <f t="shared" si="11"/>
        <v>396766.74</v>
      </c>
      <c r="DE7" s="24">
        <v>278143.84999999998</v>
      </c>
      <c r="DJ7" s="19" t="s">
        <v>178</v>
      </c>
      <c r="DK7" s="24">
        <v>475687.2</v>
      </c>
      <c r="DL7" s="24">
        <v>282049.36</v>
      </c>
      <c r="DM7" s="24">
        <v>475687.2</v>
      </c>
      <c r="DN7" s="24">
        <v>290043.12</v>
      </c>
      <c r="DO7" s="24">
        <v>475687.2</v>
      </c>
      <c r="DP7" s="28">
        <v>291462.93</v>
      </c>
      <c r="DQ7" s="24">
        <v>475687.2</v>
      </c>
      <c r="DR7" s="24"/>
      <c r="DS7" s="25">
        <f t="shared" si="4"/>
        <v>59.293031218834557</v>
      </c>
      <c r="DT7" s="25">
        <f t="shared" si="5"/>
        <v>60.973496869371303</v>
      </c>
      <c r="DU7" s="25">
        <f t="shared" si="6"/>
        <v>61.27197242221358</v>
      </c>
      <c r="DV7" s="24"/>
      <c r="DW7" s="25"/>
    </row>
    <row r="8" spans="1:127" s="13" customFormat="1" ht="15.95" customHeight="1" x14ac:dyDescent="0.2">
      <c r="A8" s="13" t="s">
        <v>143</v>
      </c>
      <c r="B8" s="26" t="s">
        <v>144</v>
      </c>
      <c r="C8" s="13" t="s">
        <v>145</v>
      </c>
      <c r="D8" s="26" t="s">
        <v>146</v>
      </c>
      <c r="E8" s="13" t="s">
        <v>147</v>
      </c>
      <c r="G8" s="13" t="s">
        <v>148</v>
      </c>
      <c r="H8" s="26" t="s">
        <v>149</v>
      </c>
      <c r="I8" s="13" t="s">
        <v>150</v>
      </c>
      <c r="J8" s="19" t="s">
        <v>151</v>
      </c>
      <c r="K8" s="26" t="s">
        <v>152</v>
      </c>
      <c r="L8" s="13" t="s">
        <v>153</v>
      </c>
      <c r="M8" s="14" t="s">
        <v>134</v>
      </c>
      <c r="N8" s="14" t="s">
        <v>133</v>
      </c>
      <c r="O8" s="19">
        <v>1</v>
      </c>
      <c r="P8" s="19"/>
      <c r="Q8" s="14" t="s">
        <v>179</v>
      </c>
      <c r="R8" s="30" t="s">
        <v>180</v>
      </c>
      <c r="S8" s="30" t="s">
        <v>177</v>
      </c>
      <c r="T8" s="31" t="s">
        <v>181</v>
      </c>
      <c r="U8" s="30" t="s">
        <v>182</v>
      </c>
      <c r="V8" s="19"/>
      <c r="W8" s="19"/>
      <c r="X8" s="19"/>
      <c r="Y8" s="19"/>
      <c r="Z8" s="19"/>
      <c r="AA8" s="19"/>
      <c r="AB8" s="19" t="s">
        <v>170</v>
      </c>
      <c r="AC8" s="19"/>
      <c r="AD8" s="13" t="s">
        <v>160</v>
      </c>
      <c r="AG8" s="19"/>
      <c r="AI8" s="19"/>
      <c r="AJ8" s="20"/>
      <c r="AL8" s="19" t="s">
        <v>181</v>
      </c>
      <c r="AM8" s="24">
        <v>721741.8</v>
      </c>
      <c r="BE8" s="14" t="s">
        <v>183</v>
      </c>
      <c r="BF8" s="13" t="s">
        <v>184</v>
      </c>
      <c r="BU8" s="19" t="s">
        <v>181</v>
      </c>
      <c r="BX8" s="24">
        <v>389653.05</v>
      </c>
      <c r="BY8" s="24">
        <v>336102.73</v>
      </c>
      <c r="BZ8" s="27">
        <v>420356</v>
      </c>
      <c r="CA8" s="24">
        <v>392342.63</v>
      </c>
      <c r="CB8" s="24">
        <v>391685.95</v>
      </c>
      <c r="CC8" s="24">
        <v>327917.78000000003</v>
      </c>
      <c r="CD8" s="24">
        <v>391685.95</v>
      </c>
      <c r="CE8" s="24">
        <v>322626.82</v>
      </c>
      <c r="CF8" s="24">
        <v>389653</v>
      </c>
      <c r="CG8" s="24">
        <v>320875.26</v>
      </c>
      <c r="CH8" s="24">
        <v>389653</v>
      </c>
      <c r="CI8" s="24">
        <v>319459.03999999998</v>
      </c>
      <c r="CJ8" s="24">
        <v>389653</v>
      </c>
      <c r="CK8" s="24">
        <v>85583.64</v>
      </c>
      <c r="CL8" s="24">
        <v>380573</v>
      </c>
      <c r="CM8" s="24">
        <v>13460.16</v>
      </c>
      <c r="CN8" s="24">
        <f t="shared" si="7"/>
        <v>394033.16</v>
      </c>
      <c r="CO8" s="24">
        <v>147520.37</v>
      </c>
      <c r="CP8" s="24">
        <v>380572.97</v>
      </c>
      <c r="CQ8" s="24">
        <v>13460.16</v>
      </c>
      <c r="CR8" s="24">
        <f t="shared" si="8"/>
        <v>394033.12999999995</v>
      </c>
      <c r="CS8" s="24">
        <v>215966.66</v>
      </c>
      <c r="CT8" s="24">
        <v>380572.97</v>
      </c>
      <c r="CU8" s="24">
        <v>13460.16</v>
      </c>
      <c r="CV8" s="24">
        <f t="shared" si="9"/>
        <v>394033.12999999995</v>
      </c>
      <c r="CW8" s="24">
        <v>191991.23</v>
      </c>
      <c r="CX8" s="24">
        <v>579422.01</v>
      </c>
      <c r="CY8" s="24">
        <v>22578.370000000003</v>
      </c>
      <c r="CZ8" s="24">
        <f t="shared" si="10"/>
        <v>602000.38</v>
      </c>
      <c r="DA8" s="27">
        <v>457281.18</v>
      </c>
      <c r="DB8" s="24">
        <v>579422.01</v>
      </c>
      <c r="DC8" s="24">
        <v>22578.370000000003</v>
      </c>
      <c r="DD8" s="24">
        <f t="shared" si="11"/>
        <v>602000.38</v>
      </c>
      <c r="DE8" s="24">
        <v>450978.03</v>
      </c>
      <c r="DJ8" s="19" t="s">
        <v>181</v>
      </c>
      <c r="DK8" s="24">
        <v>721741.8</v>
      </c>
      <c r="DL8" s="24">
        <v>520684.37</v>
      </c>
      <c r="DM8" s="24">
        <v>721741.8</v>
      </c>
      <c r="DN8" s="24">
        <v>313330.69</v>
      </c>
      <c r="DO8" s="24">
        <v>721741.8</v>
      </c>
      <c r="DP8" s="28">
        <v>354258.84</v>
      </c>
      <c r="DQ8" s="24">
        <v>721741.8</v>
      </c>
      <c r="DR8" s="24"/>
      <c r="DS8" s="25">
        <f t="shared" si="4"/>
        <v>72.142748279232265</v>
      </c>
      <c r="DT8" s="25">
        <f t="shared" si="5"/>
        <v>43.413127797226096</v>
      </c>
      <c r="DU8" s="25">
        <f t="shared" si="6"/>
        <v>49.08387459337952</v>
      </c>
      <c r="DV8" s="24"/>
      <c r="DW8" s="25"/>
    </row>
    <row r="9" spans="1:127" s="13" customFormat="1" ht="15.95" customHeight="1" x14ac:dyDescent="0.2">
      <c r="A9" s="13" t="s">
        <v>143</v>
      </c>
      <c r="B9" s="26" t="s">
        <v>144</v>
      </c>
      <c r="C9" s="13" t="s">
        <v>145</v>
      </c>
      <c r="D9" s="26" t="s">
        <v>146</v>
      </c>
      <c r="E9" s="13" t="s">
        <v>147</v>
      </c>
      <c r="G9" s="13" t="s">
        <v>148</v>
      </c>
      <c r="H9" s="26" t="s">
        <v>149</v>
      </c>
      <c r="I9" s="13" t="s">
        <v>150</v>
      </c>
      <c r="J9" s="19" t="s">
        <v>151</v>
      </c>
      <c r="K9" s="26" t="s">
        <v>152</v>
      </c>
      <c r="L9" s="13" t="s">
        <v>153</v>
      </c>
      <c r="M9" s="14" t="s">
        <v>134</v>
      </c>
      <c r="N9" s="14" t="s">
        <v>133</v>
      </c>
      <c r="O9" s="19">
        <v>1</v>
      </c>
      <c r="Q9" s="14" t="s">
        <v>185</v>
      </c>
      <c r="R9" s="13" t="s">
        <v>186</v>
      </c>
      <c r="S9" s="13" t="s">
        <v>163</v>
      </c>
      <c r="T9" s="19" t="s">
        <v>187</v>
      </c>
      <c r="U9" s="13" t="s">
        <v>188</v>
      </c>
      <c r="V9" s="19"/>
      <c r="W9" s="19"/>
      <c r="X9" s="19"/>
      <c r="Y9" s="19"/>
      <c r="Z9" s="19"/>
      <c r="AA9" s="19"/>
      <c r="AB9" s="19" t="s">
        <v>159</v>
      </c>
      <c r="AC9" s="19"/>
      <c r="AD9" s="13" t="s">
        <v>160</v>
      </c>
      <c r="AE9" s="13" t="s">
        <v>70</v>
      </c>
      <c r="AG9" s="19"/>
      <c r="AI9" s="19"/>
      <c r="AJ9" s="20"/>
      <c r="AL9" s="19" t="s">
        <v>187</v>
      </c>
      <c r="AM9" s="24">
        <v>532817.4</v>
      </c>
      <c r="BU9" s="19" t="s">
        <v>187</v>
      </c>
      <c r="BX9" s="24">
        <v>359856.36</v>
      </c>
      <c r="BY9" s="24">
        <v>166845.18</v>
      </c>
      <c r="BZ9" s="27">
        <v>359856</v>
      </c>
      <c r="CA9" s="24">
        <v>114099.85</v>
      </c>
      <c r="CB9" s="24">
        <v>361889.26</v>
      </c>
      <c r="CC9" s="24">
        <v>192819.3</v>
      </c>
      <c r="CD9" s="24">
        <v>361889.26</v>
      </c>
      <c r="CE9" s="24">
        <v>192266.77</v>
      </c>
      <c r="CF9" s="24">
        <v>359856</v>
      </c>
      <c r="CG9" s="24">
        <v>215554.58</v>
      </c>
      <c r="CH9" s="24">
        <v>359856</v>
      </c>
      <c r="CI9" s="24">
        <v>214385.34</v>
      </c>
      <c r="CJ9" s="24">
        <v>359856</v>
      </c>
      <c r="CK9" s="24">
        <v>199431.25</v>
      </c>
      <c r="CL9" s="24">
        <v>353139</v>
      </c>
      <c r="CM9" s="24">
        <v>9962.89</v>
      </c>
      <c r="CN9" s="24">
        <f t="shared" si="7"/>
        <v>363101.89</v>
      </c>
      <c r="CO9" s="24">
        <v>210731.73</v>
      </c>
      <c r="CP9" s="24">
        <v>353139.09</v>
      </c>
      <c r="CQ9" s="24">
        <v>9962.89</v>
      </c>
      <c r="CR9" s="24">
        <f t="shared" si="8"/>
        <v>363101.98000000004</v>
      </c>
      <c r="CS9" s="24">
        <v>217271.83</v>
      </c>
      <c r="CT9" s="24">
        <v>353139.09</v>
      </c>
      <c r="CU9" s="24">
        <v>9962.89</v>
      </c>
      <c r="CV9" s="24">
        <f t="shared" si="9"/>
        <v>363101.98000000004</v>
      </c>
      <c r="CW9" s="24">
        <v>268133.75</v>
      </c>
      <c r="CX9" s="24">
        <v>434456</v>
      </c>
      <c r="CY9" s="24">
        <v>9962.89</v>
      </c>
      <c r="CZ9" s="24">
        <f t="shared" si="10"/>
        <v>444418.89</v>
      </c>
      <c r="DA9" s="27">
        <v>264898.62</v>
      </c>
      <c r="DB9" s="24">
        <v>434456</v>
      </c>
      <c r="DC9" s="24">
        <v>9962.89</v>
      </c>
      <c r="DD9" s="24">
        <f t="shared" si="11"/>
        <v>444418.89</v>
      </c>
      <c r="DE9" s="24">
        <v>264330.67</v>
      </c>
      <c r="DJ9" s="19" t="s">
        <v>187</v>
      </c>
      <c r="DK9" s="24">
        <v>532817.4</v>
      </c>
      <c r="DL9" s="24">
        <v>250502.03</v>
      </c>
      <c r="DM9" s="24">
        <v>532817.4</v>
      </c>
      <c r="DN9" s="24">
        <v>266937.58</v>
      </c>
      <c r="DO9" s="24">
        <v>532817.4</v>
      </c>
      <c r="DP9" s="28">
        <v>285071.68</v>
      </c>
      <c r="DQ9" s="24">
        <v>532817.4</v>
      </c>
      <c r="DR9" s="24"/>
      <c r="DS9" s="25">
        <f t="shared" si="4"/>
        <v>47.014611384688259</v>
      </c>
      <c r="DT9" s="25">
        <f t="shared" si="5"/>
        <v>50.099261022631772</v>
      </c>
      <c r="DU9" s="25">
        <f t="shared" si="6"/>
        <v>53.502697171676452</v>
      </c>
      <c r="DV9" s="24"/>
      <c r="DW9" s="25"/>
    </row>
    <row r="10" spans="1:127" s="13" customFormat="1" ht="15.95" customHeight="1" x14ac:dyDescent="0.2">
      <c r="A10" s="13" t="s">
        <v>143</v>
      </c>
      <c r="B10" s="26" t="s">
        <v>144</v>
      </c>
      <c r="C10" s="13" t="s">
        <v>145</v>
      </c>
      <c r="D10" s="26" t="s">
        <v>146</v>
      </c>
      <c r="E10" s="13" t="s">
        <v>147</v>
      </c>
      <c r="G10" s="13" t="s">
        <v>148</v>
      </c>
      <c r="H10" s="26" t="s">
        <v>149</v>
      </c>
      <c r="I10" s="13" t="s">
        <v>150</v>
      </c>
      <c r="J10" s="19" t="s">
        <v>151</v>
      </c>
      <c r="K10" s="26" t="s">
        <v>152</v>
      </c>
      <c r="L10" s="13" t="s">
        <v>153</v>
      </c>
      <c r="M10" s="14" t="s">
        <v>134</v>
      </c>
      <c r="N10" s="14" t="s">
        <v>133</v>
      </c>
      <c r="O10" s="19">
        <v>1</v>
      </c>
      <c r="Q10" s="14" t="s">
        <v>189</v>
      </c>
      <c r="R10" s="13" t="s">
        <v>190</v>
      </c>
      <c r="S10" s="13" t="s">
        <v>177</v>
      </c>
      <c r="T10" s="19" t="s">
        <v>191</v>
      </c>
      <c r="U10" s="13" t="s">
        <v>188</v>
      </c>
      <c r="V10" s="19"/>
      <c r="W10" s="19"/>
      <c r="X10" s="19"/>
      <c r="Y10" s="19"/>
      <c r="Z10" s="19"/>
      <c r="AA10" s="19"/>
      <c r="AB10" s="19" t="s">
        <v>165</v>
      </c>
      <c r="AC10" s="19"/>
      <c r="AD10" s="13" t="s">
        <v>160</v>
      </c>
      <c r="AE10" s="13" t="s">
        <v>70</v>
      </c>
      <c r="AG10" s="19"/>
      <c r="AI10" s="19"/>
      <c r="AJ10" s="20"/>
      <c r="AL10" s="19" t="s">
        <v>191</v>
      </c>
      <c r="AM10" s="24">
        <v>539499.42000000004</v>
      </c>
      <c r="BU10" s="19" t="s">
        <v>191</v>
      </c>
      <c r="BX10" s="24">
        <v>363264.72</v>
      </c>
      <c r="BY10" s="24">
        <v>203764.2</v>
      </c>
      <c r="BZ10" s="27">
        <v>363265</v>
      </c>
      <c r="CA10" s="24">
        <v>227018.38</v>
      </c>
      <c r="CB10" s="24">
        <v>364455.42</v>
      </c>
      <c r="CC10" s="24">
        <v>254839.96</v>
      </c>
      <c r="CD10" s="24">
        <v>364455.42</v>
      </c>
      <c r="CE10" s="24">
        <v>209768.89</v>
      </c>
      <c r="CF10" s="24">
        <v>363265</v>
      </c>
      <c r="CG10" s="24">
        <v>226587.79</v>
      </c>
      <c r="CH10" s="24">
        <v>363265</v>
      </c>
      <c r="CI10" s="24">
        <v>222145.56</v>
      </c>
      <c r="CJ10" s="24">
        <v>363265</v>
      </c>
      <c r="CK10" s="24">
        <v>198127.61</v>
      </c>
      <c r="CL10" s="24">
        <v>352150</v>
      </c>
      <c r="CM10" s="24">
        <v>16526.48</v>
      </c>
      <c r="CN10" s="24">
        <f t="shared" si="7"/>
        <v>368676.48</v>
      </c>
      <c r="CO10" s="24">
        <v>206900.87</v>
      </c>
      <c r="CP10" s="24">
        <v>352150.22</v>
      </c>
      <c r="CQ10" s="24">
        <v>16526.48</v>
      </c>
      <c r="CR10" s="24">
        <f t="shared" si="8"/>
        <v>368676.69999999995</v>
      </c>
      <c r="CS10" s="24">
        <v>199232.22</v>
      </c>
      <c r="CT10" s="24">
        <v>352150.22</v>
      </c>
      <c r="CU10" s="24">
        <v>16526.48</v>
      </c>
      <c r="CV10" s="24">
        <f t="shared" si="9"/>
        <v>368676.69999999995</v>
      </c>
      <c r="CW10" s="24">
        <v>249185.27</v>
      </c>
      <c r="CX10" s="24">
        <v>433467</v>
      </c>
      <c r="CY10" s="24">
        <v>16526.48</v>
      </c>
      <c r="CZ10" s="24">
        <f t="shared" si="10"/>
        <v>449993.48</v>
      </c>
      <c r="DA10" s="27">
        <v>261334.41</v>
      </c>
      <c r="DB10" s="24">
        <v>433467</v>
      </c>
      <c r="DC10" s="24">
        <v>16526.48</v>
      </c>
      <c r="DD10" s="24">
        <f t="shared" si="11"/>
        <v>449993.48</v>
      </c>
      <c r="DE10" s="24">
        <v>256570.78</v>
      </c>
      <c r="DJ10" s="19" t="s">
        <v>191</v>
      </c>
      <c r="DK10" s="24">
        <v>539499.42000000004</v>
      </c>
      <c r="DL10" s="24">
        <v>240270.01</v>
      </c>
      <c r="DM10" s="24">
        <v>539499.42000000004</v>
      </c>
      <c r="DN10" s="24">
        <v>251017.99</v>
      </c>
      <c r="DO10" s="24">
        <v>539499.42000000004</v>
      </c>
      <c r="DP10" s="28">
        <v>271006.37</v>
      </c>
      <c r="DQ10" s="24">
        <v>539499.42000000004</v>
      </c>
      <c r="DR10" s="24"/>
      <c r="DS10" s="25">
        <f t="shared" si="4"/>
        <v>44.535730918858071</v>
      </c>
      <c r="DT10" s="25">
        <f t="shared" si="5"/>
        <v>46.527944367391527</v>
      </c>
      <c r="DU10" s="25">
        <f t="shared" si="6"/>
        <v>50.232930741612279</v>
      </c>
      <c r="DV10" s="24"/>
      <c r="DW10" s="25"/>
    </row>
    <row r="11" spans="1:127" s="13" customFormat="1" ht="15.95" customHeight="1" x14ac:dyDescent="0.2">
      <c r="A11" s="13" t="s">
        <v>143</v>
      </c>
      <c r="B11" s="26" t="s">
        <v>144</v>
      </c>
      <c r="C11" s="13" t="s">
        <v>145</v>
      </c>
      <c r="D11" s="26" t="s">
        <v>146</v>
      </c>
      <c r="E11" s="13" t="s">
        <v>147</v>
      </c>
      <c r="G11" s="13" t="s">
        <v>148</v>
      </c>
      <c r="H11" s="26" t="s">
        <v>149</v>
      </c>
      <c r="I11" s="13" t="s">
        <v>150</v>
      </c>
      <c r="J11" s="19" t="s">
        <v>151</v>
      </c>
      <c r="K11" s="26" t="s">
        <v>152</v>
      </c>
      <c r="L11" s="13" t="s">
        <v>153</v>
      </c>
      <c r="M11" s="14" t="s">
        <v>134</v>
      </c>
      <c r="N11" s="14" t="s">
        <v>133</v>
      </c>
      <c r="O11" s="19">
        <v>1</v>
      </c>
      <c r="Q11" s="14">
        <v>26334</v>
      </c>
      <c r="R11" s="13" t="s">
        <v>192</v>
      </c>
      <c r="S11" s="13" t="s">
        <v>177</v>
      </c>
      <c r="T11" s="19" t="s">
        <v>193</v>
      </c>
      <c r="U11" s="13" t="s">
        <v>194</v>
      </c>
      <c r="V11" s="19"/>
      <c r="W11" s="19"/>
      <c r="X11" s="19"/>
      <c r="Y11" s="19"/>
      <c r="Z11" s="19"/>
      <c r="AA11" s="19"/>
      <c r="AB11" s="19" t="s">
        <v>195</v>
      </c>
      <c r="AC11" s="19"/>
      <c r="AD11" s="13" t="s">
        <v>160</v>
      </c>
      <c r="AG11" s="19" t="s">
        <v>196</v>
      </c>
      <c r="AI11" s="19" t="s">
        <v>195</v>
      </c>
      <c r="AJ11" s="20"/>
      <c r="AL11" s="19" t="s">
        <v>193</v>
      </c>
      <c r="AM11" s="24">
        <v>431670.12</v>
      </c>
      <c r="AW11" s="19" t="s">
        <v>197</v>
      </c>
      <c r="AX11" s="13" t="s">
        <v>198</v>
      </c>
      <c r="BU11" s="19" t="s">
        <v>193</v>
      </c>
      <c r="BX11" s="24">
        <v>300053.21999999997</v>
      </c>
      <c r="BY11" s="24">
        <v>205205.17</v>
      </c>
      <c r="BZ11" s="27">
        <v>300053</v>
      </c>
      <c r="CA11" s="24">
        <v>246062.76</v>
      </c>
      <c r="CB11" s="24">
        <v>300053.21999999997</v>
      </c>
      <c r="CC11" s="24">
        <v>269988.13</v>
      </c>
      <c r="CD11" s="24">
        <v>300053.21999999997</v>
      </c>
      <c r="CE11" s="24">
        <v>250100.04</v>
      </c>
      <c r="CF11" s="24">
        <v>300053</v>
      </c>
      <c r="CG11" s="24">
        <v>240298.52</v>
      </c>
      <c r="CH11" s="24">
        <v>300053</v>
      </c>
      <c r="CI11" s="24">
        <v>262739.34999999998</v>
      </c>
      <c r="CJ11" s="24">
        <v>300053</v>
      </c>
      <c r="CK11" s="24">
        <v>269521.05</v>
      </c>
      <c r="CL11" s="24">
        <v>300053</v>
      </c>
      <c r="CM11" s="24">
        <v>0</v>
      </c>
      <c r="CN11" s="24">
        <f t="shared" si="7"/>
        <v>300053</v>
      </c>
      <c r="CO11" s="24">
        <v>153067.04</v>
      </c>
      <c r="CP11" s="24">
        <v>300053</v>
      </c>
      <c r="CQ11" s="24">
        <v>0</v>
      </c>
      <c r="CR11" s="24">
        <f t="shared" si="8"/>
        <v>300053</v>
      </c>
      <c r="CS11" s="24">
        <v>144163.56</v>
      </c>
      <c r="CT11" s="24">
        <v>300053</v>
      </c>
      <c r="CU11" s="24">
        <v>0</v>
      </c>
      <c r="CV11" s="24">
        <f t="shared" si="9"/>
        <v>300053</v>
      </c>
      <c r="CW11" s="24">
        <v>162552.23000000001</v>
      </c>
      <c r="CX11" s="24">
        <v>360055</v>
      </c>
      <c r="CY11" s="24">
        <v>0</v>
      </c>
      <c r="CZ11" s="24">
        <f t="shared" si="10"/>
        <v>360055</v>
      </c>
      <c r="DA11" s="27">
        <v>171297.44</v>
      </c>
      <c r="DB11" s="24">
        <v>360055</v>
      </c>
      <c r="DC11" s="24">
        <v>0</v>
      </c>
      <c r="DD11" s="24">
        <f t="shared" si="11"/>
        <v>360055</v>
      </c>
      <c r="DE11" s="24">
        <v>178413.64</v>
      </c>
      <c r="DJ11" s="19" t="s">
        <v>193</v>
      </c>
      <c r="DK11" s="24">
        <v>431670.12</v>
      </c>
      <c r="DL11" s="24">
        <v>209694.83</v>
      </c>
      <c r="DM11" s="24">
        <v>431670.12</v>
      </c>
      <c r="DN11" s="24">
        <v>215558.65</v>
      </c>
      <c r="DO11" s="24">
        <v>431670.12</v>
      </c>
      <c r="DP11" s="28">
        <v>247580.02</v>
      </c>
      <c r="DQ11" s="24">
        <v>431670.12</v>
      </c>
      <c r="DR11" s="24"/>
      <c r="DS11" s="25">
        <f t="shared" si="4"/>
        <v>48.577564275238693</v>
      </c>
      <c r="DT11" s="25">
        <f t="shared" si="5"/>
        <v>49.935967307628331</v>
      </c>
      <c r="DU11" s="25">
        <f t="shared" si="6"/>
        <v>57.353985955757139</v>
      </c>
      <c r="DV11" s="24"/>
      <c r="DW11" s="25"/>
    </row>
    <row r="12" spans="1:127" s="13" customFormat="1" ht="15.95" customHeight="1" x14ac:dyDescent="0.2">
      <c r="B12" s="26"/>
      <c r="D12" s="26"/>
      <c r="H12" s="26"/>
      <c r="J12" s="19"/>
      <c r="K12" s="26"/>
      <c r="M12" s="14"/>
      <c r="N12" s="14"/>
      <c r="O12" s="19"/>
      <c r="Q12" s="14"/>
      <c r="T12" s="19"/>
      <c r="U12" s="17" t="s">
        <v>199</v>
      </c>
      <c r="V12" s="19"/>
      <c r="W12" s="19"/>
      <c r="X12" s="19"/>
      <c r="Y12" s="19"/>
      <c r="Z12" s="19"/>
      <c r="AA12" s="19"/>
      <c r="AB12" s="19"/>
      <c r="AC12" s="19"/>
      <c r="AG12" s="19"/>
      <c r="AI12" s="19"/>
      <c r="AJ12" s="20"/>
      <c r="AL12" s="19"/>
      <c r="AM12" s="24"/>
      <c r="AW12" s="19"/>
      <c r="BU12" s="19"/>
      <c r="BX12" s="24">
        <v>420355.83</v>
      </c>
      <c r="BY12" s="24">
        <v>353501.82</v>
      </c>
      <c r="BZ12" s="27">
        <v>420356</v>
      </c>
      <c r="CA12" s="24">
        <v>405947.54</v>
      </c>
      <c r="CB12" s="24">
        <v>421546.53</v>
      </c>
      <c r="CC12" s="24">
        <v>352544.37</v>
      </c>
      <c r="CD12" s="24">
        <v>421546.53</v>
      </c>
      <c r="CE12" s="24">
        <v>369003.54</v>
      </c>
      <c r="CF12" s="24">
        <v>420356</v>
      </c>
      <c r="CG12" s="24">
        <v>353019.47</v>
      </c>
      <c r="CH12" s="24">
        <v>420356</v>
      </c>
      <c r="CI12" s="24">
        <v>357223.38</v>
      </c>
      <c r="CJ12" s="24">
        <v>420356</v>
      </c>
      <c r="CK12" s="24">
        <v>131827.79</v>
      </c>
      <c r="CL12" s="24">
        <v>399715</v>
      </c>
      <c r="CM12" s="24">
        <v>30885.62</v>
      </c>
      <c r="CN12" s="24">
        <f t="shared" si="7"/>
        <v>430600.62</v>
      </c>
      <c r="CO12" s="24">
        <v>195875.07</v>
      </c>
      <c r="CP12" s="24">
        <v>399715.3</v>
      </c>
      <c r="CQ12" s="24">
        <v>30885.62</v>
      </c>
      <c r="CR12" s="24">
        <f t="shared" si="8"/>
        <v>430600.92</v>
      </c>
      <c r="CS12" s="24">
        <v>147779.66</v>
      </c>
      <c r="CT12" s="24">
        <v>399715.3</v>
      </c>
      <c r="CU12" s="24">
        <v>30885.62</v>
      </c>
      <c r="CV12" s="24">
        <f t="shared" si="9"/>
        <v>430600.92</v>
      </c>
      <c r="CW12" s="24">
        <v>242176.13</v>
      </c>
      <c r="CX12" s="24"/>
      <c r="CY12" s="24"/>
      <c r="CZ12" s="24"/>
      <c r="DA12" s="27"/>
      <c r="DB12" s="24"/>
      <c r="DC12" s="24"/>
      <c r="DD12" s="24"/>
      <c r="DE12" s="24"/>
      <c r="DJ12" s="19"/>
      <c r="DK12" s="24"/>
      <c r="DL12" s="24"/>
      <c r="DM12" s="24"/>
      <c r="DN12" s="24"/>
      <c r="DO12" s="24"/>
      <c r="DP12" s="28"/>
      <c r="DQ12" s="24"/>
      <c r="DR12" s="24"/>
      <c r="DS12" s="25" t="e">
        <f t="shared" si="4"/>
        <v>#DIV/0!</v>
      </c>
      <c r="DT12" s="25" t="e">
        <f t="shared" si="5"/>
        <v>#DIV/0!</v>
      </c>
      <c r="DU12" s="25" t="e">
        <f t="shared" si="6"/>
        <v>#DIV/0!</v>
      </c>
      <c r="DV12" s="24"/>
      <c r="DW12" s="25"/>
    </row>
    <row r="13" spans="1:127" s="13" customFormat="1" ht="15.95" customHeight="1" x14ac:dyDescent="0.2">
      <c r="N13" s="19"/>
      <c r="O13" s="20"/>
      <c r="Q13" s="14"/>
      <c r="T13" s="19"/>
      <c r="V13" s="19"/>
      <c r="W13" s="19"/>
      <c r="X13" s="19"/>
      <c r="Y13" s="19"/>
      <c r="Z13" s="19"/>
      <c r="AA13" s="19"/>
      <c r="AB13" s="19"/>
      <c r="AC13" s="19"/>
      <c r="AG13" s="19"/>
      <c r="AI13" s="19"/>
      <c r="AJ13" s="20"/>
      <c r="AL13" s="19"/>
      <c r="BU13" s="19"/>
      <c r="BX13" s="24"/>
      <c r="BY13" s="24"/>
      <c r="BZ13" s="27"/>
      <c r="CA13" s="24"/>
      <c r="CB13" s="24"/>
      <c r="CC13" s="24"/>
      <c r="CD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7"/>
      <c r="DB13" s="24"/>
      <c r="DC13" s="24"/>
      <c r="DD13" s="24"/>
      <c r="DE13" s="24"/>
      <c r="DJ13" s="19"/>
      <c r="DK13" s="24"/>
      <c r="DL13" s="24"/>
      <c r="DM13" s="24"/>
      <c r="DN13" s="24"/>
      <c r="DO13" s="24"/>
      <c r="DP13" s="28"/>
      <c r="DR13" s="24"/>
      <c r="DS13" s="25" t="e">
        <f t="shared" si="4"/>
        <v>#DIV/0!</v>
      </c>
      <c r="DT13" s="25" t="e">
        <f t="shared" si="5"/>
        <v>#DIV/0!</v>
      </c>
      <c r="DU13" s="25" t="e">
        <f t="shared" si="6"/>
        <v>#DIV/0!</v>
      </c>
      <c r="DV13" s="24"/>
      <c r="DW13" s="24"/>
    </row>
    <row r="14" spans="1:127" s="13" customFormat="1" ht="15.95" customHeight="1" x14ac:dyDescent="0.2">
      <c r="N14" s="14" t="s">
        <v>200</v>
      </c>
      <c r="O14" s="15"/>
      <c r="Q14" s="16" t="s">
        <v>201</v>
      </c>
      <c r="R14" s="17" t="s">
        <v>202</v>
      </c>
      <c r="S14" s="17" t="s">
        <v>203</v>
      </c>
      <c r="T14" s="16" t="s">
        <v>200</v>
      </c>
      <c r="U14" s="17" t="s">
        <v>204</v>
      </c>
      <c r="V14" s="18"/>
      <c r="W14" s="19">
        <v>1</v>
      </c>
      <c r="X14" s="18">
        <f>COUNTIF($AB15:$AB26,"A")</f>
        <v>5</v>
      </c>
      <c r="Y14" s="18">
        <f>COUNTIF($AB15:$AB26,"B")</f>
        <v>5</v>
      </c>
      <c r="Z14" s="18">
        <f>COUNTIF($AB15:$AB26,"G")</f>
        <v>1</v>
      </c>
      <c r="AA14" s="18">
        <f>COUNTIF($AB15:$AB26,"C")</f>
        <v>1</v>
      </c>
      <c r="AB14" s="19">
        <f>COUNTA(AB15:AB26)</f>
        <v>12</v>
      </c>
      <c r="AC14" s="18">
        <f>Y14+Z14</f>
        <v>6</v>
      </c>
      <c r="AG14" s="19">
        <v>1713433135</v>
      </c>
      <c r="AH14" s="13" t="s">
        <v>205</v>
      </c>
      <c r="AI14" s="19" t="s">
        <v>62</v>
      </c>
      <c r="AJ14" s="20"/>
      <c r="AL14" s="16" t="s">
        <v>200</v>
      </c>
      <c r="AM14" s="21">
        <f t="shared" ref="AM14" si="12">SUM(AM15:AM26)</f>
        <v>6466033.9800000004</v>
      </c>
      <c r="BU14" s="14" t="s">
        <v>200</v>
      </c>
      <c r="BV14" s="17"/>
      <c r="BX14" s="21">
        <f t="shared" ref="BX14:CY14" si="13">SUM(BX15:BX26)</f>
        <v>5289122.3299999991</v>
      </c>
      <c r="BY14" s="21">
        <f t="shared" si="13"/>
        <v>4186016.85</v>
      </c>
      <c r="BZ14" s="21">
        <f t="shared" si="13"/>
        <v>5289123</v>
      </c>
      <c r="CA14" s="21">
        <f t="shared" si="13"/>
        <v>4112611.66</v>
      </c>
      <c r="CB14" s="21">
        <f t="shared" si="13"/>
        <v>5308345.1300000008</v>
      </c>
      <c r="CC14" s="21">
        <f t="shared" si="13"/>
        <v>4151545.25</v>
      </c>
      <c r="CD14" s="21">
        <f t="shared" si="13"/>
        <v>5308345.1300000008</v>
      </c>
      <c r="CE14" s="21">
        <f t="shared" si="13"/>
        <v>4321054.38</v>
      </c>
      <c r="CF14" s="21">
        <f t="shared" si="13"/>
        <v>5289123</v>
      </c>
      <c r="CG14" s="21">
        <f t="shared" si="13"/>
        <v>3962856.97</v>
      </c>
      <c r="CH14" s="21">
        <f t="shared" si="13"/>
        <v>5289123</v>
      </c>
      <c r="CI14" s="21">
        <f t="shared" si="13"/>
        <v>3787272.31</v>
      </c>
      <c r="CJ14" s="21">
        <f t="shared" si="13"/>
        <v>5289123</v>
      </c>
      <c r="CK14" s="21">
        <f t="shared" si="13"/>
        <v>3854960.45</v>
      </c>
      <c r="CL14" s="21">
        <f t="shared" si="13"/>
        <v>5077038</v>
      </c>
      <c r="CM14" s="21">
        <f t="shared" si="13"/>
        <v>316230.95</v>
      </c>
      <c r="CN14" s="21">
        <f t="shared" si="13"/>
        <v>5393268.9499999993</v>
      </c>
      <c r="CO14" s="21">
        <f t="shared" si="13"/>
        <v>3935762.24</v>
      </c>
      <c r="CP14" s="21">
        <f t="shared" si="13"/>
        <v>5077038.84</v>
      </c>
      <c r="CQ14" s="21">
        <f t="shared" si="13"/>
        <v>316230.95</v>
      </c>
      <c r="CR14" s="21">
        <f t="shared" si="13"/>
        <v>5393269.79</v>
      </c>
      <c r="CS14" s="21">
        <f t="shared" si="13"/>
        <v>4186991.1299999994</v>
      </c>
      <c r="CT14" s="21">
        <f t="shared" si="13"/>
        <v>5077038.84</v>
      </c>
      <c r="CU14" s="21">
        <f t="shared" si="13"/>
        <v>316230.95</v>
      </c>
      <c r="CV14" s="21">
        <f t="shared" si="13"/>
        <v>5393269.79</v>
      </c>
      <c r="CW14" s="21">
        <f t="shared" si="13"/>
        <v>4356773.91</v>
      </c>
      <c r="CX14" s="21">
        <f t="shared" si="13"/>
        <v>5077038.84</v>
      </c>
      <c r="CY14" s="21">
        <f t="shared" si="13"/>
        <v>316230.95</v>
      </c>
      <c r="CZ14" s="21">
        <f>SUM(CZ15:CZ26)</f>
        <v>5393269.79</v>
      </c>
      <c r="DA14" s="22">
        <f>SUM(DA15:DA26)</f>
        <v>4404581.47</v>
      </c>
      <c r="DB14" s="21">
        <f t="shared" ref="DB14:DC14" si="14">SUM(DB15:DB26)</f>
        <v>5077038.84</v>
      </c>
      <c r="DC14" s="21">
        <f t="shared" si="14"/>
        <v>316230.95</v>
      </c>
      <c r="DD14" s="21">
        <f>SUM(DD15:DD26)</f>
        <v>5393269.79</v>
      </c>
      <c r="DE14" s="21">
        <f>SUM(DE15:DE26)</f>
        <v>4311786.5500000007</v>
      </c>
      <c r="DJ14" s="14" t="s">
        <v>200</v>
      </c>
      <c r="DK14" s="23">
        <f t="shared" ref="DK14:DQ14" si="15">SUM(DK15:DK26)</f>
        <v>6466033.9800000004</v>
      </c>
      <c r="DL14" s="23">
        <f t="shared" si="15"/>
        <v>4287089.3</v>
      </c>
      <c r="DM14" s="23">
        <f t="shared" si="15"/>
        <v>6466033.9800000004</v>
      </c>
      <c r="DN14" s="23">
        <f t="shared" si="15"/>
        <v>4530162.4699999988</v>
      </c>
      <c r="DO14" s="23">
        <f t="shared" si="15"/>
        <v>6466033.9800000004</v>
      </c>
      <c r="DP14" s="23">
        <f t="shared" si="15"/>
        <v>4838247.9400000004</v>
      </c>
      <c r="DQ14" s="21">
        <f t="shared" si="15"/>
        <v>6466033.9800000004</v>
      </c>
      <c r="DR14" s="24"/>
      <c r="DS14" s="25">
        <f t="shared" si="4"/>
        <v>66.301682194376582</v>
      </c>
      <c r="DT14" s="25">
        <f t="shared" si="5"/>
        <v>70.060913444194412</v>
      </c>
      <c r="DU14" s="25">
        <f t="shared" si="6"/>
        <v>74.825587910071576</v>
      </c>
      <c r="DV14" s="24"/>
      <c r="DW14" s="25"/>
    </row>
    <row r="15" spans="1:127" s="13" customFormat="1" ht="15.95" customHeight="1" x14ac:dyDescent="0.2">
      <c r="A15" s="13" t="s">
        <v>143</v>
      </c>
      <c r="B15" s="26" t="s">
        <v>144</v>
      </c>
      <c r="C15" s="13" t="s">
        <v>145</v>
      </c>
      <c r="D15" s="26" t="s">
        <v>146</v>
      </c>
      <c r="E15" s="13" t="s">
        <v>147</v>
      </c>
      <c r="G15" s="13" t="s">
        <v>148</v>
      </c>
      <c r="H15" s="26" t="s">
        <v>149</v>
      </c>
      <c r="I15" s="13" t="s">
        <v>150</v>
      </c>
      <c r="J15" s="19" t="s">
        <v>151</v>
      </c>
      <c r="K15" s="26" t="s">
        <v>152</v>
      </c>
      <c r="L15" s="13" t="s">
        <v>206</v>
      </c>
      <c r="M15" s="19" t="s">
        <v>201</v>
      </c>
      <c r="N15" s="14" t="s">
        <v>200</v>
      </c>
      <c r="O15" s="19">
        <v>1</v>
      </c>
      <c r="Q15" s="14" t="s">
        <v>207</v>
      </c>
      <c r="R15" s="13" t="s">
        <v>208</v>
      </c>
      <c r="S15" s="13" t="s">
        <v>177</v>
      </c>
      <c r="T15" s="19" t="s">
        <v>209</v>
      </c>
      <c r="U15" s="13" t="s">
        <v>210</v>
      </c>
      <c r="V15" s="19"/>
      <c r="W15" s="19"/>
      <c r="X15" s="19"/>
      <c r="Y15" s="19"/>
      <c r="Z15" s="19"/>
      <c r="AA15" s="19"/>
      <c r="AB15" s="19" t="s">
        <v>159</v>
      </c>
      <c r="AC15" s="19"/>
      <c r="AD15" s="13" t="s">
        <v>160</v>
      </c>
      <c r="AE15" s="13" t="s">
        <v>70</v>
      </c>
      <c r="AG15" s="19"/>
      <c r="AI15" s="19"/>
      <c r="AJ15" s="20"/>
      <c r="AL15" s="19" t="s">
        <v>209</v>
      </c>
      <c r="AM15" s="24">
        <v>523260</v>
      </c>
      <c r="BU15" s="19" t="s">
        <v>209</v>
      </c>
      <c r="BX15" s="24">
        <v>431583.07</v>
      </c>
      <c r="BY15" s="24">
        <v>322671.83999999997</v>
      </c>
      <c r="BZ15" s="27">
        <v>431583</v>
      </c>
      <c r="CA15" s="24">
        <v>367377.79</v>
      </c>
      <c r="CB15" s="24">
        <v>433615.97</v>
      </c>
      <c r="CC15" s="24">
        <v>318142.21999999997</v>
      </c>
      <c r="CD15" s="24">
        <v>433615.97</v>
      </c>
      <c r="CE15" s="24">
        <v>372535.61</v>
      </c>
      <c r="CF15" s="24">
        <v>431583</v>
      </c>
      <c r="CG15" s="24">
        <v>346647.58</v>
      </c>
      <c r="CH15" s="24">
        <v>431583</v>
      </c>
      <c r="CI15" s="24">
        <v>332910.90000000002</v>
      </c>
      <c r="CJ15" s="24">
        <v>431583</v>
      </c>
      <c r="CK15" s="24">
        <v>398525.64</v>
      </c>
      <c r="CL15" s="24">
        <v>422726</v>
      </c>
      <c r="CM15" s="24">
        <v>13125.35</v>
      </c>
      <c r="CN15" s="24">
        <f t="shared" si="7"/>
        <v>435851.35</v>
      </c>
      <c r="CO15" s="24">
        <v>362754.37</v>
      </c>
      <c r="CP15" s="24">
        <v>422725.89</v>
      </c>
      <c r="CQ15" s="24">
        <v>13125.35</v>
      </c>
      <c r="CR15" s="24">
        <f t="shared" si="8"/>
        <v>435851.24</v>
      </c>
      <c r="CS15" s="24">
        <v>405946.25</v>
      </c>
      <c r="CT15" s="24">
        <v>422725.89</v>
      </c>
      <c r="CU15" s="24">
        <v>13125.35</v>
      </c>
      <c r="CV15" s="24">
        <f t="shared" si="9"/>
        <v>435851.24</v>
      </c>
      <c r="CW15" s="24">
        <v>430109.06</v>
      </c>
      <c r="CX15" s="24">
        <v>422725.89</v>
      </c>
      <c r="CY15" s="24">
        <v>13125.35</v>
      </c>
      <c r="CZ15" s="24">
        <f t="shared" si="10"/>
        <v>435851.24</v>
      </c>
      <c r="DA15" s="27">
        <v>475348.3</v>
      </c>
      <c r="DB15" s="24">
        <v>422725.89</v>
      </c>
      <c r="DC15" s="24">
        <v>13125.35</v>
      </c>
      <c r="DD15" s="24">
        <f t="shared" ref="DD15:DD26" si="16">SUM(DB15:DC15)</f>
        <v>435851.24</v>
      </c>
      <c r="DE15" s="24">
        <v>377459.81</v>
      </c>
      <c r="DJ15" s="19" t="s">
        <v>209</v>
      </c>
      <c r="DK15" s="24">
        <v>523260</v>
      </c>
      <c r="DL15" s="24">
        <v>325232.3</v>
      </c>
      <c r="DM15" s="24">
        <v>523260</v>
      </c>
      <c r="DN15" s="24">
        <v>419917.68</v>
      </c>
      <c r="DO15" s="24">
        <v>523260</v>
      </c>
      <c r="DP15" s="28">
        <v>416733.61</v>
      </c>
      <c r="DQ15" s="24">
        <v>523260</v>
      </c>
      <c r="DR15" s="24"/>
      <c r="DS15" s="25">
        <f t="shared" si="4"/>
        <v>62.155008982150363</v>
      </c>
      <c r="DT15" s="25">
        <f t="shared" si="5"/>
        <v>80.250292397660814</v>
      </c>
      <c r="DU15" s="25">
        <f t="shared" si="6"/>
        <v>79.641786110155564</v>
      </c>
      <c r="DV15" s="24"/>
      <c r="DW15" s="25"/>
    </row>
    <row r="16" spans="1:127" s="13" customFormat="1" ht="15.95" customHeight="1" x14ac:dyDescent="0.2">
      <c r="A16" s="13" t="s">
        <v>143</v>
      </c>
      <c r="B16" s="26" t="s">
        <v>144</v>
      </c>
      <c r="C16" s="13" t="s">
        <v>145</v>
      </c>
      <c r="D16" s="26" t="s">
        <v>146</v>
      </c>
      <c r="E16" s="13" t="s">
        <v>147</v>
      </c>
      <c r="G16" s="13" t="s">
        <v>148</v>
      </c>
      <c r="H16" s="26" t="s">
        <v>149</v>
      </c>
      <c r="I16" s="13" t="s">
        <v>150</v>
      </c>
      <c r="J16" s="19" t="s">
        <v>151</v>
      </c>
      <c r="K16" s="26" t="s">
        <v>152</v>
      </c>
      <c r="L16" s="13" t="s">
        <v>206</v>
      </c>
      <c r="M16" s="19" t="s">
        <v>201</v>
      </c>
      <c r="N16" s="14" t="s">
        <v>200</v>
      </c>
      <c r="O16" s="19">
        <v>1</v>
      </c>
      <c r="Q16" s="14" t="s">
        <v>211</v>
      </c>
      <c r="R16" s="13" t="s">
        <v>212</v>
      </c>
      <c r="S16" s="13" t="s">
        <v>177</v>
      </c>
      <c r="T16" s="19" t="s">
        <v>213</v>
      </c>
      <c r="U16" s="13" t="s">
        <v>210</v>
      </c>
      <c r="V16" s="19"/>
      <c r="W16" s="19"/>
      <c r="X16" s="19"/>
      <c r="Y16" s="19"/>
      <c r="Z16" s="19"/>
      <c r="AA16" s="19"/>
      <c r="AB16" s="19" t="s">
        <v>165</v>
      </c>
      <c r="AC16" s="19"/>
      <c r="AD16" s="13" t="s">
        <v>160</v>
      </c>
      <c r="AE16" s="13" t="s">
        <v>70</v>
      </c>
      <c r="AG16" s="19"/>
      <c r="AI16" s="19"/>
      <c r="AJ16" s="20"/>
      <c r="AL16" s="19" t="s">
        <v>213</v>
      </c>
      <c r="AM16" s="24">
        <v>513060</v>
      </c>
      <c r="BQ16" s="13" t="s">
        <v>214</v>
      </c>
      <c r="BR16" s="13" t="s">
        <v>215</v>
      </c>
      <c r="BU16" s="19" t="s">
        <v>213</v>
      </c>
      <c r="BX16" s="24">
        <v>404435.04</v>
      </c>
      <c r="BY16" s="24">
        <v>356864.99</v>
      </c>
      <c r="BZ16" s="27">
        <v>404435</v>
      </c>
      <c r="CA16" s="24">
        <v>344283.91</v>
      </c>
      <c r="CB16" s="24">
        <v>405625.74</v>
      </c>
      <c r="CC16" s="24">
        <v>281226.84000000003</v>
      </c>
      <c r="CD16" s="24">
        <v>405625.74</v>
      </c>
      <c r="CE16" s="24">
        <v>256916.15</v>
      </c>
      <c r="CF16" s="24">
        <v>404435</v>
      </c>
      <c r="CG16" s="24">
        <v>276156.15000000002</v>
      </c>
      <c r="CH16" s="24">
        <v>404435</v>
      </c>
      <c r="CI16" s="24">
        <v>275379.09000000003</v>
      </c>
      <c r="CJ16" s="24">
        <v>404435</v>
      </c>
      <c r="CK16" s="24">
        <v>324497.71000000002</v>
      </c>
      <c r="CL16" s="24">
        <v>364666</v>
      </c>
      <c r="CM16" s="24">
        <v>59508.59</v>
      </c>
      <c r="CN16" s="24">
        <f t="shared" si="7"/>
        <v>424174.58999999997</v>
      </c>
      <c r="CO16" s="24">
        <v>343004.89</v>
      </c>
      <c r="CP16" s="24">
        <v>364666.33999999997</v>
      </c>
      <c r="CQ16" s="24">
        <v>59508.59</v>
      </c>
      <c r="CR16" s="24">
        <f t="shared" si="8"/>
        <v>424174.92999999993</v>
      </c>
      <c r="CS16" s="24">
        <v>338890.72</v>
      </c>
      <c r="CT16" s="24">
        <v>364666.33999999997</v>
      </c>
      <c r="CU16" s="24">
        <v>59508.59</v>
      </c>
      <c r="CV16" s="24">
        <f t="shared" si="9"/>
        <v>424174.92999999993</v>
      </c>
      <c r="CW16" s="24">
        <v>360130.94</v>
      </c>
      <c r="CX16" s="24">
        <v>364666.33999999997</v>
      </c>
      <c r="CY16" s="24">
        <v>59508.59</v>
      </c>
      <c r="CZ16" s="24">
        <f t="shared" si="10"/>
        <v>424174.92999999993</v>
      </c>
      <c r="DA16" s="27">
        <v>355037.07</v>
      </c>
      <c r="DB16" s="24">
        <v>364666.33999999997</v>
      </c>
      <c r="DC16" s="24">
        <v>59508.59</v>
      </c>
      <c r="DD16" s="24">
        <f t="shared" si="16"/>
        <v>424174.92999999993</v>
      </c>
      <c r="DE16" s="24">
        <v>393815.91</v>
      </c>
      <c r="DJ16" s="19" t="s">
        <v>213</v>
      </c>
      <c r="DK16" s="24">
        <v>513060</v>
      </c>
      <c r="DL16" s="24">
        <v>389736.48</v>
      </c>
      <c r="DM16" s="24">
        <v>513060</v>
      </c>
      <c r="DN16" s="24">
        <v>414071.72</v>
      </c>
      <c r="DO16" s="24">
        <v>513060</v>
      </c>
      <c r="DP16" s="28">
        <v>412080.66</v>
      </c>
      <c r="DQ16" s="24">
        <v>513060</v>
      </c>
      <c r="DR16" s="24"/>
      <c r="DS16" s="25">
        <f t="shared" si="4"/>
        <v>75.963138814173774</v>
      </c>
      <c r="DT16" s="25">
        <f t="shared" si="5"/>
        <v>80.706295559973483</v>
      </c>
      <c r="DU16" s="25">
        <f t="shared" si="6"/>
        <v>80.318220091217398</v>
      </c>
      <c r="DV16" s="24"/>
      <c r="DW16" s="25"/>
    </row>
    <row r="17" spans="1:127" s="13" customFormat="1" ht="15.95" customHeight="1" x14ac:dyDescent="0.2">
      <c r="A17" s="13" t="s">
        <v>143</v>
      </c>
      <c r="B17" s="26" t="s">
        <v>144</v>
      </c>
      <c r="C17" s="13" t="s">
        <v>145</v>
      </c>
      <c r="D17" s="26" t="s">
        <v>146</v>
      </c>
      <c r="E17" s="13" t="s">
        <v>147</v>
      </c>
      <c r="G17" s="13" t="s">
        <v>148</v>
      </c>
      <c r="H17" s="26" t="s">
        <v>149</v>
      </c>
      <c r="I17" s="13" t="s">
        <v>150</v>
      </c>
      <c r="J17" s="19" t="s">
        <v>151</v>
      </c>
      <c r="K17" s="26" t="s">
        <v>152</v>
      </c>
      <c r="L17" s="13" t="s">
        <v>206</v>
      </c>
      <c r="M17" s="19" t="s">
        <v>201</v>
      </c>
      <c r="N17" s="14" t="s">
        <v>200</v>
      </c>
      <c r="O17" s="19">
        <v>1</v>
      </c>
      <c r="Q17" s="14" t="s">
        <v>216</v>
      </c>
      <c r="R17" s="13" t="s">
        <v>217</v>
      </c>
      <c r="S17" s="13" t="s">
        <v>163</v>
      </c>
      <c r="T17" s="19" t="s">
        <v>218</v>
      </c>
      <c r="U17" s="13" t="s">
        <v>219</v>
      </c>
      <c r="V17" s="19"/>
      <c r="W17" s="19"/>
      <c r="X17" s="19"/>
      <c r="Y17" s="19"/>
      <c r="Z17" s="19"/>
      <c r="AA17" s="19"/>
      <c r="AB17" s="19" t="s">
        <v>159</v>
      </c>
      <c r="AC17" s="19"/>
      <c r="AD17" s="13" t="s">
        <v>160</v>
      </c>
      <c r="AG17" s="19"/>
      <c r="AI17" s="19"/>
      <c r="AJ17" s="20"/>
      <c r="AL17" s="19" t="s">
        <v>218</v>
      </c>
      <c r="AM17" s="24">
        <v>535500</v>
      </c>
      <c r="BU17" s="19" t="s">
        <v>218</v>
      </c>
      <c r="BX17" s="24">
        <v>449898.27</v>
      </c>
      <c r="BY17" s="24">
        <v>331214.61</v>
      </c>
      <c r="BZ17" s="27">
        <v>449898</v>
      </c>
      <c r="CA17" s="24">
        <v>299300.46999999997</v>
      </c>
      <c r="CB17" s="24">
        <v>451931.17</v>
      </c>
      <c r="CC17" s="24">
        <v>343373.9</v>
      </c>
      <c r="CD17" s="24">
        <v>451931.17</v>
      </c>
      <c r="CE17" s="24">
        <v>376611.79</v>
      </c>
      <c r="CF17" s="24">
        <v>449898</v>
      </c>
      <c r="CG17" s="24">
        <v>295418.64</v>
      </c>
      <c r="CH17" s="24">
        <v>449898</v>
      </c>
      <c r="CI17" s="24">
        <v>265858.12</v>
      </c>
      <c r="CJ17" s="24">
        <v>449898</v>
      </c>
      <c r="CK17" s="24">
        <v>283859.02</v>
      </c>
      <c r="CL17" s="24">
        <v>441166</v>
      </c>
      <c r="CM17" s="24">
        <v>12834.3</v>
      </c>
      <c r="CN17" s="24">
        <f t="shared" si="7"/>
        <v>454000.3</v>
      </c>
      <c r="CO17" s="24">
        <v>299184.38</v>
      </c>
      <c r="CP17" s="24">
        <v>441165.96</v>
      </c>
      <c r="CQ17" s="24">
        <v>12834.3</v>
      </c>
      <c r="CR17" s="24">
        <f t="shared" si="8"/>
        <v>454000.26</v>
      </c>
      <c r="CS17" s="24">
        <v>306934.03999999998</v>
      </c>
      <c r="CT17" s="24">
        <v>441165.96</v>
      </c>
      <c r="CU17" s="24">
        <v>12834.3</v>
      </c>
      <c r="CV17" s="24">
        <f t="shared" si="9"/>
        <v>454000.26</v>
      </c>
      <c r="CW17" s="24">
        <v>325970.11</v>
      </c>
      <c r="CX17" s="24">
        <v>441165.96</v>
      </c>
      <c r="CY17" s="24">
        <v>12834.3</v>
      </c>
      <c r="CZ17" s="24">
        <f t="shared" si="10"/>
        <v>454000.26</v>
      </c>
      <c r="DA17" s="27">
        <v>338267.39</v>
      </c>
      <c r="DB17" s="24">
        <v>441165.96</v>
      </c>
      <c r="DC17" s="24">
        <v>12834.3</v>
      </c>
      <c r="DD17" s="24">
        <f t="shared" si="16"/>
        <v>454000.26</v>
      </c>
      <c r="DE17" s="24">
        <v>291657.78000000003</v>
      </c>
      <c r="DJ17" s="19" t="s">
        <v>218</v>
      </c>
      <c r="DK17" s="24">
        <v>535500</v>
      </c>
      <c r="DL17" s="24">
        <v>313862.73</v>
      </c>
      <c r="DM17" s="24">
        <v>535500</v>
      </c>
      <c r="DN17" s="24">
        <v>283952.21000000002</v>
      </c>
      <c r="DO17" s="24">
        <v>535500</v>
      </c>
      <c r="DP17" s="28">
        <v>318986.40000000002</v>
      </c>
      <c r="DQ17" s="24">
        <v>535500</v>
      </c>
      <c r="DR17" s="24"/>
      <c r="DS17" s="25">
        <f t="shared" si="4"/>
        <v>58.611154061624646</v>
      </c>
      <c r="DT17" s="25">
        <f t="shared" si="5"/>
        <v>53.025622782446312</v>
      </c>
      <c r="DU17" s="25">
        <f t="shared" si="6"/>
        <v>59.567955182072829</v>
      </c>
      <c r="DV17" s="24"/>
      <c r="DW17" s="25"/>
    </row>
    <row r="18" spans="1:127" s="13" customFormat="1" ht="15.95" customHeight="1" x14ac:dyDescent="0.2">
      <c r="A18" s="13" t="s">
        <v>143</v>
      </c>
      <c r="B18" s="26" t="s">
        <v>144</v>
      </c>
      <c r="C18" s="13" t="s">
        <v>145</v>
      </c>
      <c r="D18" s="26" t="s">
        <v>146</v>
      </c>
      <c r="E18" s="13" t="s">
        <v>147</v>
      </c>
      <c r="G18" s="13" t="s">
        <v>148</v>
      </c>
      <c r="H18" s="26" t="s">
        <v>149</v>
      </c>
      <c r="I18" s="13" t="s">
        <v>150</v>
      </c>
      <c r="J18" s="19" t="s">
        <v>151</v>
      </c>
      <c r="K18" s="26" t="s">
        <v>152</v>
      </c>
      <c r="L18" s="13" t="s">
        <v>206</v>
      </c>
      <c r="M18" s="19" t="s">
        <v>201</v>
      </c>
      <c r="N18" s="14" t="s">
        <v>200</v>
      </c>
      <c r="O18" s="19">
        <v>1</v>
      </c>
      <c r="Q18" s="14" t="s">
        <v>220</v>
      </c>
      <c r="R18" s="13" t="s">
        <v>221</v>
      </c>
      <c r="S18" s="13" t="s">
        <v>177</v>
      </c>
      <c r="T18" s="19" t="s">
        <v>222</v>
      </c>
      <c r="U18" s="13" t="s">
        <v>219</v>
      </c>
      <c r="V18" s="19"/>
      <c r="W18" s="19"/>
      <c r="X18" s="19"/>
      <c r="Y18" s="19"/>
      <c r="Z18" s="19"/>
      <c r="AA18" s="19"/>
      <c r="AB18" s="19" t="s">
        <v>165</v>
      </c>
      <c r="AC18" s="19"/>
      <c r="AD18" s="13" t="s">
        <v>160</v>
      </c>
      <c r="AG18" s="19"/>
      <c r="AI18" s="19"/>
      <c r="AJ18" s="20"/>
      <c r="AL18" s="19" t="s">
        <v>222</v>
      </c>
      <c r="AM18" s="24">
        <v>554880</v>
      </c>
      <c r="BU18" s="19" t="s">
        <v>222</v>
      </c>
      <c r="BX18" s="24">
        <v>465365.82</v>
      </c>
      <c r="BY18" s="24">
        <v>345633.68</v>
      </c>
      <c r="BZ18" s="27">
        <v>465366</v>
      </c>
      <c r="CA18" s="24">
        <v>303625.77</v>
      </c>
      <c r="CB18" s="24">
        <v>466556.52</v>
      </c>
      <c r="CC18" s="24">
        <v>358009.51</v>
      </c>
      <c r="CD18" s="24">
        <v>466556.52</v>
      </c>
      <c r="CE18" s="24">
        <v>417156.96</v>
      </c>
      <c r="CF18" s="24">
        <v>465366</v>
      </c>
      <c r="CG18" s="24">
        <v>329064.8</v>
      </c>
      <c r="CH18" s="24">
        <v>465366</v>
      </c>
      <c r="CI18" s="24">
        <v>302618.49</v>
      </c>
      <c r="CJ18" s="24">
        <v>465366</v>
      </c>
      <c r="CK18" s="24">
        <v>328395.19</v>
      </c>
      <c r="CL18" s="24">
        <v>444060</v>
      </c>
      <c r="CM18" s="24">
        <v>31814.35</v>
      </c>
      <c r="CN18" s="24">
        <f t="shared" si="7"/>
        <v>475874.35</v>
      </c>
      <c r="CO18" s="24">
        <v>358664.53</v>
      </c>
      <c r="CP18" s="24">
        <v>444060.46</v>
      </c>
      <c r="CQ18" s="24">
        <v>31814.35</v>
      </c>
      <c r="CR18" s="24">
        <f t="shared" si="8"/>
        <v>475874.81</v>
      </c>
      <c r="CS18" s="24">
        <v>338488.16</v>
      </c>
      <c r="CT18" s="24">
        <v>444060.46</v>
      </c>
      <c r="CU18" s="24">
        <v>31814.35</v>
      </c>
      <c r="CV18" s="24">
        <f t="shared" si="9"/>
        <v>475874.81</v>
      </c>
      <c r="CW18" s="24">
        <v>352796.58</v>
      </c>
      <c r="CX18" s="24">
        <v>444060.46</v>
      </c>
      <c r="CY18" s="24">
        <v>31814.35</v>
      </c>
      <c r="CZ18" s="24">
        <f t="shared" si="10"/>
        <v>475874.81</v>
      </c>
      <c r="DA18" s="27">
        <v>385558.14</v>
      </c>
      <c r="DB18" s="24">
        <v>444060.46</v>
      </c>
      <c r="DC18" s="24">
        <v>31814.35</v>
      </c>
      <c r="DD18" s="24">
        <f t="shared" si="16"/>
        <v>475874.81</v>
      </c>
      <c r="DE18" s="24">
        <v>350714.96</v>
      </c>
      <c r="DJ18" s="19" t="s">
        <v>222</v>
      </c>
      <c r="DK18" s="24">
        <v>554880</v>
      </c>
      <c r="DL18" s="24">
        <v>353101.59</v>
      </c>
      <c r="DM18" s="24">
        <v>554880</v>
      </c>
      <c r="DN18" s="24">
        <v>350848.41</v>
      </c>
      <c r="DO18" s="24">
        <v>554880</v>
      </c>
      <c r="DP18" s="28">
        <v>382647.37</v>
      </c>
      <c r="DQ18" s="24">
        <v>554880</v>
      </c>
      <c r="DR18" s="24"/>
      <c r="DS18" s="25">
        <f t="shared" si="4"/>
        <v>63.635667171280289</v>
      </c>
      <c r="DT18" s="25">
        <f t="shared" si="5"/>
        <v>63.229600994809687</v>
      </c>
      <c r="DU18" s="25">
        <f t="shared" si="6"/>
        <v>68.960382425028826</v>
      </c>
      <c r="DV18" s="24"/>
      <c r="DW18" s="25"/>
    </row>
    <row r="19" spans="1:127" s="13" customFormat="1" ht="15.95" customHeight="1" x14ac:dyDescent="0.2">
      <c r="A19" s="13" t="s">
        <v>143</v>
      </c>
      <c r="B19" s="26" t="s">
        <v>144</v>
      </c>
      <c r="C19" s="13" t="s">
        <v>145</v>
      </c>
      <c r="D19" s="26" t="s">
        <v>146</v>
      </c>
      <c r="E19" s="13" t="s">
        <v>147</v>
      </c>
      <c r="G19" s="13" t="s">
        <v>148</v>
      </c>
      <c r="H19" s="26" t="s">
        <v>149</v>
      </c>
      <c r="I19" s="13" t="s">
        <v>150</v>
      </c>
      <c r="J19" s="19" t="s">
        <v>151</v>
      </c>
      <c r="K19" s="26" t="s">
        <v>152</v>
      </c>
      <c r="L19" s="13" t="s">
        <v>206</v>
      </c>
      <c r="M19" s="19" t="s">
        <v>201</v>
      </c>
      <c r="N19" s="14" t="s">
        <v>200</v>
      </c>
      <c r="O19" s="19">
        <v>1</v>
      </c>
      <c r="Q19" s="14" t="s">
        <v>223</v>
      </c>
      <c r="R19" s="13" t="s">
        <v>224</v>
      </c>
      <c r="S19" s="13" t="s">
        <v>163</v>
      </c>
      <c r="T19" s="19" t="s">
        <v>225</v>
      </c>
      <c r="U19" s="13" t="s">
        <v>226</v>
      </c>
      <c r="V19" s="19"/>
      <c r="W19" s="19"/>
      <c r="X19" s="19"/>
      <c r="Y19" s="19"/>
      <c r="Z19" s="19"/>
      <c r="AA19" s="19"/>
      <c r="AB19" s="19" t="s">
        <v>159</v>
      </c>
      <c r="AC19" s="19"/>
      <c r="AD19" s="13" t="s">
        <v>160</v>
      </c>
      <c r="AG19" s="19"/>
      <c r="AI19" s="19"/>
      <c r="AJ19" s="20"/>
      <c r="AL19" s="19" t="s">
        <v>225</v>
      </c>
      <c r="AM19" s="24">
        <v>535500</v>
      </c>
      <c r="BU19" s="19" t="s">
        <v>225</v>
      </c>
      <c r="BX19" s="24">
        <v>449113.76</v>
      </c>
      <c r="BY19" s="24">
        <v>287010.09000000003</v>
      </c>
      <c r="BZ19" s="27">
        <v>449114</v>
      </c>
      <c r="CA19" s="24">
        <v>287673.96999999997</v>
      </c>
      <c r="CB19" s="24">
        <v>451146.66</v>
      </c>
      <c r="CC19" s="24">
        <v>299684.71999999997</v>
      </c>
      <c r="CD19" s="24">
        <v>451146.66</v>
      </c>
      <c r="CE19" s="24">
        <v>323392.11</v>
      </c>
      <c r="CF19" s="24">
        <v>449114</v>
      </c>
      <c r="CG19" s="24">
        <v>299555.96000000002</v>
      </c>
      <c r="CH19" s="24">
        <v>449114</v>
      </c>
      <c r="CI19" s="24">
        <v>266937.57</v>
      </c>
      <c r="CJ19" s="24">
        <v>449114</v>
      </c>
      <c r="CK19" s="24">
        <v>255078.01</v>
      </c>
      <c r="CL19" s="24">
        <v>439983</v>
      </c>
      <c r="CM19" s="24">
        <v>13489.94</v>
      </c>
      <c r="CN19" s="24">
        <f t="shared" si="7"/>
        <v>453472.94</v>
      </c>
      <c r="CO19" s="24">
        <v>282897.14</v>
      </c>
      <c r="CP19" s="24">
        <v>439983.43</v>
      </c>
      <c r="CQ19" s="24">
        <v>13489.94</v>
      </c>
      <c r="CR19" s="24">
        <f t="shared" si="8"/>
        <v>453473.37</v>
      </c>
      <c r="CS19" s="24">
        <v>337927.64</v>
      </c>
      <c r="CT19" s="24">
        <v>439983.43</v>
      </c>
      <c r="CU19" s="24">
        <v>13489.94</v>
      </c>
      <c r="CV19" s="24">
        <f t="shared" si="9"/>
        <v>453473.37</v>
      </c>
      <c r="CW19" s="24">
        <v>345515.69</v>
      </c>
      <c r="CX19" s="24">
        <v>439983.43</v>
      </c>
      <c r="CY19" s="24">
        <v>13489.94</v>
      </c>
      <c r="CZ19" s="24">
        <f t="shared" si="10"/>
        <v>453473.37</v>
      </c>
      <c r="DA19" s="27">
        <v>333522.40999999997</v>
      </c>
      <c r="DB19" s="24">
        <v>439983.43</v>
      </c>
      <c r="DC19" s="24">
        <v>13489.94</v>
      </c>
      <c r="DD19" s="24">
        <f t="shared" si="16"/>
        <v>453473.37</v>
      </c>
      <c r="DE19" s="24">
        <v>343604</v>
      </c>
      <c r="DJ19" s="19" t="s">
        <v>225</v>
      </c>
      <c r="DK19" s="24">
        <v>535500</v>
      </c>
      <c r="DL19" s="24">
        <v>341383.88</v>
      </c>
      <c r="DM19" s="24">
        <v>535500</v>
      </c>
      <c r="DN19" s="24">
        <v>337899.03</v>
      </c>
      <c r="DO19" s="24">
        <v>535500</v>
      </c>
      <c r="DP19" s="28">
        <v>344723.52</v>
      </c>
      <c r="DQ19" s="24">
        <v>535500</v>
      </c>
      <c r="DR19" s="24"/>
      <c r="DS19" s="25">
        <f t="shared" si="4"/>
        <v>63.750491129785246</v>
      </c>
      <c r="DT19" s="25">
        <f t="shared" si="5"/>
        <v>63.099725490196079</v>
      </c>
      <c r="DU19" s="25">
        <f t="shared" si="6"/>
        <v>64.374140056022412</v>
      </c>
      <c r="DV19" s="24"/>
      <c r="DW19" s="25"/>
    </row>
    <row r="20" spans="1:127" s="13" customFormat="1" ht="15.95" customHeight="1" x14ac:dyDescent="0.2">
      <c r="A20" s="13" t="s">
        <v>143</v>
      </c>
      <c r="B20" s="26" t="s">
        <v>144</v>
      </c>
      <c r="C20" s="13" t="s">
        <v>145</v>
      </c>
      <c r="D20" s="26" t="s">
        <v>146</v>
      </c>
      <c r="E20" s="13" t="s">
        <v>147</v>
      </c>
      <c r="G20" s="13" t="s">
        <v>148</v>
      </c>
      <c r="H20" s="26" t="s">
        <v>149</v>
      </c>
      <c r="I20" s="13" t="s">
        <v>150</v>
      </c>
      <c r="J20" s="19" t="s">
        <v>151</v>
      </c>
      <c r="K20" s="26" t="s">
        <v>152</v>
      </c>
      <c r="L20" s="13" t="s">
        <v>206</v>
      </c>
      <c r="M20" s="19" t="s">
        <v>201</v>
      </c>
      <c r="N20" s="14" t="s">
        <v>200</v>
      </c>
      <c r="O20" s="19">
        <v>1</v>
      </c>
      <c r="Q20" s="14" t="s">
        <v>227</v>
      </c>
      <c r="R20" s="13" t="s">
        <v>228</v>
      </c>
      <c r="S20" s="13" t="s">
        <v>177</v>
      </c>
      <c r="T20" s="19" t="s">
        <v>229</v>
      </c>
      <c r="U20" s="13" t="s">
        <v>226</v>
      </c>
      <c r="V20" s="19"/>
      <c r="W20" s="19"/>
      <c r="X20" s="19"/>
      <c r="Y20" s="19"/>
      <c r="Z20" s="19"/>
      <c r="AA20" s="19"/>
      <c r="AB20" s="19" t="s">
        <v>165</v>
      </c>
      <c r="AC20" s="19"/>
      <c r="AD20" s="13" t="s">
        <v>160</v>
      </c>
      <c r="AG20" s="19"/>
      <c r="AI20" s="19"/>
      <c r="AJ20" s="20"/>
      <c r="AL20" s="19" t="s">
        <v>229</v>
      </c>
      <c r="AM20" s="24">
        <v>554880</v>
      </c>
      <c r="BU20" s="19" t="s">
        <v>229</v>
      </c>
      <c r="BX20" s="24">
        <v>474535.01</v>
      </c>
      <c r="BY20" s="24">
        <v>271269.63</v>
      </c>
      <c r="BZ20" s="27">
        <v>474535</v>
      </c>
      <c r="CA20" s="24">
        <v>288127.09000000003</v>
      </c>
      <c r="CB20" s="24">
        <v>475725.71</v>
      </c>
      <c r="CC20" s="24">
        <v>282839.27</v>
      </c>
      <c r="CD20" s="24">
        <v>475725.71</v>
      </c>
      <c r="CE20" s="24">
        <v>299464.39</v>
      </c>
      <c r="CF20" s="24">
        <v>474535</v>
      </c>
      <c r="CG20" s="24">
        <v>321509.34000000003</v>
      </c>
      <c r="CH20" s="24">
        <v>474535</v>
      </c>
      <c r="CI20" s="24">
        <v>252185.28</v>
      </c>
      <c r="CJ20" s="24">
        <v>474535</v>
      </c>
      <c r="CK20" s="24">
        <v>263968.32</v>
      </c>
      <c r="CL20" s="24">
        <v>450726</v>
      </c>
      <c r="CM20" s="24">
        <v>35611.17</v>
      </c>
      <c r="CN20" s="24">
        <f t="shared" si="7"/>
        <v>486337.17</v>
      </c>
      <c r="CO20" s="24">
        <v>288353.64</v>
      </c>
      <c r="CP20" s="24">
        <v>450725.54</v>
      </c>
      <c r="CQ20" s="24">
        <v>35611.17</v>
      </c>
      <c r="CR20" s="24">
        <f t="shared" si="8"/>
        <v>486336.70999999996</v>
      </c>
      <c r="CS20" s="24">
        <v>297542.36</v>
      </c>
      <c r="CT20" s="24">
        <v>450725.54</v>
      </c>
      <c r="CU20" s="24">
        <v>35611.17</v>
      </c>
      <c r="CV20" s="24">
        <f t="shared" si="9"/>
        <v>486336.70999999996</v>
      </c>
      <c r="CW20" s="24">
        <v>322389.34999999998</v>
      </c>
      <c r="CX20" s="24">
        <v>450725.54</v>
      </c>
      <c r="CY20" s="24">
        <v>35611.17</v>
      </c>
      <c r="CZ20" s="24">
        <f t="shared" si="10"/>
        <v>486336.70999999996</v>
      </c>
      <c r="DA20" s="27">
        <v>342967.22</v>
      </c>
      <c r="DB20" s="24">
        <v>450725.54</v>
      </c>
      <c r="DC20" s="24">
        <v>35611.17</v>
      </c>
      <c r="DD20" s="24">
        <f t="shared" si="16"/>
        <v>486336.70999999996</v>
      </c>
      <c r="DE20" s="24">
        <v>349333.81</v>
      </c>
      <c r="DJ20" s="19" t="s">
        <v>229</v>
      </c>
      <c r="DK20" s="24">
        <v>554880</v>
      </c>
      <c r="DL20" s="24">
        <v>354902.82</v>
      </c>
      <c r="DM20" s="24">
        <v>554880</v>
      </c>
      <c r="DN20" s="24">
        <v>367631.67</v>
      </c>
      <c r="DO20" s="24">
        <v>554880</v>
      </c>
      <c r="DP20" s="28">
        <v>413761.15</v>
      </c>
      <c r="DQ20" s="24">
        <v>554880</v>
      </c>
      <c r="DR20" s="24"/>
      <c r="DS20" s="25">
        <f t="shared" si="4"/>
        <v>63.960283304498269</v>
      </c>
      <c r="DT20" s="25">
        <f t="shared" si="5"/>
        <v>66.254265787197227</v>
      </c>
      <c r="DU20" s="25">
        <f t="shared" si="6"/>
        <v>74.567681300461359</v>
      </c>
      <c r="DV20" s="24"/>
      <c r="DW20" s="25"/>
    </row>
    <row r="21" spans="1:127" s="13" customFormat="1" ht="15.95" customHeight="1" x14ac:dyDescent="0.2">
      <c r="A21" s="13" t="s">
        <v>143</v>
      </c>
      <c r="B21" s="26" t="s">
        <v>144</v>
      </c>
      <c r="C21" s="13" t="s">
        <v>145</v>
      </c>
      <c r="D21" s="26" t="s">
        <v>146</v>
      </c>
      <c r="E21" s="13" t="s">
        <v>147</v>
      </c>
      <c r="G21" s="13" t="s">
        <v>148</v>
      </c>
      <c r="H21" s="26" t="s">
        <v>149</v>
      </c>
      <c r="I21" s="13" t="s">
        <v>150</v>
      </c>
      <c r="J21" s="19" t="s">
        <v>151</v>
      </c>
      <c r="K21" s="26" t="s">
        <v>152</v>
      </c>
      <c r="L21" s="13" t="s">
        <v>206</v>
      </c>
      <c r="M21" s="19" t="s">
        <v>201</v>
      </c>
      <c r="N21" s="14" t="s">
        <v>200</v>
      </c>
      <c r="O21" s="19">
        <v>1</v>
      </c>
      <c r="Q21" s="14" t="s">
        <v>230</v>
      </c>
      <c r="R21" s="13" t="s">
        <v>231</v>
      </c>
      <c r="S21" s="13" t="s">
        <v>163</v>
      </c>
      <c r="T21" s="19" t="s">
        <v>232</v>
      </c>
      <c r="U21" s="13" t="s">
        <v>233</v>
      </c>
      <c r="V21" s="19"/>
      <c r="W21" s="19"/>
      <c r="X21" s="19"/>
      <c r="Y21" s="19"/>
      <c r="Z21" s="19"/>
      <c r="AA21" s="19"/>
      <c r="AB21" s="19" t="s">
        <v>170</v>
      </c>
      <c r="AC21" s="19"/>
      <c r="AD21" s="13" t="s">
        <v>160</v>
      </c>
      <c r="AG21" s="19"/>
      <c r="AI21" s="19"/>
      <c r="AJ21" s="20"/>
      <c r="AL21" s="19" t="s">
        <v>232</v>
      </c>
      <c r="AM21" s="24">
        <v>693600</v>
      </c>
      <c r="BU21" s="19" t="s">
        <v>232</v>
      </c>
      <c r="BX21" s="24">
        <v>606236.88</v>
      </c>
      <c r="BY21" s="24">
        <v>556736.93999999994</v>
      </c>
      <c r="BZ21" s="27">
        <v>606237</v>
      </c>
      <c r="CA21" s="24">
        <v>514612.5</v>
      </c>
      <c r="CB21" s="24">
        <v>609341.68000000005</v>
      </c>
      <c r="CC21" s="24">
        <v>562635</v>
      </c>
      <c r="CD21" s="24">
        <v>609341.68000000005</v>
      </c>
      <c r="CE21" s="24">
        <v>538195.14</v>
      </c>
      <c r="CF21" s="24">
        <v>606237</v>
      </c>
      <c r="CG21" s="24">
        <v>504645.49</v>
      </c>
      <c r="CH21" s="24">
        <v>606237</v>
      </c>
      <c r="CI21" s="24">
        <v>489898.87</v>
      </c>
      <c r="CJ21" s="24">
        <v>606237</v>
      </c>
      <c r="CK21" s="24">
        <v>457996.4</v>
      </c>
      <c r="CL21" s="24">
        <v>578824</v>
      </c>
      <c r="CM21" s="24">
        <v>40797.53</v>
      </c>
      <c r="CN21" s="24">
        <f t="shared" si="7"/>
        <v>619621.53</v>
      </c>
      <c r="CO21" s="24">
        <v>443879.79</v>
      </c>
      <c r="CP21" s="24">
        <v>578824.34</v>
      </c>
      <c r="CQ21" s="24">
        <v>40797.53</v>
      </c>
      <c r="CR21" s="24">
        <f t="shared" si="8"/>
        <v>619621.87</v>
      </c>
      <c r="CS21" s="24">
        <v>515259.57</v>
      </c>
      <c r="CT21" s="24">
        <v>578824.34</v>
      </c>
      <c r="CU21" s="24">
        <v>40797.53</v>
      </c>
      <c r="CV21" s="24">
        <f t="shared" si="9"/>
        <v>619621.87</v>
      </c>
      <c r="CW21" s="24">
        <v>526256.62</v>
      </c>
      <c r="CX21" s="24">
        <v>578824.34</v>
      </c>
      <c r="CY21" s="24">
        <v>40797.53</v>
      </c>
      <c r="CZ21" s="24">
        <f t="shared" si="10"/>
        <v>619621.87</v>
      </c>
      <c r="DA21" s="27">
        <v>516746.88</v>
      </c>
      <c r="DB21" s="24">
        <v>578824.34</v>
      </c>
      <c r="DC21" s="24">
        <v>40797.53</v>
      </c>
      <c r="DD21" s="24">
        <f t="shared" si="16"/>
        <v>619621.87</v>
      </c>
      <c r="DE21" s="24">
        <v>523176.43</v>
      </c>
      <c r="DJ21" s="19" t="s">
        <v>232</v>
      </c>
      <c r="DK21" s="24">
        <v>693600</v>
      </c>
      <c r="DL21" s="24">
        <v>502718.95</v>
      </c>
      <c r="DM21" s="24">
        <v>693600</v>
      </c>
      <c r="DN21" s="24">
        <v>534609.54</v>
      </c>
      <c r="DO21" s="24">
        <v>693600</v>
      </c>
      <c r="DP21" s="28">
        <v>558064.12</v>
      </c>
      <c r="DQ21" s="24">
        <v>693600</v>
      </c>
      <c r="DR21" s="24"/>
      <c r="DS21" s="25">
        <f t="shared" si="4"/>
        <v>72.479664071510967</v>
      </c>
      <c r="DT21" s="25">
        <f t="shared" si="5"/>
        <v>77.077500000000015</v>
      </c>
      <c r="DU21" s="25">
        <f t="shared" si="6"/>
        <v>80.45907151095733</v>
      </c>
      <c r="DV21" s="24"/>
      <c r="DW21" s="25"/>
    </row>
    <row r="22" spans="1:127" s="13" customFormat="1" ht="15.95" customHeight="1" x14ac:dyDescent="0.2">
      <c r="A22" s="13" t="s">
        <v>143</v>
      </c>
      <c r="B22" s="26" t="s">
        <v>144</v>
      </c>
      <c r="C22" s="13" t="s">
        <v>145</v>
      </c>
      <c r="D22" s="26" t="s">
        <v>146</v>
      </c>
      <c r="E22" s="13" t="s">
        <v>147</v>
      </c>
      <c r="G22" s="13" t="s">
        <v>148</v>
      </c>
      <c r="H22" s="26" t="s">
        <v>149</v>
      </c>
      <c r="I22" s="13" t="s">
        <v>150</v>
      </c>
      <c r="J22" s="19" t="s">
        <v>151</v>
      </c>
      <c r="K22" s="26" t="s">
        <v>152</v>
      </c>
      <c r="L22" s="13" t="s">
        <v>206</v>
      </c>
      <c r="M22" s="19" t="s">
        <v>201</v>
      </c>
      <c r="N22" s="14" t="s">
        <v>200</v>
      </c>
      <c r="O22" s="19">
        <v>1</v>
      </c>
      <c r="Q22" s="14" t="s">
        <v>234</v>
      </c>
      <c r="R22" s="30" t="s">
        <v>235</v>
      </c>
      <c r="S22" s="30" t="s">
        <v>177</v>
      </c>
      <c r="T22" s="31" t="s">
        <v>236</v>
      </c>
      <c r="U22" s="30" t="s">
        <v>237</v>
      </c>
      <c r="V22" s="19"/>
      <c r="W22" s="19"/>
      <c r="X22" s="19"/>
      <c r="Y22" s="19"/>
      <c r="Z22" s="19"/>
      <c r="AA22" s="19"/>
      <c r="AB22" s="19" t="s">
        <v>159</v>
      </c>
      <c r="AC22" s="19"/>
      <c r="AD22" s="13" t="s">
        <v>160</v>
      </c>
      <c r="AG22" s="19"/>
      <c r="AI22" s="19"/>
      <c r="AJ22" s="20"/>
      <c r="AL22" s="19" t="s">
        <v>236</v>
      </c>
      <c r="AM22" s="24">
        <v>520200</v>
      </c>
      <c r="BU22" s="19" t="s">
        <v>236</v>
      </c>
      <c r="BX22" s="24">
        <v>433719.55</v>
      </c>
      <c r="BY22" s="24">
        <v>357248.16000000003</v>
      </c>
      <c r="BZ22" s="27">
        <v>433720</v>
      </c>
      <c r="CA22" s="24">
        <v>339284.07</v>
      </c>
      <c r="CB22" s="24">
        <v>435752.45</v>
      </c>
      <c r="CC22" s="24">
        <v>346780.12</v>
      </c>
      <c r="CD22" s="24">
        <v>435752.45</v>
      </c>
      <c r="CE22" s="24">
        <v>352022.55</v>
      </c>
      <c r="CF22" s="24">
        <v>433720</v>
      </c>
      <c r="CG22" s="24">
        <v>322343.78000000003</v>
      </c>
      <c r="CH22" s="24">
        <v>433720</v>
      </c>
      <c r="CI22" s="24">
        <v>354699.68</v>
      </c>
      <c r="CJ22" s="24">
        <v>433720</v>
      </c>
      <c r="CK22" s="24">
        <v>335843.03</v>
      </c>
      <c r="CL22" s="24">
        <v>425922</v>
      </c>
      <c r="CM22" s="24">
        <v>11512.47</v>
      </c>
      <c r="CN22" s="24">
        <f t="shared" si="7"/>
        <v>437434.47</v>
      </c>
      <c r="CO22" s="24">
        <v>302438.21999999997</v>
      </c>
      <c r="CP22" s="24">
        <v>425921.75</v>
      </c>
      <c r="CQ22" s="24">
        <v>11512.47</v>
      </c>
      <c r="CR22" s="24">
        <f t="shared" si="8"/>
        <v>437434.22</v>
      </c>
      <c r="CS22" s="24">
        <v>308325.55</v>
      </c>
      <c r="CT22" s="24">
        <v>425921.75</v>
      </c>
      <c r="CU22" s="24">
        <v>11512.47</v>
      </c>
      <c r="CV22" s="24">
        <f t="shared" si="9"/>
        <v>437434.22</v>
      </c>
      <c r="CW22" s="24">
        <v>370927.6</v>
      </c>
      <c r="CX22" s="24">
        <v>425921.75</v>
      </c>
      <c r="CY22" s="24">
        <v>11512.47</v>
      </c>
      <c r="CZ22" s="24">
        <f t="shared" si="10"/>
        <v>437434.22</v>
      </c>
      <c r="DA22" s="27">
        <v>357030.75</v>
      </c>
      <c r="DB22" s="24">
        <v>425921.75</v>
      </c>
      <c r="DC22" s="24">
        <v>11512.47</v>
      </c>
      <c r="DD22" s="24">
        <f t="shared" si="16"/>
        <v>437434.22</v>
      </c>
      <c r="DE22" s="24">
        <v>350842.52</v>
      </c>
      <c r="DJ22" s="19" t="s">
        <v>236</v>
      </c>
      <c r="DK22" s="24">
        <v>520200</v>
      </c>
      <c r="DL22" s="24">
        <v>366498.43</v>
      </c>
      <c r="DM22" s="24">
        <v>520200</v>
      </c>
      <c r="DN22" s="24">
        <v>381468.26</v>
      </c>
      <c r="DO22" s="24">
        <v>520200</v>
      </c>
      <c r="DP22" s="28">
        <v>424613.61</v>
      </c>
      <c r="DQ22" s="24">
        <v>520200</v>
      </c>
      <c r="DR22" s="24"/>
      <c r="DS22" s="25">
        <f t="shared" si="4"/>
        <v>70.45336985774702</v>
      </c>
      <c r="DT22" s="25">
        <f t="shared" si="5"/>
        <v>73.331076509034986</v>
      </c>
      <c r="DU22" s="25">
        <f t="shared" si="6"/>
        <v>81.62506920415224</v>
      </c>
      <c r="DV22" s="24"/>
      <c r="DW22" s="25"/>
    </row>
    <row r="23" spans="1:127" s="13" customFormat="1" ht="15.95" customHeight="1" x14ac:dyDescent="0.2">
      <c r="A23" s="13" t="s">
        <v>143</v>
      </c>
      <c r="B23" s="26" t="s">
        <v>144</v>
      </c>
      <c r="C23" s="13" t="s">
        <v>145</v>
      </c>
      <c r="D23" s="26" t="s">
        <v>146</v>
      </c>
      <c r="E23" s="13" t="s">
        <v>147</v>
      </c>
      <c r="G23" s="13" t="s">
        <v>148</v>
      </c>
      <c r="H23" s="26" t="s">
        <v>149</v>
      </c>
      <c r="I23" s="13" t="s">
        <v>150</v>
      </c>
      <c r="J23" s="19" t="s">
        <v>151</v>
      </c>
      <c r="K23" s="26" t="s">
        <v>152</v>
      </c>
      <c r="L23" s="13" t="s">
        <v>206</v>
      </c>
      <c r="M23" s="19" t="s">
        <v>201</v>
      </c>
      <c r="N23" s="14" t="s">
        <v>200</v>
      </c>
      <c r="O23" s="19">
        <v>1</v>
      </c>
      <c r="Q23" s="14" t="s">
        <v>238</v>
      </c>
      <c r="R23" s="30" t="s">
        <v>239</v>
      </c>
      <c r="S23" s="30" t="s">
        <v>177</v>
      </c>
      <c r="T23" s="31" t="s">
        <v>240</v>
      </c>
      <c r="U23" s="30" t="s">
        <v>237</v>
      </c>
      <c r="V23" s="19"/>
      <c r="W23" s="19"/>
      <c r="X23" s="19"/>
      <c r="Y23" s="19"/>
      <c r="Z23" s="19"/>
      <c r="AA23" s="19"/>
      <c r="AB23" s="19" t="s">
        <v>165</v>
      </c>
      <c r="AC23" s="19"/>
      <c r="AD23" s="13" t="s">
        <v>160</v>
      </c>
      <c r="AG23" s="19"/>
      <c r="AI23" s="19"/>
      <c r="AJ23" s="20"/>
      <c r="AL23" s="19" t="s">
        <v>240</v>
      </c>
      <c r="AM23" s="24">
        <v>553093.98</v>
      </c>
      <c r="AY23" s="19" t="s">
        <v>241</v>
      </c>
      <c r="AZ23" s="13" t="s">
        <v>242</v>
      </c>
      <c r="BU23" s="19" t="s">
        <v>240</v>
      </c>
      <c r="BX23" s="24">
        <v>473982.87</v>
      </c>
      <c r="BY23" s="24">
        <v>401942.01999999996</v>
      </c>
      <c r="BZ23" s="27">
        <v>473983</v>
      </c>
      <c r="CA23" s="24">
        <v>401412.51</v>
      </c>
      <c r="CB23" s="24">
        <v>475173.57</v>
      </c>
      <c r="CC23" s="24">
        <v>409585.17</v>
      </c>
      <c r="CD23" s="24">
        <v>475173.57</v>
      </c>
      <c r="CE23" s="24">
        <v>401862.2</v>
      </c>
      <c r="CF23" s="24">
        <v>473983</v>
      </c>
      <c r="CG23" s="24">
        <v>390433.63</v>
      </c>
      <c r="CH23" s="24">
        <v>473983</v>
      </c>
      <c r="CI23" s="24">
        <v>380915.04</v>
      </c>
      <c r="CJ23" s="24">
        <v>473983</v>
      </c>
      <c r="CK23" s="24">
        <v>379845.86</v>
      </c>
      <c r="CL23" s="24">
        <v>440506</v>
      </c>
      <c r="CM23" s="24">
        <v>50157.8</v>
      </c>
      <c r="CN23" s="24">
        <f t="shared" si="7"/>
        <v>490663.8</v>
      </c>
      <c r="CO23" s="24">
        <v>327303.67</v>
      </c>
      <c r="CP23" s="24">
        <v>440505.96</v>
      </c>
      <c r="CQ23" s="24">
        <v>50157.8</v>
      </c>
      <c r="CR23" s="24">
        <f t="shared" si="8"/>
        <v>490663.76</v>
      </c>
      <c r="CS23" s="24">
        <v>336623.34</v>
      </c>
      <c r="CT23" s="24">
        <v>440505.96</v>
      </c>
      <c r="CU23" s="24">
        <v>50157.8</v>
      </c>
      <c r="CV23" s="24">
        <f t="shared" si="9"/>
        <v>490663.76</v>
      </c>
      <c r="CW23" s="24">
        <v>260211.99</v>
      </c>
      <c r="CX23" s="24">
        <v>440505.96</v>
      </c>
      <c r="CY23" s="24">
        <v>50157.8</v>
      </c>
      <c r="CZ23" s="24">
        <f t="shared" si="10"/>
        <v>490663.76</v>
      </c>
      <c r="DA23" s="27">
        <v>303760.25</v>
      </c>
      <c r="DB23" s="24">
        <v>440505.96</v>
      </c>
      <c r="DC23" s="24">
        <v>50157.8</v>
      </c>
      <c r="DD23" s="24">
        <f t="shared" si="16"/>
        <v>490663.76</v>
      </c>
      <c r="DE23" s="24">
        <v>325289.68</v>
      </c>
      <c r="DJ23" s="19" t="s">
        <v>240</v>
      </c>
      <c r="DK23" s="24">
        <v>553093.98</v>
      </c>
      <c r="DL23" s="24">
        <v>309590.90000000002</v>
      </c>
      <c r="DM23" s="24">
        <v>553093.98</v>
      </c>
      <c r="DN23" s="24">
        <v>316358.27</v>
      </c>
      <c r="DO23" s="24">
        <v>553093.98</v>
      </c>
      <c r="DP23" s="28">
        <v>365212.7</v>
      </c>
      <c r="DQ23" s="24">
        <v>553093.98</v>
      </c>
      <c r="DR23" s="24"/>
      <c r="DS23" s="25">
        <f t="shared" si="4"/>
        <v>55.974375277055088</v>
      </c>
      <c r="DT23" s="25">
        <f t="shared" si="5"/>
        <v>57.197923217316529</v>
      </c>
      <c r="DU23" s="25">
        <f t="shared" si="6"/>
        <v>66.030857902304419</v>
      </c>
      <c r="DV23" s="24"/>
      <c r="DW23" s="25"/>
    </row>
    <row r="24" spans="1:127" s="13" customFormat="1" ht="15.95" customHeight="1" x14ac:dyDescent="0.2">
      <c r="A24" s="13" t="s">
        <v>143</v>
      </c>
      <c r="B24" s="26" t="s">
        <v>144</v>
      </c>
      <c r="C24" s="13" t="s">
        <v>145</v>
      </c>
      <c r="D24" s="26" t="s">
        <v>146</v>
      </c>
      <c r="E24" s="13" t="s">
        <v>147</v>
      </c>
      <c r="G24" s="13" t="s">
        <v>148</v>
      </c>
      <c r="H24" s="26" t="s">
        <v>149</v>
      </c>
      <c r="I24" s="13" t="s">
        <v>150</v>
      </c>
      <c r="J24" s="19" t="s">
        <v>151</v>
      </c>
      <c r="K24" s="26" t="s">
        <v>152</v>
      </c>
      <c r="L24" s="13" t="s">
        <v>206</v>
      </c>
      <c r="M24" s="19" t="s">
        <v>201</v>
      </c>
      <c r="N24" s="14" t="s">
        <v>200</v>
      </c>
      <c r="O24" s="19">
        <v>1</v>
      </c>
      <c r="Q24" s="14" t="s">
        <v>243</v>
      </c>
      <c r="R24" s="13" t="s">
        <v>244</v>
      </c>
      <c r="S24" s="13" t="s">
        <v>163</v>
      </c>
      <c r="T24" s="19" t="s">
        <v>245</v>
      </c>
      <c r="U24" s="13" t="s">
        <v>246</v>
      </c>
      <c r="V24" s="19"/>
      <c r="W24" s="19"/>
      <c r="X24" s="19"/>
      <c r="Y24" s="19"/>
      <c r="Z24" s="19"/>
      <c r="AA24" s="19"/>
      <c r="AB24" s="19" t="s">
        <v>159</v>
      </c>
      <c r="AC24" s="19"/>
      <c r="AD24" s="13" t="s">
        <v>160</v>
      </c>
      <c r="AG24" s="19"/>
      <c r="AI24" s="19"/>
      <c r="AJ24" s="20"/>
      <c r="AL24" s="19" t="s">
        <v>245</v>
      </c>
      <c r="AM24" s="24">
        <v>511020</v>
      </c>
      <c r="BU24" s="19" t="s">
        <v>245</v>
      </c>
      <c r="BX24" s="24">
        <v>374957.54</v>
      </c>
      <c r="BY24" s="24">
        <v>312663.32999999996</v>
      </c>
      <c r="BZ24" s="27">
        <v>374958</v>
      </c>
      <c r="CA24" s="24">
        <v>339822.79</v>
      </c>
      <c r="CB24" s="24">
        <v>376990.44</v>
      </c>
      <c r="CC24" s="24">
        <v>323467.38</v>
      </c>
      <c r="CD24" s="24">
        <v>376990.44</v>
      </c>
      <c r="CE24" s="24">
        <v>309113.96999999997</v>
      </c>
      <c r="CF24" s="24">
        <v>374958</v>
      </c>
      <c r="CG24" s="24">
        <v>309890.56</v>
      </c>
      <c r="CH24" s="24">
        <v>374958</v>
      </c>
      <c r="CI24" s="24">
        <v>304189.40000000002</v>
      </c>
      <c r="CJ24" s="24">
        <v>374958</v>
      </c>
      <c r="CK24" s="24">
        <v>268374.87</v>
      </c>
      <c r="CL24" s="24">
        <v>366557</v>
      </c>
      <c r="CM24" s="24">
        <v>12408.5</v>
      </c>
      <c r="CN24" s="24">
        <f t="shared" si="7"/>
        <v>378965.5</v>
      </c>
      <c r="CO24" s="24">
        <v>303933.48</v>
      </c>
      <c r="CP24" s="24">
        <v>366557.01</v>
      </c>
      <c r="CQ24" s="24">
        <v>12408.5</v>
      </c>
      <c r="CR24" s="24">
        <f t="shared" si="8"/>
        <v>378965.51</v>
      </c>
      <c r="CS24" s="24">
        <v>310501.64</v>
      </c>
      <c r="CT24" s="24">
        <v>366557.01</v>
      </c>
      <c r="CU24" s="24">
        <v>12408.5</v>
      </c>
      <c r="CV24" s="24">
        <f t="shared" si="9"/>
        <v>378965.51</v>
      </c>
      <c r="CW24" s="24">
        <v>338099.44</v>
      </c>
      <c r="CX24" s="24">
        <v>366557.01</v>
      </c>
      <c r="CY24" s="24">
        <v>12408.5</v>
      </c>
      <c r="CZ24" s="24">
        <f t="shared" si="10"/>
        <v>378965.51</v>
      </c>
      <c r="DA24" s="27">
        <v>324735.34999999998</v>
      </c>
      <c r="DB24" s="24">
        <v>366557.01</v>
      </c>
      <c r="DC24" s="24">
        <v>12408.5</v>
      </c>
      <c r="DD24" s="24">
        <f t="shared" si="16"/>
        <v>378965.51</v>
      </c>
      <c r="DE24" s="24">
        <v>325535.12</v>
      </c>
      <c r="DJ24" s="19" t="s">
        <v>245</v>
      </c>
      <c r="DK24" s="24">
        <v>511020</v>
      </c>
      <c r="DL24" s="24">
        <v>345482.13</v>
      </c>
      <c r="DM24" s="24">
        <v>511020</v>
      </c>
      <c r="DN24" s="24">
        <v>399605.08</v>
      </c>
      <c r="DO24" s="24">
        <v>511020</v>
      </c>
      <c r="DP24" s="28">
        <v>399879.87</v>
      </c>
      <c r="DQ24" s="24">
        <v>511020</v>
      </c>
      <c r="DR24" s="24"/>
      <c r="DS24" s="25">
        <f t="shared" si="4"/>
        <v>67.606381354937184</v>
      </c>
      <c r="DT24" s="25">
        <f t="shared" si="5"/>
        <v>78.197542170560837</v>
      </c>
      <c r="DU24" s="25">
        <f t="shared" si="6"/>
        <v>78.251315017024766</v>
      </c>
      <c r="DV24" s="24"/>
      <c r="DW24" s="25"/>
    </row>
    <row r="25" spans="1:127" s="13" customFormat="1" ht="15.95" customHeight="1" x14ac:dyDescent="0.2">
      <c r="A25" s="13" t="s">
        <v>143</v>
      </c>
      <c r="B25" s="26" t="s">
        <v>144</v>
      </c>
      <c r="C25" s="13" t="s">
        <v>145</v>
      </c>
      <c r="D25" s="26" t="s">
        <v>146</v>
      </c>
      <c r="E25" s="13" t="s">
        <v>147</v>
      </c>
      <c r="G25" s="13" t="s">
        <v>148</v>
      </c>
      <c r="H25" s="26" t="s">
        <v>149</v>
      </c>
      <c r="I25" s="13" t="s">
        <v>150</v>
      </c>
      <c r="J25" s="19" t="s">
        <v>151</v>
      </c>
      <c r="K25" s="26" t="s">
        <v>152</v>
      </c>
      <c r="L25" s="13" t="s">
        <v>206</v>
      </c>
      <c r="M25" s="19" t="s">
        <v>201</v>
      </c>
      <c r="N25" s="14" t="s">
        <v>200</v>
      </c>
      <c r="O25" s="19">
        <v>1</v>
      </c>
      <c r="Q25" s="14" t="s">
        <v>247</v>
      </c>
      <c r="R25" s="13" t="s">
        <v>248</v>
      </c>
      <c r="S25" s="13" t="s">
        <v>156</v>
      </c>
      <c r="T25" s="19" t="s">
        <v>249</v>
      </c>
      <c r="U25" s="13" t="s">
        <v>246</v>
      </c>
      <c r="V25" s="19"/>
      <c r="W25" s="19"/>
      <c r="X25" s="19"/>
      <c r="Y25" s="19"/>
      <c r="Z25" s="19"/>
      <c r="AA25" s="19"/>
      <c r="AB25" s="19" t="s">
        <v>165</v>
      </c>
      <c r="AC25" s="19"/>
      <c r="AD25" s="13" t="s">
        <v>160</v>
      </c>
      <c r="AG25" s="19"/>
      <c r="AI25" s="19"/>
      <c r="AJ25" s="20"/>
      <c r="AL25" s="19" t="s">
        <v>249</v>
      </c>
      <c r="AM25" s="24">
        <v>511020</v>
      </c>
      <c r="BU25" s="19" t="s">
        <v>249</v>
      </c>
      <c r="BX25" s="24">
        <v>388262.42</v>
      </c>
      <c r="BY25" s="24">
        <v>319759.70999999996</v>
      </c>
      <c r="BZ25" s="27">
        <v>388262</v>
      </c>
      <c r="CA25" s="24">
        <v>313002.03000000003</v>
      </c>
      <c r="CB25" s="24">
        <v>389453.12</v>
      </c>
      <c r="CC25" s="24">
        <v>321688.7</v>
      </c>
      <c r="CD25" s="24">
        <v>389453.12</v>
      </c>
      <c r="CE25" s="24">
        <v>332444.82</v>
      </c>
      <c r="CF25" s="24">
        <v>388262</v>
      </c>
      <c r="CG25" s="24">
        <v>326343.7</v>
      </c>
      <c r="CH25" s="24">
        <v>388262</v>
      </c>
      <c r="CI25" s="24">
        <v>323572.26</v>
      </c>
      <c r="CJ25" s="24">
        <v>388262</v>
      </c>
      <c r="CK25" s="24">
        <v>283892.06</v>
      </c>
      <c r="CL25" s="24">
        <v>364870</v>
      </c>
      <c r="CM25" s="24">
        <v>34970.949999999997</v>
      </c>
      <c r="CN25" s="24">
        <f t="shared" si="7"/>
        <v>399840.95</v>
      </c>
      <c r="CO25" s="24">
        <v>320096.62</v>
      </c>
      <c r="CP25" s="24">
        <v>364870.16</v>
      </c>
      <c r="CQ25" s="24">
        <v>34970.949999999997</v>
      </c>
      <c r="CR25" s="24">
        <f t="shared" si="8"/>
        <v>399841.11</v>
      </c>
      <c r="CS25" s="24">
        <v>321144.88</v>
      </c>
      <c r="CT25" s="24">
        <v>364870.16</v>
      </c>
      <c r="CU25" s="24">
        <v>34970.949999999997</v>
      </c>
      <c r="CV25" s="24">
        <f t="shared" si="9"/>
        <v>399841.11</v>
      </c>
      <c r="CW25" s="24">
        <v>340556.17</v>
      </c>
      <c r="CX25" s="24">
        <v>364870.16</v>
      </c>
      <c r="CY25" s="24">
        <v>34970.949999999997</v>
      </c>
      <c r="CZ25" s="24">
        <f t="shared" si="10"/>
        <v>399841.11</v>
      </c>
      <c r="DA25" s="27">
        <v>330331.88</v>
      </c>
      <c r="DB25" s="24">
        <v>364870.16</v>
      </c>
      <c r="DC25" s="24">
        <v>34970.949999999997</v>
      </c>
      <c r="DD25" s="24">
        <f t="shared" si="16"/>
        <v>399841.11</v>
      </c>
      <c r="DE25" s="24">
        <v>353876.25</v>
      </c>
      <c r="DJ25" s="19" t="s">
        <v>249</v>
      </c>
      <c r="DK25" s="24">
        <v>511020</v>
      </c>
      <c r="DL25" s="24">
        <v>364566.77</v>
      </c>
      <c r="DM25" s="24">
        <v>511020</v>
      </c>
      <c r="DN25" s="24">
        <v>396089.29</v>
      </c>
      <c r="DO25" s="24">
        <v>511020</v>
      </c>
      <c r="DP25" s="28">
        <v>395815.49</v>
      </c>
      <c r="DQ25" s="24">
        <v>511020</v>
      </c>
      <c r="DR25" s="24"/>
      <c r="DS25" s="25">
        <f t="shared" si="4"/>
        <v>71.340998395366128</v>
      </c>
      <c r="DT25" s="25">
        <f t="shared" si="5"/>
        <v>77.509547571523612</v>
      </c>
      <c r="DU25" s="25">
        <f t="shared" si="6"/>
        <v>77.455968455246378</v>
      </c>
      <c r="DV25" s="24"/>
      <c r="DW25" s="25"/>
    </row>
    <row r="26" spans="1:127" s="13" customFormat="1" ht="15.95" customHeight="1" x14ac:dyDescent="0.2">
      <c r="A26" s="13" t="s">
        <v>143</v>
      </c>
      <c r="B26" s="26" t="s">
        <v>144</v>
      </c>
      <c r="C26" s="13" t="s">
        <v>145</v>
      </c>
      <c r="D26" s="26" t="s">
        <v>146</v>
      </c>
      <c r="E26" s="13" t="s">
        <v>147</v>
      </c>
      <c r="G26" s="13" t="s">
        <v>148</v>
      </c>
      <c r="H26" s="26" t="s">
        <v>149</v>
      </c>
      <c r="I26" s="13" t="s">
        <v>150</v>
      </c>
      <c r="J26" s="19" t="s">
        <v>151</v>
      </c>
      <c r="K26" s="26" t="s">
        <v>152</v>
      </c>
      <c r="L26" s="13" t="s">
        <v>206</v>
      </c>
      <c r="M26" s="19" t="s">
        <v>201</v>
      </c>
      <c r="N26" s="14" t="s">
        <v>200</v>
      </c>
      <c r="O26" s="19">
        <v>1</v>
      </c>
      <c r="Q26" s="14" t="s">
        <v>250</v>
      </c>
      <c r="R26" s="30" t="s">
        <v>251</v>
      </c>
      <c r="S26" s="30" t="s">
        <v>177</v>
      </c>
      <c r="T26" s="31" t="s">
        <v>252</v>
      </c>
      <c r="U26" s="30" t="s">
        <v>253</v>
      </c>
      <c r="V26" s="19"/>
      <c r="W26" s="19"/>
      <c r="X26" s="19"/>
      <c r="Y26" s="19"/>
      <c r="Z26" s="19"/>
      <c r="AA26" s="19"/>
      <c r="AB26" s="19" t="s">
        <v>195</v>
      </c>
      <c r="AC26" s="19"/>
      <c r="AD26" s="13" t="s">
        <v>160</v>
      </c>
      <c r="AG26" s="19" t="s">
        <v>254</v>
      </c>
      <c r="AI26" s="19" t="s">
        <v>195</v>
      </c>
      <c r="AJ26" s="20"/>
      <c r="AL26" s="19" t="s">
        <v>252</v>
      </c>
      <c r="AM26" s="24">
        <v>460020</v>
      </c>
      <c r="BS26" s="19">
        <v>5441</v>
      </c>
      <c r="BT26" s="13" t="s">
        <v>255</v>
      </c>
      <c r="BU26" s="19" t="s">
        <v>252</v>
      </c>
      <c r="BX26" s="24">
        <v>337032.1</v>
      </c>
      <c r="BY26" s="24">
        <v>323001.84999999998</v>
      </c>
      <c r="BZ26" s="27">
        <v>337032</v>
      </c>
      <c r="CA26" s="24">
        <v>314088.76</v>
      </c>
      <c r="CB26" s="24">
        <v>337032.1</v>
      </c>
      <c r="CC26" s="24">
        <v>304112.42</v>
      </c>
      <c r="CD26" s="24">
        <v>337032.1</v>
      </c>
      <c r="CE26" s="24">
        <v>341338.69</v>
      </c>
      <c r="CF26" s="24">
        <v>337032</v>
      </c>
      <c r="CG26" s="24">
        <v>240847.34</v>
      </c>
      <c r="CH26" s="24">
        <v>337032</v>
      </c>
      <c r="CI26" s="24">
        <v>238107.61</v>
      </c>
      <c r="CJ26" s="24">
        <v>337032</v>
      </c>
      <c r="CK26" s="24">
        <v>274684.34000000003</v>
      </c>
      <c r="CL26" s="24">
        <v>337032</v>
      </c>
      <c r="CM26" s="24">
        <v>0</v>
      </c>
      <c r="CN26" s="24">
        <f t="shared" si="7"/>
        <v>337032</v>
      </c>
      <c r="CO26" s="24">
        <v>303251.51</v>
      </c>
      <c r="CP26" s="24">
        <v>337032</v>
      </c>
      <c r="CQ26" s="24">
        <v>0</v>
      </c>
      <c r="CR26" s="24">
        <f t="shared" si="8"/>
        <v>337032</v>
      </c>
      <c r="CS26" s="24">
        <v>369406.98</v>
      </c>
      <c r="CT26" s="24">
        <v>337032</v>
      </c>
      <c r="CU26" s="24">
        <v>0</v>
      </c>
      <c r="CV26" s="24">
        <f t="shared" si="9"/>
        <v>337032</v>
      </c>
      <c r="CW26" s="24">
        <v>383810.36</v>
      </c>
      <c r="CX26" s="24">
        <v>337032</v>
      </c>
      <c r="CY26" s="24">
        <v>0</v>
      </c>
      <c r="CZ26" s="24">
        <f t="shared" si="10"/>
        <v>337032</v>
      </c>
      <c r="DA26" s="27">
        <v>341275.83</v>
      </c>
      <c r="DB26" s="24">
        <v>337032</v>
      </c>
      <c r="DC26" s="24">
        <v>0</v>
      </c>
      <c r="DD26" s="24">
        <f t="shared" si="16"/>
        <v>337032</v>
      </c>
      <c r="DE26" s="24">
        <v>326480.28000000003</v>
      </c>
      <c r="DJ26" s="19" t="s">
        <v>252</v>
      </c>
      <c r="DK26" s="24">
        <v>460020</v>
      </c>
      <c r="DL26" s="24">
        <v>320012.32</v>
      </c>
      <c r="DM26" s="24">
        <v>460020</v>
      </c>
      <c r="DN26" s="24">
        <v>327711.31</v>
      </c>
      <c r="DO26" s="24">
        <v>460020</v>
      </c>
      <c r="DP26" s="28">
        <v>405729.44</v>
      </c>
      <c r="DQ26" s="24">
        <v>460020</v>
      </c>
      <c r="DR26" s="24"/>
      <c r="DS26" s="25">
        <f t="shared" si="4"/>
        <v>69.564871092561191</v>
      </c>
      <c r="DT26" s="25">
        <f t="shared" si="5"/>
        <v>71.23849180470414</v>
      </c>
      <c r="DU26" s="25">
        <f t="shared" si="6"/>
        <v>88.198217468805709</v>
      </c>
      <c r="DV26" s="24"/>
      <c r="DW26" s="25"/>
    </row>
    <row r="28" spans="1:127" s="13" customFormat="1" ht="15.95" customHeight="1" x14ac:dyDescent="0.2">
      <c r="N28" s="19">
        <v>313</v>
      </c>
      <c r="O28" s="20"/>
      <c r="Q28" s="16" t="s">
        <v>256</v>
      </c>
      <c r="R28" s="17" t="s">
        <v>257</v>
      </c>
      <c r="S28" s="17" t="s">
        <v>136</v>
      </c>
      <c r="T28" s="18">
        <v>313</v>
      </c>
      <c r="U28" s="17" t="s">
        <v>258</v>
      </c>
      <c r="V28" s="18"/>
      <c r="W28" s="19" t="s">
        <v>259</v>
      </c>
      <c r="X28" s="18">
        <f>COUNTIF($AB29:$AB39,"A")</f>
        <v>4</v>
      </c>
      <c r="Y28" s="18">
        <f>COUNTIF($AB29:$AB39,"B")</f>
        <v>4</v>
      </c>
      <c r="Z28" s="18">
        <f>COUNTIF($AB29:$AB39,"G")</f>
        <v>0</v>
      </c>
      <c r="AA28" s="18">
        <f>COUNTIF($AB29:$AB39,"C")</f>
        <v>3</v>
      </c>
      <c r="AB28" s="19">
        <f>COUNTA(AB29:AB39)</f>
        <v>11</v>
      </c>
      <c r="AC28" s="18">
        <f>Y28+Z28</f>
        <v>4</v>
      </c>
      <c r="AG28" s="19" t="s">
        <v>260</v>
      </c>
      <c r="AH28" s="13" t="s">
        <v>261</v>
      </c>
      <c r="AI28" s="19" t="s">
        <v>62</v>
      </c>
      <c r="AJ28" s="20"/>
      <c r="AL28" s="18">
        <v>313</v>
      </c>
      <c r="AM28" s="21">
        <f t="shared" ref="AM28" si="17">SUM(AM29:AM39)</f>
        <v>3713784.3000000003</v>
      </c>
      <c r="AU28" s="18" t="s">
        <v>151</v>
      </c>
      <c r="AV28" s="17" t="s">
        <v>262</v>
      </c>
      <c r="BU28" s="18">
        <v>313</v>
      </c>
      <c r="BV28" s="17"/>
      <c r="BX28" s="21">
        <f t="shared" ref="BX28:DE28" si="18">SUM(BX29:BX39)</f>
        <v>3079392.4299999997</v>
      </c>
      <c r="BY28" s="21">
        <f t="shared" si="18"/>
        <v>2260059.7100000004</v>
      </c>
      <c r="BZ28" s="21">
        <f t="shared" si="18"/>
        <v>3079392</v>
      </c>
      <c r="CA28" s="21">
        <f t="shared" si="18"/>
        <v>2317158.9</v>
      </c>
      <c r="CB28" s="21">
        <f t="shared" si="18"/>
        <v>3092286.83</v>
      </c>
      <c r="CC28" s="21">
        <f t="shared" si="18"/>
        <v>2626096.3199999998</v>
      </c>
      <c r="CD28" s="21">
        <f t="shared" si="18"/>
        <v>3092286.83</v>
      </c>
      <c r="CE28" s="21">
        <f t="shared" si="18"/>
        <v>2617648.12</v>
      </c>
      <c r="CF28" s="21">
        <f t="shared" si="18"/>
        <v>3079392</v>
      </c>
      <c r="CG28" s="21">
        <f t="shared" si="18"/>
        <v>2574198.56</v>
      </c>
      <c r="CH28" s="21">
        <f t="shared" si="18"/>
        <v>3079392</v>
      </c>
      <c r="CI28" s="21">
        <f t="shared" si="18"/>
        <v>2650855.48</v>
      </c>
      <c r="CJ28" s="21">
        <f t="shared" si="18"/>
        <v>3079392</v>
      </c>
      <c r="CK28" s="21">
        <f t="shared" si="18"/>
        <v>2510190.0100000002</v>
      </c>
      <c r="CL28" s="21">
        <f t="shared" si="18"/>
        <v>3042677</v>
      </c>
      <c r="CM28" s="21">
        <f t="shared" si="18"/>
        <v>54250.05</v>
      </c>
      <c r="CN28" s="21">
        <f t="shared" si="18"/>
        <v>3096927.05</v>
      </c>
      <c r="CO28" s="21">
        <f t="shared" si="18"/>
        <v>2586433.96</v>
      </c>
      <c r="CP28" s="21">
        <f t="shared" si="18"/>
        <v>3042675.83</v>
      </c>
      <c r="CQ28" s="21">
        <f t="shared" si="18"/>
        <v>54250.05</v>
      </c>
      <c r="CR28" s="21">
        <f t="shared" si="18"/>
        <v>3096925.88</v>
      </c>
      <c r="CS28" s="21">
        <f t="shared" si="18"/>
        <v>2614483.4000000004</v>
      </c>
      <c r="CT28" s="21">
        <f t="shared" si="18"/>
        <v>3042675.83</v>
      </c>
      <c r="CU28" s="21">
        <f t="shared" si="18"/>
        <v>54250.05</v>
      </c>
      <c r="CV28" s="21">
        <f t="shared" si="18"/>
        <v>3096925.88</v>
      </c>
      <c r="CW28" s="21">
        <f t="shared" si="18"/>
        <v>2819310.7700000005</v>
      </c>
      <c r="CX28" s="21">
        <f t="shared" si="18"/>
        <v>3042675.83</v>
      </c>
      <c r="CY28" s="21">
        <f t="shared" si="18"/>
        <v>54250.05</v>
      </c>
      <c r="CZ28" s="21">
        <f t="shared" si="18"/>
        <v>3096925.88</v>
      </c>
      <c r="DA28" s="21">
        <f t="shared" si="18"/>
        <v>2656641.6</v>
      </c>
      <c r="DB28" s="21">
        <f t="shared" si="18"/>
        <v>3042675.83</v>
      </c>
      <c r="DC28" s="21">
        <f t="shared" si="18"/>
        <v>54250.05</v>
      </c>
      <c r="DD28" s="21">
        <f t="shared" si="18"/>
        <v>3096925.88</v>
      </c>
      <c r="DE28" s="21">
        <f t="shared" si="18"/>
        <v>2678264.1599999997</v>
      </c>
      <c r="DJ28" s="18">
        <v>313</v>
      </c>
      <c r="DK28" s="23">
        <f t="shared" ref="DK28:DQ28" si="19">SUM(DK29:DK39)</f>
        <v>3713784.3000000003</v>
      </c>
      <c r="DL28" s="23">
        <f t="shared" si="19"/>
        <v>2785838.55</v>
      </c>
      <c r="DM28" s="23">
        <f t="shared" si="19"/>
        <v>3713784.3000000003</v>
      </c>
      <c r="DN28" s="23">
        <f t="shared" si="19"/>
        <v>3158800.47</v>
      </c>
      <c r="DO28" s="23">
        <f t="shared" si="19"/>
        <v>3713784.3000000003</v>
      </c>
      <c r="DP28" s="23">
        <f t="shared" si="19"/>
        <v>3949111.4099999997</v>
      </c>
      <c r="DQ28" s="21">
        <f t="shared" si="19"/>
        <v>3713784.3000000003</v>
      </c>
      <c r="DR28" s="24"/>
      <c r="DS28" s="25">
        <f t="shared" ref="DS28:DS62" si="20">DL28/DK28*100</f>
        <v>75.013472107144167</v>
      </c>
      <c r="DT28" s="25">
        <f t="shared" ref="DT28:DT62" si="21">DN28/DM28*100</f>
        <v>85.056110286211293</v>
      </c>
      <c r="DU28" s="25">
        <f t="shared" ref="DU28:DU62" si="22">DP28/DO28*100</f>
        <v>106.33658529925928</v>
      </c>
      <c r="DV28" s="24"/>
      <c r="DW28" s="25"/>
    </row>
    <row r="29" spans="1:127" s="13" customFormat="1" ht="15.95" customHeight="1" x14ac:dyDescent="0.2">
      <c r="A29" s="13" t="s">
        <v>143</v>
      </c>
      <c r="B29" s="26" t="s">
        <v>144</v>
      </c>
      <c r="C29" s="13" t="s">
        <v>145</v>
      </c>
      <c r="D29" s="26" t="s">
        <v>146</v>
      </c>
      <c r="E29" s="13" t="s">
        <v>147</v>
      </c>
      <c r="G29" s="13" t="s">
        <v>148</v>
      </c>
      <c r="H29" s="26" t="s">
        <v>149</v>
      </c>
      <c r="I29" s="13" t="s">
        <v>150</v>
      </c>
      <c r="J29" s="19" t="s">
        <v>151</v>
      </c>
      <c r="K29" s="26" t="s">
        <v>152</v>
      </c>
      <c r="L29" s="13" t="s">
        <v>263</v>
      </c>
      <c r="M29" s="14" t="s">
        <v>256</v>
      </c>
      <c r="N29" s="19">
        <v>313</v>
      </c>
      <c r="O29" s="19">
        <v>1</v>
      </c>
      <c r="P29" s="19" t="s">
        <v>264</v>
      </c>
      <c r="Q29" s="14" t="s">
        <v>265</v>
      </c>
      <c r="R29" s="13" t="s">
        <v>266</v>
      </c>
      <c r="S29" s="13" t="s">
        <v>267</v>
      </c>
      <c r="T29" s="19" t="s">
        <v>268</v>
      </c>
      <c r="U29" s="13" t="s">
        <v>269</v>
      </c>
      <c r="V29" s="19"/>
      <c r="W29" s="19"/>
      <c r="X29" s="19"/>
      <c r="Y29" s="19"/>
      <c r="Z29" s="19"/>
      <c r="AA29" s="19"/>
      <c r="AB29" s="19" t="s">
        <v>159</v>
      </c>
      <c r="AC29" s="19"/>
      <c r="AD29" s="13" t="s">
        <v>160</v>
      </c>
      <c r="AG29" s="19"/>
      <c r="AI29" s="19"/>
      <c r="AJ29" s="20"/>
      <c r="AL29" s="19" t="s">
        <v>268</v>
      </c>
      <c r="AM29" s="24">
        <v>297185.15999999997</v>
      </c>
      <c r="BU29" s="19" t="s">
        <v>268</v>
      </c>
      <c r="BX29" s="24">
        <v>210159.54</v>
      </c>
      <c r="BY29" s="24">
        <v>142658.10999999999</v>
      </c>
      <c r="BZ29" s="27">
        <v>210160</v>
      </c>
      <c r="CA29" s="24">
        <v>123804.46</v>
      </c>
      <c r="CB29" s="24">
        <v>212192.44</v>
      </c>
      <c r="CC29" s="24">
        <v>173647.31</v>
      </c>
      <c r="CD29" s="24">
        <v>212192.44</v>
      </c>
      <c r="CE29" s="24">
        <v>175733.43</v>
      </c>
      <c r="CF29" s="24">
        <v>210160</v>
      </c>
      <c r="CG29" s="24">
        <v>143016.12</v>
      </c>
      <c r="CH29" s="24">
        <v>210160</v>
      </c>
      <c r="CI29" s="24">
        <v>161755.29</v>
      </c>
      <c r="CJ29" s="24">
        <v>210160</v>
      </c>
      <c r="CK29" s="24">
        <v>170373.08</v>
      </c>
      <c r="CL29" s="24">
        <v>207537</v>
      </c>
      <c r="CM29" s="24">
        <v>3820.7</v>
      </c>
      <c r="CN29" s="24">
        <f t="shared" ref="CN29:CN50" si="23">SUM(CL29:CM29)</f>
        <v>211357.7</v>
      </c>
      <c r="CO29" s="24">
        <v>164253.44</v>
      </c>
      <c r="CP29" s="24">
        <v>207537.37</v>
      </c>
      <c r="CQ29" s="24">
        <v>3820.7</v>
      </c>
      <c r="CR29" s="24">
        <f t="shared" ref="CR29:CR50" si="24">SUM(CP29:CQ29)</f>
        <v>211358.07</v>
      </c>
      <c r="CS29" s="24">
        <v>145412.56</v>
      </c>
      <c r="CT29" s="24">
        <v>207537.37</v>
      </c>
      <c r="CU29" s="24">
        <v>3820.7</v>
      </c>
      <c r="CV29" s="24">
        <f t="shared" ref="CV29:CV50" si="25">SUM(CT29:CU29)</f>
        <v>211358.07</v>
      </c>
      <c r="CW29" s="24">
        <v>218675.02</v>
      </c>
      <c r="CX29" s="24">
        <v>207537.37</v>
      </c>
      <c r="CY29" s="24">
        <v>3820.7</v>
      </c>
      <c r="CZ29" s="24">
        <f t="shared" ref="CZ29:CZ50" si="26">SUM(CX29:CY29)</f>
        <v>211358.07</v>
      </c>
      <c r="DA29" s="27">
        <v>188859.99</v>
      </c>
      <c r="DB29" s="24">
        <v>207537.37</v>
      </c>
      <c r="DC29" s="24">
        <v>3820.7</v>
      </c>
      <c r="DD29" s="24">
        <f t="shared" ref="DD29:DD39" si="27">SUM(DB29:DC29)</f>
        <v>211358.07</v>
      </c>
      <c r="DE29" s="24">
        <v>175921.62</v>
      </c>
      <c r="DJ29" s="19" t="s">
        <v>268</v>
      </c>
      <c r="DK29" s="24">
        <v>297185.15999999997</v>
      </c>
      <c r="DL29" s="24">
        <v>181572.43</v>
      </c>
      <c r="DM29" s="24">
        <v>297185.15999999997</v>
      </c>
      <c r="DN29" s="24">
        <v>218148.9</v>
      </c>
      <c r="DO29" s="24">
        <v>297185.15999999997</v>
      </c>
      <c r="DP29" s="28">
        <v>868771.42</v>
      </c>
      <c r="DQ29" s="24">
        <v>297185.15999999997</v>
      </c>
      <c r="DR29" s="24"/>
      <c r="DS29" s="25">
        <f t="shared" si="20"/>
        <v>61.097408093997693</v>
      </c>
      <c r="DT29" s="25">
        <f t="shared" si="21"/>
        <v>73.405044854864215</v>
      </c>
      <c r="DU29" s="25">
        <f t="shared" si="22"/>
        <v>292.33337896145287</v>
      </c>
      <c r="DV29" s="24"/>
      <c r="DW29" s="25"/>
    </row>
    <row r="30" spans="1:127" s="13" customFormat="1" ht="15.95" customHeight="1" x14ac:dyDescent="0.2">
      <c r="A30" s="13" t="s">
        <v>143</v>
      </c>
      <c r="B30" s="26" t="s">
        <v>144</v>
      </c>
      <c r="C30" s="13" t="s">
        <v>145</v>
      </c>
      <c r="D30" s="26" t="s">
        <v>146</v>
      </c>
      <c r="E30" s="13" t="s">
        <v>147</v>
      </c>
      <c r="G30" s="13" t="s">
        <v>148</v>
      </c>
      <c r="H30" s="26" t="s">
        <v>149</v>
      </c>
      <c r="I30" s="13" t="s">
        <v>150</v>
      </c>
      <c r="J30" s="19" t="s">
        <v>151</v>
      </c>
      <c r="K30" s="26" t="s">
        <v>152</v>
      </c>
      <c r="L30" s="13" t="s">
        <v>263</v>
      </c>
      <c r="M30" s="14" t="s">
        <v>256</v>
      </c>
      <c r="N30" s="19">
        <v>313</v>
      </c>
      <c r="O30" s="19">
        <v>1</v>
      </c>
      <c r="Q30" s="14" t="s">
        <v>270</v>
      </c>
      <c r="R30" s="13" t="s">
        <v>271</v>
      </c>
      <c r="S30" s="13" t="s">
        <v>177</v>
      </c>
      <c r="T30" s="19" t="s">
        <v>272</v>
      </c>
      <c r="U30" s="13" t="s">
        <v>269</v>
      </c>
      <c r="V30" s="19"/>
      <c r="W30" s="19"/>
      <c r="X30" s="19"/>
      <c r="Y30" s="19"/>
      <c r="Z30" s="19"/>
      <c r="AA30" s="19"/>
      <c r="AB30" s="19" t="s">
        <v>165</v>
      </c>
      <c r="AC30" s="19"/>
      <c r="AD30" s="13" t="s">
        <v>160</v>
      </c>
      <c r="AG30" s="19"/>
      <c r="AI30" s="19"/>
      <c r="AJ30" s="20"/>
      <c r="AL30" s="19" t="s">
        <v>272</v>
      </c>
      <c r="AM30" s="24">
        <v>299032.38</v>
      </c>
      <c r="BU30" s="19" t="s">
        <v>272</v>
      </c>
      <c r="BX30" s="24">
        <v>210493.09</v>
      </c>
      <c r="BY30" s="24">
        <v>138840.72999999998</v>
      </c>
      <c r="BZ30" s="27">
        <v>210493</v>
      </c>
      <c r="CA30" s="24">
        <v>130061.69</v>
      </c>
      <c r="CB30" s="24">
        <v>211683.79</v>
      </c>
      <c r="CC30" s="24">
        <v>184302.2</v>
      </c>
      <c r="CD30" s="24">
        <v>211683.79</v>
      </c>
      <c r="CE30" s="24">
        <v>180358.92</v>
      </c>
      <c r="CF30" s="24">
        <v>210493</v>
      </c>
      <c r="CG30" s="24">
        <v>181368.3</v>
      </c>
      <c r="CH30" s="24">
        <v>210493</v>
      </c>
      <c r="CI30" s="24">
        <v>168809.03</v>
      </c>
      <c r="CJ30" s="24">
        <v>210493</v>
      </c>
      <c r="CK30" s="24">
        <v>190697.92</v>
      </c>
      <c r="CL30" s="24">
        <v>204962</v>
      </c>
      <c r="CM30" s="24">
        <v>8207.14</v>
      </c>
      <c r="CN30" s="24">
        <f t="shared" si="23"/>
        <v>213169.14</v>
      </c>
      <c r="CO30" s="24">
        <v>193556.4</v>
      </c>
      <c r="CP30" s="24">
        <v>204961.52</v>
      </c>
      <c r="CQ30" s="24">
        <v>8207.14</v>
      </c>
      <c r="CR30" s="24">
        <f t="shared" si="24"/>
        <v>213168.65999999997</v>
      </c>
      <c r="CS30" s="24">
        <v>173843.06</v>
      </c>
      <c r="CT30" s="24">
        <v>204961.52</v>
      </c>
      <c r="CU30" s="24">
        <v>8207.14</v>
      </c>
      <c r="CV30" s="24">
        <f t="shared" si="25"/>
        <v>213168.65999999997</v>
      </c>
      <c r="CW30" s="24">
        <v>199485.16</v>
      </c>
      <c r="CX30" s="24">
        <v>204961.52</v>
      </c>
      <c r="CY30" s="24">
        <v>8207.14</v>
      </c>
      <c r="CZ30" s="24">
        <f t="shared" si="26"/>
        <v>213168.65999999997</v>
      </c>
      <c r="DA30" s="27">
        <v>190085.67</v>
      </c>
      <c r="DB30" s="24">
        <v>204961.52</v>
      </c>
      <c r="DC30" s="24">
        <v>8207.14</v>
      </c>
      <c r="DD30" s="24">
        <f t="shared" si="27"/>
        <v>213168.65999999997</v>
      </c>
      <c r="DE30" s="24">
        <v>222871.61</v>
      </c>
      <c r="DJ30" s="19" t="s">
        <v>272</v>
      </c>
      <c r="DK30" s="24">
        <v>299032.38</v>
      </c>
      <c r="DL30" s="24">
        <v>245691.49</v>
      </c>
      <c r="DM30" s="24">
        <v>299032.38</v>
      </c>
      <c r="DN30" s="24">
        <v>264878.36</v>
      </c>
      <c r="DO30" s="24">
        <v>299032.38</v>
      </c>
      <c r="DP30" s="28">
        <v>388244.14</v>
      </c>
      <c r="DQ30" s="24">
        <v>299032.38</v>
      </c>
      <c r="DR30" s="24"/>
      <c r="DS30" s="25">
        <f t="shared" si="20"/>
        <v>82.16216919385117</v>
      </c>
      <c r="DT30" s="25">
        <f t="shared" si="21"/>
        <v>88.578487720961846</v>
      </c>
      <c r="DU30" s="25">
        <f t="shared" si="22"/>
        <v>129.83347823402937</v>
      </c>
      <c r="DV30" s="24"/>
      <c r="DW30" s="25"/>
    </row>
    <row r="31" spans="1:127" s="13" customFormat="1" ht="15.95" customHeight="1" x14ac:dyDescent="0.2">
      <c r="A31" s="13" t="s">
        <v>143</v>
      </c>
      <c r="B31" s="26" t="s">
        <v>144</v>
      </c>
      <c r="C31" s="13" t="s">
        <v>145</v>
      </c>
      <c r="D31" s="26" t="s">
        <v>146</v>
      </c>
      <c r="E31" s="13" t="s">
        <v>147</v>
      </c>
      <c r="G31" s="13" t="s">
        <v>148</v>
      </c>
      <c r="H31" s="26" t="s">
        <v>149</v>
      </c>
      <c r="I31" s="13" t="s">
        <v>150</v>
      </c>
      <c r="J31" s="19" t="s">
        <v>151</v>
      </c>
      <c r="K31" s="26" t="s">
        <v>152</v>
      </c>
      <c r="L31" s="13" t="s">
        <v>263</v>
      </c>
      <c r="M31" s="14" t="s">
        <v>256</v>
      </c>
      <c r="N31" s="19">
        <v>313</v>
      </c>
      <c r="O31" s="19">
        <v>1</v>
      </c>
      <c r="Q31" s="14" t="s">
        <v>273</v>
      </c>
      <c r="R31" s="13" t="s">
        <v>274</v>
      </c>
      <c r="S31" s="13" t="s">
        <v>163</v>
      </c>
      <c r="T31" s="19" t="s">
        <v>275</v>
      </c>
      <c r="U31" s="13" t="s">
        <v>276</v>
      </c>
      <c r="V31" s="19"/>
      <c r="W31" s="19"/>
      <c r="X31" s="19"/>
      <c r="Y31" s="19"/>
      <c r="Z31" s="19"/>
      <c r="AA31" s="19"/>
      <c r="AB31" s="19" t="s">
        <v>195</v>
      </c>
      <c r="AC31" s="19"/>
      <c r="AD31" s="13" t="s">
        <v>160</v>
      </c>
      <c r="AG31" s="19" t="s">
        <v>277</v>
      </c>
      <c r="AI31" s="19" t="s">
        <v>195</v>
      </c>
      <c r="AJ31" s="20"/>
      <c r="AL31" s="19" t="s">
        <v>275</v>
      </c>
      <c r="AM31" s="24">
        <v>341872.38</v>
      </c>
      <c r="BU31" s="19" t="s">
        <v>275</v>
      </c>
      <c r="BX31" s="24">
        <v>300164.34999999998</v>
      </c>
      <c r="BY31" s="24">
        <v>192951.56</v>
      </c>
      <c r="BZ31" s="27">
        <v>300164</v>
      </c>
      <c r="CA31" s="24">
        <v>164752.34</v>
      </c>
      <c r="CB31" s="24">
        <v>300164.34999999998</v>
      </c>
      <c r="CC31" s="24">
        <v>216198.62</v>
      </c>
      <c r="CD31" s="24">
        <v>300164.34999999998</v>
      </c>
      <c r="CE31" s="24">
        <v>207464.9</v>
      </c>
      <c r="CF31" s="24">
        <v>300164</v>
      </c>
      <c r="CG31" s="24">
        <v>259016.67</v>
      </c>
      <c r="CH31" s="24">
        <v>300164</v>
      </c>
      <c r="CI31" s="24">
        <v>188081.19</v>
      </c>
      <c r="CJ31" s="24">
        <v>300164</v>
      </c>
      <c r="CK31" s="24">
        <v>183043.68</v>
      </c>
      <c r="CL31" s="24">
        <v>300164</v>
      </c>
      <c r="CM31" s="24">
        <v>0</v>
      </c>
      <c r="CN31" s="24">
        <f t="shared" si="23"/>
        <v>300164</v>
      </c>
      <c r="CO31" s="24">
        <v>210837.76000000001</v>
      </c>
      <c r="CP31" s="24">
        <v>300164</v>
      </c>
      <c r="CQ31" s="24">
        <v>0</v>
      </c>
      <c r="CR31" s="24">
        <f t="shared" si="24"/>
        <v>300164</v>
      </c>
      <c r="CS31" s="24">
        <v>181179.5</v>
      </c>
      <c r="CT31" s="24">
        <v>300164</v>
      </c>
      <c r="CU31" s="24">
        <v>0</v>
      </c>
      <c r="CV31" s="24">
        <f t="shared" si="25"/>
        <v>300164</v>
      </c>
      <c r="CW31" s="24">
        <v>275246.45</v>
      </c>
      <c r="CX31" s="24">
        <v>300164</v>
      </c>
      <c r="CY31" s="24">
        <v>0</v>
      </c>
      <c r="CZ31" s="24">
        <f t="shared" si="26"/>
        <v>300164</v>
      </c>
      <c r="DA31" s="27">
        <v>255196.9</v>
      </c>
      <c r="DB31" s="24">
        <v>300164</v>
      </c>
      <c r="DC31" s="24">
        <v>0</v>
      </c>
      <c r="DD31" s="24">
        <f t="shared" si="27"/>
        <v>300164</v>
      </c>
      <c r="DE31" s="24">
        <v>274538.31</v>
      </c>
      <c r="DJ31" s="19" t="s">
        <v>275</v>
      </c>
      <c r="DK31" s="24">
        <v>341872.38</v>
      </c>
      <c r="DL31" s="24">
        <v>219443.34</v>
      </c>
      <c r="DM31" s="24">
        <v>341872.38</v>
      </c>
      <c r="DN31" s="24">
        <v>280136.59000000003</v>
      </c>
      <c r="DO31" s="24">
        <v>341872.38</v>
      </c>
      <c r="DP31" s="28">
        <v>310087.15999999997</v>
      </c>
      <c r="DQ31" s="24">
        <v>341872.38</v>
      </c>
      <c r="DR31" s="24"/>
      <c r="DS31" s="25">
        <f t="shared" si="20"/>
        <v>64.188671807883395</v>
      </c>
      <c r="DT31" s="25">
        <f t="shared" si="21"/>
        <v>81.941860878027057</v>
      </c>
      <c r="DU31" s="25">
        <f t="shared" si="22"/>
        <v>90.702606627654433</v>
      </c>
      <c r="DV31" s="24"/>
      <c r="DW31" s="25"/>
    </row>
    <row r="32" spans="1:127" s="13" customFormat="1" ht="15.95" customHeight="1" x14ac:dyDescent="0.2">
      <c r="A32" s="13" t="s">
        <v>143</v>
      </c>
      <c r="B32" s="26" t="s">
        <v>144</v>
      </c>
      <c r="C32" s="13" t="s">
        <v>145</v>
      </c>
      <c r="D32" s="26" t="s">
        <v>146</v>
      </c>
      <c r="E32" s="13" t="s">
        <v>147</v>
      </c>
      <c r="G32" s="13" t="s">
        <v>148</v>
      </c>
      <c r="H32" s="26" t="s">
        <v>149</v>
      </c>
      <c r="I32" s="13" t="s">
        <v>150</v>
      </c>
      <c r="J32" s="19" t="s">
        <v>151</v>
      </c>
      <c r="K32" s="26" t="s">
        <v>152</v>
      </c>
      <c r="L32" s="13" t="s">
        <v>263</v>
      </c>
      <c r="M32" s="14" t="s">
        <v>256</v>
      </c>
      <c r="N32" s="19">
        <v>313</v>
      </c>
      <c r="O32" s="19">
        <v>1</v>
      </c>
      <c r="Q32" s="14" t="s">
        <v>278</v>
      </c>
      <c r="R32" s="13" t="s">
        <v>279</v>
      </c>
      <c r="S32" s="13" t="s">
        <v>177</v>
      </c>
      <c r="T32" s="19" t="s">
        <v>280</v>
      </c>
      <c r="U32" s="13" t="s">
        <v>281</v>
      </c>
      <c r="V32" s="19"/>
      <c r="W32" s="19"/>
      <c r="X32" s="19"/>
      <c r="Y32" s="19"/>
      <c r="Z32" s="19"/>
      <c r="AA32" s="19"/>
      <c r="AB32" s="19" t="s">
        <v>159</v>
      </c>
      <c r="AC32" s="19"/>
      <c r="AD32" s="13" t="s">
        <v>160</v>
      </c>
      <c r="AG32" s="19"/>
      <c r="AI32" s="19"/>
      <c r="AJ32" s="20"/>
      <c r="AL32" s="19" t="s">
        <v>280</v>
      </c>
      <c r="AM32" s="24">
        <v>362827.26</v>
      </c>
      <c r="BU32" s="19" t="s">
        <v>280</v>
      </c>
      <c r="BX32" s="24">
        <v>326378.71999999997</v>
      </c>
      <c r="BY32" s="24">
        <v>311168.89</v>
      </c>
      <c r="BZ32" s="27">
        <v>326379</v>
      </c>
      <c r="CA32" s="24">
        <v>281631.87</v>
      </c>
      <c r="CB32" s="24">
        <v>328411.62</v>
      </c>
      <c r="CC32" s="24">
        <v>316620.09000000003</v>
      </c>
      <c r="CD32" s="24">
        <v>328411.62</v>
      </c>
      <c r="CE32" s="24">
        <v>299788.21999999997</v>
      </c>
      <c r="CF32" s="24">
        <v>326379</v>
      </c>
      <c r="CG32" s="24">
        <v>269827.71999999997</v>
      </c>
      <c r="CH32" s="24">
        <v>326379</v>
      </c>
      <c r="CI32" s="24">
        <v>271289.7</v>
      </c>
      <c r="CJ32" s="24">
        <v>326379</v>
      </c>
      <c r="CK32" s="24">
        <v>268813.23</v>
      </c>
      <c r="CL32" s="24">
        <v>323488</v>
      </c>
      <c r="CM32" s="24">
        <v>4224.68</v>
      </c>
      <c r="CN32" s="24">
        <f t="shared" si="23"/>
        <v>327712.68</v>
      </c>
      <c r="CO32" s="24">
        <v>263269.09999999998</v>
      </c>
      <c r="CP32" s="24">
        <v>323487.84000000003</v>
      </c>
      <c r="CQ32" s="24">
        <v>4224.68</v>
      </c>
      <c r="CR32" s="24">
        <f t="shared" si="24"/>
        <v>327712.52</v>
      </c>
      <c r="CS32" s="24">
        <v>281223.45</v>
      </c>
      <c r="CT32" s="24">
        <v>323487.84000000003</v>
      </c>
      <c r="CU32" s="24">
        <v>4224.68</v>
      </c>
      <c r="CV32" s="24">
        <f t="shared" si="25"/>
        <v>327712.52</v>
      </c>
      <c r="CW32" s="24">
        <v>275439.74</v>
      </c>
      <c r="CX32" s="24">
        <v>323487.84000000003</v>
      </c>
      <c r="CY32" s="24">
        <v>4224.68</v>
      </c>
      <c r="CZ32" s="24">
        <f t="shared" si="26"/>
        <v>327712.52</v>
      </c>
      <c r="DA32" s="27">
        <v>278736.07</v>
      </c>
      <c r="DB32" s="24">
        <v>323487.84000000003</v>
      </c>
      <c r="DC32" s="24">
        <v>4224.68</v>
      </c>
      <c r="DD32" s="24">
        <f t="shared" si="27"/>
        <v>327712.52</v>
      </c>
      <c r="DE32" s="24">
        <v>274316.75</v>
      </c>
      <c r="DJ32" s="19" t="s">
        <v>280</v>
      </c>
      <c r="DK32" s="24">
        <v>362827.26</v>
      </c>
      <c r="DL32" s="24">
        <v>223782.46</v>
      </c>
      <c r="DM32" s="24">
        <v>362827.26</v>
      </c>
      <c r="DN32" s="24">
        <v>304432.09000000003</v>
      </c>
      <c r="DO32" s="24">
        <v>362827.26</v>
      </c>
      <c r="DP32" s="28">
        <v>292693.78000000003</v>
      </c>
      <c r="DQ32" s="24">
        <v>362827.26</v>
      </c>
      <c r="DR32" s="24"/>
      <c r="DS32" s="25">
        <f t="shared" si="20"/>
        <v>61.67741089795733</v>
      </c>
      <c r="DT32" s="25">
        <f t="shared" si="21"/>
        <v>83.905517463048398</v>
      </c>
      <c r="DU32" s="25">
        <f t="shared" si="22"/>
        <v>80.670283704702896</v>
      </c>
      <c r="DV32" s="24"/>
      <c r="DW32" s="25"/>
    </row>
    <row r="33" spans="1:127" s="13" customFormat="1" ht="15.95" customHeight="1" x14ac:dyDescent="0.2">
      <c r="A33" s="13" t="s">
        <v>143</v>
      </c>
      <c r="B33" s="26" t="s">
        <v>144</v>
      </c>
      <c r="C33" s="13" t="s">
        <v>145</v>
      </c>
      <c r="D33" s="26" t="s">
        <v>146</v>
      </c>
      <c r="E33" s="13" t="s">
        <v>147</v>
      </c>
      <c r="G33" s="13" t="s">
        <v>148</v>
      </c>
      <c r="H33" s="26" t="s">
        <v>149</v>
      </c>
      <c r="I33" s="13" t="s">
        <v>150</v>
      </c>
      <c r="J33" s="19" t="s">
        <v>151</v>
      </c>
      <c r="K33" s="26" t="s">
        <v>152</v>
      </c>
      <c r="L33" s="13" t="s">
        <v>263</v>
      </c>
      <c r="M33" s="14" t="s">
        <v>256</v>
      </c>
      <c r="N33" s="19">
        <v>313</v>
      </c>
      <c r="O33" s="19">
        <v>1</v>
      </c>
      <c r="Q33" s="14" t="s">
        <v>282</v>
      </c>
      <c r="R33" s="13" t="s">
        <v>283</v>
      </c>
      <c r="S33" s="13" t="s">
        <v>177</v>
      </c>
      <c r="T33" s="19" t="s">
        <v>284</v>
      </c>
      <c r="U33" s="13" t="s">
        <v>281</v>
      </c>
      <c r="V33" s="19"/>
      <c r="W33" s="19"/>
      <c r="X33" s="19"/>
      <c r="Y33" s="19"/>
      <c r="Z33" s="19"/>
      <c r="AA33" s="19"/>
      <c r="AB33" s="19" t="s">
        <v>165</v>
      </c>
      <c r="AC33" s="19"/>
      <c r="AD33" s="13" t="s">
        <v>160</v>
      </c>
      <c r="AG33" s="19"/>
      <c r="AI33" s="19"/>
      <c r="AJ33" s="20"/>
      <c r="AL33" s="19" t="s">
        <v>284</v>
      </c>
      <c r="AM33" s="24">
        <v>357992.46</v>
      </c>
      <c r="BU33" s="19" t="s">
        <v>284</v>
      </c>
      <c r="BX33" s="24">
        <v>315161.87</v>
      </c>
      <c r="BY33" s="24">
        <v>259193.22</v>
      </c>
      <c r="BZ33" s="27">
        <v>315162</v>
      </c>
      <c r="CA33" s="24">
        <v>258030.31</v>
      </c>
      <c r="CB33" s="24">
        <v>316352.57</v>
      </c>
      <c r="CC33" s="24">
        <v>257431.88</v>
      </c>
      <c r="CD33" s="24">
        <v>316352.57</v>
      </c>
      <c r="CE33" s="24">
        <v>280414.53000000003</v>
      </c>
      <c r="CF33" s="24">
        <v>315162</v>
      </c>
      <c r="CG33" s="24">
        <v>255747.16</v>
      </c>
      <c r="CH33" s="24">
        <v>315162</v>
      </c>
      <c r="CI33" s="24">
        <v>258586.64</v>
      </c>
      <c r="CJ33" s="24">
        <v>315162</v>
      </c>
      <c r="CK33" s="24">
        <v>243696.95</v>
      </c>
      <c r="CL33" s="24">
        <v>309518</v>
      </c>
      <c r="CM33" s="24">
        <v>8455.42</v>
      </c>
      <c r="CN33" s="24">
        <f t="shared" si="23"/>
        <v>317973.42</v>
      </c>
      <c r="CO33" s="24">
        <v>254607.35999999999</v>
      </c>
      <c r="CP33" s="24">
        <v>309517.58</v>
      </c>
      <c r="CQ33" s="24">
        <v>8455.42</v>
      </c>
      <c r="CR33" s="24">
        <f t="shared" si="24"/>
        <v>317973</v>
      </c>
      <c r="CS33" s="24">
        <v>259151.46</v>
      </c>
      <c r="CT33" s="24">
        <v>309517.58</v>
      </c>
      <c r="CU33" s="24">
        <v>8455.42</v>
      </c>
      <c r="CV33" s="24">
        <f t="shared" si="25"/>
        <v>317973</v>
      </c>
      <c r="CW33" s="24">
        <v>267804.98</v>
      </c>
      <c r="CX33" s="24">
        <v>309517.58</v>
      </c>
      <c r="CY33" s="24">
        <v>8455.42</v>
      </c>
      <c r="CZ33" s="24">
        <f t="shared" si="26"/>
        <v>317973</v>
      </c>
      <c r="DA33" s="27">
        <v>258152.92</v>
      </c>
      <c r="DB33" s="24">
        <v>309517.58</v>
      </c>
      <c r="DC33" s="24">
        <v>8455.42</v>
      </c>
      <c r="DD33" s="24">
        <f t="shared" si="27"/>
        <v>317973</v>
      </c>
      <c r="DE33" s="24">
        <v>268634.73</v>
      </c>
      <c r="DJ33" s="19" t="s">
        <v>284</v>
      </c>
      <c r="DK33" s="24">
        <v>357992.46</v>
      </c>
      <c r="DL33" s="24">
        <v>236511.37</v>
      </c>
      <c r="DM33" s="24">
        <v>357992.46</v>
      </c>
      <c r="DN33" s="24">
        <v>318275.42</v>
      </c>
      <c r="DO33" s="24">
        <v>357992.46</v>
      </c>
      <c r="DP33" s="28">
        <v>323260.36</v>
      </c>
      <c r="DQ33" s="24">
        <v>357992.46</v>
      </c>
      <c r="DR33" s="24"/>
      <c r="DS33" s="25">
        <f t="shared" si="20"/>
        <v>66.066019937961812</v>
      </c>
      <c r="DT33" s="25">
        <f t="shared" si="21"/>
        <v>88.905621084868642</v>
      </c>
      <c r="DU33" s="25">
        <f t="shared" si="22"/>
        <v>90.298091753105624</v>
      </c>
      <c r="DV33" s="24"/>
      <c r="DW33" s="25"/>
    </row>
    <row r="34" spans="1:127" s="13" customFormat="1" ht="15.95" customHeight="1" x14ac:dyDescent="0.2">
      <c r="A34" s="13" t="s">
        <v>143</v>
      </c>
      <c r="B34" s="26" t="s">
        <v>144</v>
      </c>
      <c r="C34" s="13" t="s">
        <v>145</v>
      </c>
      <c r="D34" s="26" t="s">
        <v>146</v>
      </c>
      <c r="E34" s="13" t="s">
        <v>147</v>
      </c>
      <c r="G34" s="13" t="s">
        <v>148</v>
      </c>
      <c r="H34" s="26" t="s">
        <v>149</v>
      </c>
      <c r="I34" s="13" t="s">
        <v>150</v>
      </c>
      <c r="J34" s="19" t="s">
        <v>151</v>
      </c>
      <c r="K34" s="26" t="s">
        <v>152</v>
      </c>
      <c r="L34" s="13" t="s">
        <v>263</v>
      </c>
      <c r="M34" s="14" t="s">
        <v>256</v>
      </c>
      <c r="N34" s="19">
        <v>313</v>
      </c>
      <c r="O34" s="19">
        <v>1</v>
      </c>
      <c r="Q34" s="14" t="s">
        <v>285</v>
      </c>
      <c r="R34" s="13" t="s">
        <v>286</v>
      </c>
      <c r="S34" s="13" t="s">
        <v>156</v>
      </c>
      <c r="T34" s="19" t="s">
        <v>287</v>
      </c>
      <c r="U34" s="13" t="s">
        <v>288</v>
      </c>
      <c r="V34" s="19"/>
      <c r="W34" s="19"/>
      <c r="X34" s="19"/>
      <c r="Y34" s="19"/>
      <c r="Z34" s="19"/>
      <c r="AA34" s="19"/>
      <c r="AB34" s="19" t="s">
        <v>159</v>
      </c>
      <c r="AC34" s="19"/>
      <c r="AD34" s="13" t="s">
        <v>160</v>
      </c>
      <c r="AG34" s="19"/>
      <c r="AI34" s="19"/>
      <c r="AJ34" s="20"/>
      <c r="AL34" s="19" t="s">
        <v>287</v>
      </c>
      <c r="AM34" s="24">
        <v>288452.94</v>
      </c>
      <c r="BU34" s="19" t="s">
        <v>287</v>
      </c>
      <c r="BX34" s="24">
        <v>201427.42</v>
      </c>
      <c r="BY34" s="24">
        <v>176822.8</v>
      </c>
      <c r="BZ34" s="27">
        <v>201427</v>
      </c>
      <c r="CA34" s="24">
        <v>169173.23</v>
      </c>
      <c r="CB34" s="24">
        <v>203460.32</v>
      </c>
      <c r="CC34" s="24">
        <v>199990.13</v>
      </c>
      <c r="CD34" s="24">
        <v>203460.32</v>
      </c>
      <c r="CE34" s="24">
        <v>184885.34</v>
      </c>
      <c r="CF34" s="24">
        <v>201427</v>
      </c>
      <c r="CG34" s="24">
        <v>163568.04999999999</v>
      </c>
      <c r="CH34" s="24">
        <v>201427</v>
      </c>
      <c r="CI34" s="24">
        <v>288211.92</v>
      </c>
      <c r="CJ34" s="24">
        <v>201427</v>
      </c>
      <c r="CK34" s="24">
        <v>209731.37</v>
      </c>
      <c r="CL34" s="24">
        <v>198383</v>
      </c>
      <c r="CM34" s="24">
        <v>4413.2700000000004</v>
      </c>
      <c r="CN34" s="24">
        <f t="shared" si="23"/>
        <v>202796.27</v>
      </c>
      <c r="CO34" s="24">
        <v>190255.34</v>
      </c>
      <c r="CP34" s="24">
        <v>198383.46</v>
      </c>
      <c r="CQ34" s="24">
        <v>4413.2700000000004</v>
      </c>
      <c r="CR34" s="24">
        <f t="shared" si="24"/>
        <v>202796.72999999998</v>
      </c>
      <c r="CS34" s="24">
        <v>184604.32</v>
      </c>
      <c r="CT34" s="24">
        <v>198383.46</v>
      </c>
      <c r="CU34" s="24">
        <v>4413.2700000000004</v>
      </c>
      <c r="CV34" s="24">
        <f t="shared" si="25"/>
        <v>202796.72999999998</v>
      </c>
      <c r="CW34" s="24">
        <v>193475.18</v>
      </c>
      <c r="CX34" s="24">
        <v>198383.46</v>
      </c>
      <c r="CY34" s="24">
        <v>4413.2700000000004</v>
      </c>
      <c r="CZ34" s="24">
        <f t="shared" si="26"/>
        <v>202796.72999999998</v>
      </c>
      <c r="DA34" s="27">
        <v>182719.51</v>
      </c>
      <c r="DB34" s="24">
        <v>198383.46</v>
      </c>
      <c r="DC34" s="24">
        <v>4413.2700000000004</v>
      </c>
      <c r="DD34" s="24">
        <f t="shared" si="27"/>
        <v>202796.72999999998</v>
      </c>
      <c r="DE34" s="24">
        <v>170519.39</v>
      </c>
      <c r="DJ34" s="19" t="s">
        <v>287</v>
      </c>
      <c r="DK34" s="24">
        <v>288452.94</v>
      </c>
      <c r="DL34" s="24">
        <v>270550.2</v>
      </c>
      <c r="DM34" s="24">
        <v>288452.94</v>
      </c>
      <c r="DN34" s="24">
        <v>290804.61</v>
      </c>
      <c r="DO34" s="24">
        <v>288452.94</v>
      </c>
      <c r="DP34" s="28">
        <v>283928.84999999998</v>
      </c>
      <c r="DQ34" s="24">
        <v>288452.94</v>
      </c>
      <c r="DR34" s="24"/>
      <c r="DS34" s="25">
        <f t="shared" si="20"/>
        <v>93.793531797595833</v>
      </c>
      <c r="DT34" s="25">
        <f t="shared" si="21"/>
        <v>100.81526990156522</v>
      </c>
      <c r="DU34" s="25">
        <f t="shared" si="22"/>
        <v>98.431602049193884</v>
      </c>
      <c r="DV34" s="24"/>
      <c r="DW34" s="25"/>
    </row>
    <row r="35" spans="1:127" s="13" customFormat="1" ht="15.95" customHeight="1" x14ac:dyDescent="0.2">
      <c r="A35" s="13" t="s">
        <v>143</v>
      </c>
      <c r="B35" s="26" t="s">
        <v>144</v>
      </c>
      <c r="C35" s="13" t="s">
        <v>145</v>
      </c>
      <c r="D35" s="26" t="s">
        <v>146</v>
      </c>
      <c r="E35" s="13" t="s">
        <v>147</v>
      </c>
      <c r="G35" s="13" t="s">
        <v>148</v>
      </c>
      <c r="H35" s="26" t="s">
        <v>149</v>
      </c>
      <c r="I35" s="13" t="s">
        <v>150</v>
      </c>
      <c r="J35" s="19" t="s">
        <v>151</v>
      </c>
      <c r="K35" s="26" t="s">
        <v>152</v>
      </c>
      <c r="L35" s="13" t="s">
        <v>263</v>
      </c>
      <c r="M35" s="14" t="s">
        <v>256</v>
      </c>
      <c r="N35" s="19">
        <v>313</v>
      </c>
      <c r="O35" s="19">
        <v>1</v>
      </c>
      <c r="Q35" s="14" t="s">
        <v>289</v>
      </c>
      <c r="R35" s="13" t="s">
        <v>290</v>
      </c>
      <c r="S35" s="13" t="s">
        <v>177</v>
      </c>
      <c r="T35" s="19" t="s">
        <v>291</v>
      </c>
      <c r="U35" s="13" t="s">
        <v>288</v>
      </c>
      <c r="V35" s="19"/>
      <c r="W35" s="19"/>
      <c r="X35" s="19"/>
      <c r="Y35" s="19"/>
      <c r="Z35" s="19"/>
      <c r="AA35" s="19"/>
      <c r="AB35" s="19" t="s">
        <v>165</v>
      </c>
      <c r="AC35" s="19"/>
      <c r="AD35" s="13" t="s">
        <v>160</v>
      </c>
      <c r="AG35" s="19"/>
      <c r="AI35" s="19"/>
      <c r="AJ35" s="20"/>
      <c r="AL35" s="19" t="s">
        <v>291</v>
      </c>
      <c r="AM35" s="24">
        <v>291122.28000000003</v>
      </c>
      <c r="BU35" s="19" t="s">
        <v>291</v>
      </c>
      <c r="BX35" s="24">
        <v>220877.48</v>
      </c>
      <c r="BY35" s="24">
        <v>187539.34999999998</v>
      </c>
      <c r="BZ35" s="27">
        <v>220877</v>
      </c>
      <c r="CA35" s="24">
        <v>182910.92</v>
      </c>
      <c r="CB35" s="24">
        <v>222068.18</v>
      </c>
      <c r="CC35" s="24">
        <v>180680.94</v>
      </c>
      <c r="CD35" s="24">
        <v>222068.18</v>
      </c>
      <c r="CE35" s="24">
        <v>187860.31</v>
      </c>
      <c r="CF35" s="24">
        <v>220877</v>
      </c>
      <c r="CG35" s="24">
        <v>189096.52</v>
      </c>
      <c r="CH35" s="24">
        <v>220877</v>
      </c>
      <c r="CI35" s="24">
        <v>192087.79</v>
      </c>
      <c r="CJ35" s="24">
        <v>220877</v>
      </c>
      <c r="CK35" s="24">
        <v>192768.4</v>
      </c>
      <c r="CL35" s="24">
        <v>215644</v>
      </c>
      <c r="CM35" s="24">
        <v>7770.11</v>
      </c>
      <c r="CN35" s="24">
        <f t="shared" si="23"/>
        <v>223414.11</v>
      </c>
      <c r="CO35" s="24">
        <v>187559.36</v>
      </c>
      <c r="CP35" s="24">
        <v>215643.77</v>
      </c>
      <c r="CQ35" s="24">
        <v>7770.11</v>
      </c>
      <c r="CR35" s="24">
        <f t="shared" si="24"/>
        <v>223413.87999999998</v>
      </c>
      <c r="CS35" s="24">
        <v>198480.94</v>
      </c>
      <c r="CT35" s="24">
        <v>215643.77</v>
      </c>
      <c r="CU35" s="24">
        <v>7770.11</v>
      </c>
      <c r="CV35" s="24">
        <f t="shared" si="25"/>
        <v>223413.87999999998</v>
      </c>
      <c r="CW35" s="24">
        <v>202385.24</v>
      </c>
      <c r="CX35" s="24">
        <v>215643.77</v>
      </c>
      <c r="CY35" s="24">
        <v>7770.11</v>
      </c>
      <c r="CZ35" s="24">
        <f t="shared" si="26"/>
        <v>223413.87999999998</v>
      </c>
      <c r="DA35" s="27">
        <v>196478.33</v>
      </c>
      <c r="DB35" s="24">
        <v>215643.77</v>
      </c>
      <c r="DC35" s="24">
        <v>7770.11</v>
      </c>
      <c r="DD35" s="24">
        <f t="shared" si="27"/>
        <v>223413.87999999998</v>
      </c>
      <c r="DE35" s="24">
        <v>185813.03</v>
      </c>
      <c r="DJ35" s="19" t="s">
        <v>291</v>
      </c>
      <c r="DK35" s="24">
        <v>291122.28000000003</v>
      </c>
      <c r="DL35" s="24">
        <v>259672.85</v>
      </c>
      <c r="DM35" s="24">
        <v>291122.28000000003</v>
      </c>
      <c r="DN35" s="24">
        <v>255413.21</v>
      </c>
      <c r="DO35" s="24">
        <v>291122.28000000003</v>
      </c>
      <c r="DP35" s="28">
        <v>249325.1</v>
      </c>
      <c r="DQ35" s="24">
        <v>291122.28000000003</v>
      </c>
      <c r="DR35" s="24"/>
      <c r="DS35" s="25">
        <f t="shared" si="20"/>
        <v>89.197175152654069</v>
      </c>
      <c r="DT35" s="25">
        <f t="shared" si="21"/>
        <v>87.733996175078033</v>
      </c>
      <c r="DU35" s="25">
        <f t="shared" si="22"/>
        <v>85.642740912856269</v>
      </c>
      <c r="DV35" s="24"/>
      <c r="DW35" s="25"/>
    </row>
    <row r="36" spans="1:127" s="13" customFormat="1" ht="15.95" customHeight="1" x14ac:dyDescent="0.2">
      <c r="A36" s="13" t="s">
        <v>143</v>
      </c>
      <c r="B36" s="26" t="s">
        <v>144</v>
      </c>
      <c r="C36" s="13" t="s">
        <v>145</v>
      </c>
      <c r="D36" s="26" t="s">
        <v>146</v>
      </c>
      <c r="E36" s="13" t="s">
        <v>147</v>
      </c>
      <c r="G36" s="13" t="s">
        <v>148</v>
      </c>
      <c r="H36" s="26" t="s">
        <v>149</v>
      </c>
      <c r="I36" s="13" t="s">
        <v>150</v>
      </c>
      <c r="J36" s="19" t="s">
        <v>151</v>
      </c>
      <c r="K36" s="26" t="s">
        <v>152</v>
      </c>
      <c r="L36" s="13" t="s">
        <v>263</v>
      </c>
      <c r="M36" s="14" t="s">
        <v>256</v>
      </c>
      <c r="N36" s="19">
        <v>313</v>
      </c>
      <c r="O36" s="19">
        <v>1</v>
      </c>
      <c r="Q36" s="14" t="s">
        <v>292</v>
      </c>
      <c r="R36" s="13" t="s">
        <v>293</v>
      </c>
      <c r="S36" s="13" t="s">
        <v>163</v>
      </c>
      <c r="T36" s="19" t="s">
        <v>294</v>
      </c>
      <c r="U36" s="13" t="s">
        <v>295</v>
      </c>
      <c r="V36" s="19"/>
      <c r="W36" s="19"/>
      <c r="X36" s="19"/>
      <c r="Y36" s="19"/>
      <c r="Z36" s="19"/>
      <c r="AA36" s="19"/>
      <c r="AB36" s="19" t="s">
        <v>195</v>
      </c>
      <c r="AC36" s="19"/>
      <c r="AD36" s="13" t="s">
        <v>160</v>
      </c>
      <c r="AG36" s="19" t="s">
        <v>296</v>
      </c>
      <c r="AI36" s="19" t="s">
        <v>195</v>
      </c>
      <c r="AJ36" s="20"/>
      <c r="AL36" s="19" t="s">
        <v>294</v>
      </c>
      <c r="AM36" s="24">
        <v>342855.66</v>
      </c>
      <c r="BU36" s="19" t="s">
        <v>294</v>
      </c>
      <c r="BX36" s="24">
        <v>300133.08</v>
      </c>
      <c r="BY36" s="24">
        <v>161275.59</v>
      </c>
      <c r="BZ36" s="27">
        <v>300133</v>
      </c>
      <c r="CA36" s="24">
        <v>258007.57</v>
      </c>
      <c r="CB36" s="24">
        <v>300133.08</v>
      </c>
      <c r="CC36" s="24">
        <v>258624.29</v>
      </c>
      <c r="CD36" s="24">
        <v>300133.08</v>
      </c>
      <c r="CE36" s="24">
        <v>266539.42</v>
      </c>
      <c r="CF36" s="24">
        <v>300133</v>
      </c>
      <c r="CG36" s="24">
        <v>260963.29</v>
      </c>
      <c r="CH36" s="24">
        <v>300133</v>
      </c>
      <c r="CI36" s="24">
        <v>262160.21999999997</v>
      </c>
      <c r="CJ36" s="24">
        <v>300133</v>
      </c>
      <c r="CK36" s="24">
        <v>271944.46999999997</v>
      </c>
      <c r="CL36" s="24">
        <v>300133</v>
      </c>
      <c r="CM36" s="24">
        <v>0</v>
      </c>
      <c r="CN36" s="24">
        <f t="shared" si="23"/>
        <v>300133</v>
      </c>
      <c r="CO36" s="24">
        <v>272068.65000000002</v>
      </c>
      <c r="CP36" s="24">
        <v>300133</v>
      </c>
      <c r="CQ36" s="24">
        <v>0</v>
      </c>
      <c r="CR36" s="24">
        <f t="shared" si="24"/>
        <v>300133</v>
      </c>
      <c r="CS36" s="24">
        <v>290240.42</v>
      </c>
      <c r="CT36" s="24">
        <v>300133</v>
      </c>
      <c r="CU36" s="24">
        <v>0</v>
      </c>
      <c r="CV36" s="24">
        <f t="shared" si="25"/>
        <v>300133</v>
      </c>
      <c r="CW36" s="24">
        <v>289232.46999999997</v>
      </c>
      <c r="CX36" s="24">
        <v>300133</v>
      </c>
      <c r="CY36" s="24">
        <v>0</v>
      </c>
      <c r="CZ36" s="24">
        <f t="shared" si="26"/>
        <v>300133</v>
      </c>
      <c r="DA36" s="27">
        <v>270363.26</v>
      </c>
      <c r="DB36" s="24">
        <v>300133</v>
      </c>
      <c r="DC36" s="24">
        <v>0</v>
      </c>
      <c r="DD36" s="24">
        <f t="shared" si="27"/>
        <v>300133</v>
      </c>
      <c r="DE36" s="24">
        <v>276547.14</v>
      </c>
      <c r="DJ36" s="19" t="s">
        <v>294</v>
      </c>
      <c r="DK36" s="24">
        <v>342855.66</v>
      </c>
      <c r="DL36" s="24">
        <v>279036.74</v>
      </c>
      <c r="DM36" s="24">
        <v>342855.66</v>
      </c>
      <c r="DN36" s="24">
        <v>291085.15999999997</v>
      </c>
      <c r="DO36" s="24">
        <v>342855.66</v>
      </c>
      <c r="DP36" s="28">
        <v>304439.36</v>
      </c>
      <c r="DQ36" s="24">
        <v>342855.66</v>
      </c>
      <c r="DR36" s="24"/>
      <c r="DS36" s="25">
        <f t="shared" si="20"/>
        <v>81.38606782807669</v>
      </c>
      <c r="DT36" s="25">
        <f t="shared" si="21"/>
        <v>84.900205526722232</v>
      </c>
      <c r="DU36" s="25">
        <f t="shared" si="22"/>
        <v>88.795197372561972</v>
      </c>
      <c r="DV36" s="24"/>
      <c r="DW36" s="25"/>
    </row>
    <row r="37" spans="1:127" s="13" customFormat="1" ht="15.95" customHeight="1" x14ac:dyDescent="0.2">
      <c r="A37" s="13" t="s">
        <v>143</v>
      </c>
      <c r="B37" s="26" t="s">
        <v>144</v>
      </c>
      <c r="C37" s="13" t="s">
        <v>145</v>
      </c>
      <c r="D37" s="26" t="s">
        <v>146</v>
      </c>
      <c r="E37" s="13" t="s">
        <v>147</v>
      </c>
      <c r="G37" s="13" t="s">
        <v>148</v>
      </c>
      <c r="H37" s="26" t="s">
        <v>149</v>
      </c>
      <c r="I37" s="13" t="s">
        <v>150</v>
      </c>
      <c r="J37" s="19" t="s">
        <v>151</v>
      </c>
      <c r="K37" s="26" t="s">
        <v>152</v>
      </c>
      <c r="L37" s="13" t="s">
        <v>263</v>
      </c>
      <c r="M37" s="14" t="s">
        <v>256</v>
      </c>
      <c r="N37" s="19">
        <v>313</v>
      </c>
      <c r="O37" s="19">
        <v>1</v>
      </c>
      <c r="Q37" s="14" t="s">
        <v>297</v>
      </c>
      <c r="R37" s="13" t="s">
        <v>298</v>
      </c>
      <c r="S37" s="13" t="s">
        <v>163</v>
      </c>
      <c r="T37" s="19" t="s">
        <v>299</v>
      </c>
      <c r="U37" s="13" t="s">
        <v>300</v>
      </c>
      <c r="V37" s="19"/>
      <c r="W37" s="19"/>
      <c r="X37" s="19"/>
      <c r="Y37" s="19"/>
      <c r="Z37" s="19"/>
      <c r="AA37" s="19"/>
      <c r="AB37" s="19" t="s">
        <v>159</v>
      </c>
      <c r="AC37" s="19"/>
      <c r="AD37" s="13" t="s">
        <v>160</v>
      </c>
      <c r="AG37" s="19"/>
      <c r="AI37" s="19"/>
      <c r="AJ37" s="20"/>
      <c r="AL37" s="19" t="s">
        <v>299</v>
      </c>
      <c r="AM37" s="24">
        <v>388507.8</v>
      </c>
      <c r="BU37" s="19" t="s">
        <v>299</v>
      </c>
      <c r="BX37" s="24">
        <v>340652.03</v>
      </c>
      <c r="BY37" s="24">
        <v>284244.75</v>
      </c>
      <c r="BZ37" s="27">
        <v>340652</v>
      </c>
      <c r="CA37" s="24">
        <v>282356.46000000002</v>
      </c>
      <c r="CB37" s="24">
        <v>342684.93</v>
      </c>
      <c r="CC37" s="24">
        <v>305392.48</v>
      </c>
      <c r="CD37" s="24">
        <v>342684.93</v>
      </c>
      <c r="CE37" s="24">
        <v>289263.39</v>
      </c>
      <c r="CF37" s="24">
        <v>340652</v>
      </c>
      <c r="CG37" s="24">
        <v>306121.37</v>
      </c>
      <c r="CH37" s="24">
        <v>340652</v>
      </c>
      <c r="CI37" s="24">
        <v>307569.78000000003</v>
      </c>
      <c r="CJ37" s="24">
        <v>340652</v>
      </c>
      <c r="CK37" s="24">
        <v>282099.58</v>
      </c>
      <c r="CL37" s="24">
        <v>335735</v>
      </c>
      <c r="CM37" s="24">
        <v>7155.14</v>
      </c>
      <c r="CN37" s="24">
        <f t="shared" si="23"/>
        <v>342890.14</v>
      </c>
      <c r="CO37" s="24">
        <v>280277.7</v>
      </c>
      <c r="CP37" s="24">
        <v>335734.57</v>
      </c>
      <c r="CQ37" s="24">
        <v>7155.14</v>
      </c>
      <c r="CR37" s="24">
        <f t="shared" si="24"/>
        <v>342889.71</v>
      </c>
      <c r="CS37" s="24">
        <v>299721.81</v>
      </c>
      <c r="CT37" s="24">
        <v>335734.57</v>
      </c>
      <c r="CU37" s="24">
        <v>7155.14</v>
      </c>
      <c r="CV37" s="24">
        <f t="shared" si="25"/>
        <v>342889.71</v>
      </c>
      <c r="CW37" s="24">
        <v>309970.09000000003</v>
      </c>
      <c r="CX37" s="24">
        <v>335734.57</v>
      </c>
      <c r="CY37" s="24">
        <v>7155.14</v>
      </c>
      <c r="CZ37" s="24">
        <f t="shared" si="26"/>
        <v>342889.71</v>
      </c>
      <c r="DA37" s="27">
        <v>281802.45</v>
      </c>
      <c r="DB37" s="24">
        <v>335734.57</v>
      </c>
      <c r="DC37" s="24">
        <v>7155.14</v>
      </c>
      <c r="DD37" s="24">
        <f t="shared" si="27"/>
        <v>342889.71</v>
      </c>
      <c r="DE37" s="24">
        <v>283665.86</v>
      </c>
      <c r="DJ37" s="19" t="s">
        <v>299</v>
      </c>
      <c r="DK37" s="24">
        <v>388507.8</v>
      </c>
      <c r="DL37" s="24">
        <v>317778.71000000002</v>
      </c>
      <c r="DM37" s="24">
        <v>388507.8</v>
      </c>
      <c r="DN37" s="24">
        <v>327137.57</v>
      </c>
      <c r="DO37" s="24">
        <v>388507.8</v>
      </c>
      <c r="DP37" s="28">
        <v>320183.40000000002</v>
      </c>
      <c r="DQ37" s="24">
        <v>388507.8</v>
      </c>
      <c r="DR37" s="24"/>
      <c r="DS37" s="25">
        <f t="shared" si="20"/>
        <v>81.794679540539477</v>
      </c>
      <c r="DT37" s="25">
        <f t="shared" si="21"/>
        <v>84.203604149002928</v>
      </c>
      <c r="DU37" s="25">
        <f t="shared" si="22"/>
        <v>82.41363493860355</v>
      </c>
      <c r="DV37" s="24"/>
      <c r="DW37" s="25"/>
    </row>
    <row r="38" spans="1:127" s="13" customFormat="1" ht="15.95" customHeight="1" x14ac:dyDescent="0.2">
      <c r="A38" s="13" t="s">
        <v>143</v>
      </c>
      <c r="B38" s="26" t="s">
        <v>144</v>
      </c>
      <c r="C38" s="13" t="s">
        <v>145</v>
      </c>
      <c r="D38" s="26" t="s">
        <v>146</v>
      </c>
      <c r="E38" s="13" t="s">
        <v>147</v>
      </c>
      <c r="G38" s="13" t="s">
        <v>148</v>
      </c>
      <c r="H38" s="26" t="s">
        <v>149</v>
      </c>
      <c r="I38" s="13" t="s">
        <v>150</v>
      </c>
      <c r="J38" s="19" t="s">
        <v>151</v>
      </c>
      <c r="K38" s="26" t="s">
        <v>152</v>
      </c>
      <c r="L38" s="13" t="s">
        <v>263</v>
      </c>
      <c r="M38" s="14" t="s">
        <v>256</v>
      </c>
      <c r="N38" s="19">
        <v>313</v>
      </c>
      <c r="O38" s="19">
        <v>1</v>
      </c>
      <c r="Q38" s="14" t="s">
        <v>301</v>
      </c>
      <c r="R38" s="13" t="s">
        <v>302</v>
      </c>
      <c r="S38" s="13" t="s">
        <v>177</v>
      </c>
      <c r="T38" s="19" t="s">
        <v>303</v>
      </c>
      <c r="U38" s="13" t="s">
        <v>300</v>
      </c>
      <c r="V38" s="19"/>
      <c r="W38" s="19"/>
      <c r="X38" s="19"/>
      <c r="Y38" s="19"/>
      <c r="Z38" s="19"/>
      <c r="AA38" s="19"/>
      <c r="AB38" s="19" t="s">
        <v>165</v>
      </c>
      <c r="AC38" s="19"/>
      <c r="AD38" s="13" t="s">
        <v>160</v>
      </c>
      <c r="AG38" s="19"/>
      <c r="AI38" s="19"/>
      <c r="AJ38" s="20"/>
      <c r="AL38" s="19" t="s">
        <v>303</v>
      </c>
      <c r="AM38" s="24">
        <v>398688.42</v>
      </c>
      <c r="BU38" s="19" t="s">
        <v>303</v>
      </c>
      <c r="BX38" s="24">
        <v>350467.09</v>
      </c>
      <c r="BY38" s="24">
        <v>225597.88</v>
      </c>
      <c r="BZ38" s="27">
        <v>350467</v>
      </c>
      <c r="CA38" s="24">
        <v>280693.93</v>
      </c>
      <c r="CB38" s="24">
        <v>351657.79</v>
      </c>
      <c r="CC38" s="24">
        <v>288209</v>
      </c>
      <c r="CD38" s="24">
        <v>351657.79</v>
      </c>
      <c r="CE38" s="24">
        <v>285814.68</v>
      </c>
      <c r="CF38" s="24">
        <v>350467</v>
      </c>
      <c r="CG38" s="24">
        <v>285039.59000000003</v>
      </c>
      <c r="CH38" s="24">
        <v>350467</v>
      </c>
      <c r="CI38" s="24">
        <v>299153.49</v>
      </c>
      <c r="CJ38" s="24">
        <v>350467</v>
      </c>
      <c r="CK38" s="24">
        <v>288606.69</v>
      </c>
      <c r="CL38" s="24">
        <v>343635</v>
      </c>
      <c r="CM38" s="24">
        <v>10203.59</v>
      </c>
      <c r="CN38" s="24">
        <f t="shared" si="23"/>
        <v>353838.59</v>
      </c>
      <c r="CO38" s="24">
        <v>295292.99</v>
      </c>
      <c r="CP38" s="24">
        <v>343634.72</v>
      </c>
      <c r="CQ38" s="24">
        <v>10203.59</v>
      </c>
      <c r="CR38" s="24">
        <f t="shared" si="24"/>
        <v>353838.31</v>
      </c>
      <c r="CS38" s="24">
        <v>318541.21999999997</v>
      </c>
      <c r="CT38" s="24">
        <v>343634.72</v>
      </c>
      <c r="CU38" s="24">
        <v>10203.59</v>
      </c>
      <c r="CV38" s="24">
        <f t="shared" si="25"/>
        <v>353838.31</v>
      </c>
      <c r="CW38" s="24">
        <v>302474.28000000003</v>
      </c>
      <c r="CX38" s="24">
        <v>343634.72</v>
      </c>
      <c r="CY38" s="24">
        <v>10203.59</v>
      </c>
      <c r="CZ38" s="24">
        <f t="shared" si="26"/>
        <v>353838.31</v>
      </c>
      <c r="DA38" s="27">
        <v>290361.56</v>
      </c>
      <c r="DB38" s="24">
        <v>343634.72</v>
      </c>
      <c r="DC38" s="24">
        <v>10203.59</v>
      </c>
      <c r="DD38" s="24">
        <f t="shared" si="27"/>
        <v>353838.31</v>
      </c>
      <c r="DE38" s="24">
        <v>289893.19</v>
      </c>
      <c r="DJ38" s="19" t="s">
        <v>303</v>
      </c>
      <c r="DK38" s="24">
        <v>398688.42</v>
      </c>
      <c r="DL38" s="24">
        <v>325928.13</v>
      </c>
      <c r="DM38" s="24">
        <v>398688.42</v>
      </c>
      <c r="DN38" s="24">
        <v>322895.45</v>
      </c>
      <c r="DO38" s="24">
        <v>398688.42</v>
      </c>
      <c r="DP38" s="28">
        <v>326490.61</v>
      </c>
      <c r="DQ38" s="24">
        <v>398688.42</v>
      </c>
      <c r="DR38" s="24"/>
      <c r="DS38" s="25">
        <f t="shared" si="20"/>
        <v>81.750086947596827</v>
      </c>
      <c r="DT38" s="25">
        <f t="shared" si="21"/>
        <v>80.989422767784433</v>
      </c>
      <c r="DU38" s="25">
        <f t="shared" si="22"/>
        <v>81.891169550397279</v>
      </c>
      <c r="DV38" s="24"/>
      <c r="DW38" s="25"/>
    </row>
    <row r="39" spans="1:127" s="13" customFormat="1" ht="15.95" customHeight="1" x14ac:dyDescent="0.2">
      <c r="A39" s="13" t="s">
        <v>143</v>
      </c>
      <c r="B39" s="26" t="s">
        <v>144</v>
      </c>
      <c r="C39" s="13" t="s">
        <v>145</v>
      </c>
      <c r="D39" s="26" t="s">
        <v>146</v>
      </c>
      <c r="E39" s="13" t="s">
        <v>147</v>
      </c>
      <c r="G39" s="13" t="s">
        <v>148</v>
      </c>
      <c r="H39" s="26" t="s">
        <v>149</v>
      </c>
      <c r="I39" s="13" t="s">
        <v>150</v>
      </c>
      <c r="J39" s="19" t="s">
        <v>151</v>
      </c>
      <c r="K39" s="26" t="s">
        <v>152</v>
      </c>
      <c r="L39" s="13" t="s">
        <v>263</v>
      </c>
      <c r="M39" s="14" t="s">
        <v>256</v>
      </c>
      <c r="N39" s="19">
        <v>313</v>
      </c>
      <c r="O39" s="19">
        <v>1</v>
      </c>
      <c r="Q39" s="14" t="s">
        <v>304</v>
      </c>
      <c r="R39" s="13" t="s">
        <v>305</v>
      </c>
      <c r="S39" s="13" t="s">
        <v>177</v>
      </c>
      <c r="T39" s="19" t="s">
        <v>306</v>
      </c>
      <c r="U39" s="13" t="s">
        <v>307</v>
      </c>
      <c r="V39" s="19"/>
      <c r="W39" s="19"/>
      <c r="X39" s="19"/>
      <c r="Y39" s="19"/>
      <c r="Z39" s="19"/>
      <c r="AA39" s="19"/>
      <c r="AB39" s="19" t="s">
        <v>195</v>
      </c>
      <c r="AC39" s="19"/>
      <c r="AD39" s="13" t="s">
        <v>160</v>
      </c>
      <c r="AG39" s="19" t="s">
        <v>308</v>
      </c>
      <c r="AI39" s="19" t="s">
        <v>195</v>
      </c>
      <c r="AJ39" s="20"/>
      <c r="AL39" s="19" t="s">
        <v>306</v>
      </c>
      <c r="AM39" s="24">
        <v>345247.56</v>
      </c>
      <c r="BU39" s="19" t="s">
        <v>306</v>
      </c>
      <c r="BX39" s="24">
        <v>303477.76000000001</v>
      </c>
      <c r="BY39" s="24">
        <v>179766.83000000002</v>
      </c>
      <c r="BZ39" s="27">
        <v>303478</v>
      </c>
      <c r="CA39" s="24">
        <v>185736.12</v>
      </c>
      <c r="CB39" s="24">
        <v>303477.76000000001</v>
      </c>
      <c r="CC39" s="24">
        <v>244999.38</v>
      </c>
      <c r="CD39" s="24">
        <v>303477.76000000001</v>
      </c>
      <c r="CE39" s="24">
        <v>259524.98</v>
      </c>
      <c r="CF39" s="24">
        <v>303478</v>
      </c>
      <c r="CG39" s="24">
        <v>260433.77</v>
      </c>
      <c r="CH39" s="24">
        <v>303478</v>
      </c>
      <c r="CI39" s="24">
        <v>253150.43</v>
      </c>
      <c r="CJ39" s="24">
        <v>303478</v>
      </c>
      <c r="CK39" s="24">
        <v>208414.64</v>
      </c>
      <c r="CL39" s="24">
        <v>303478</v>
      </c>
      <c r="CM39" s="24">
        <v>0</v>
      </c>
      <c r="CN39" s="24">
        <f t="shared" si="23"/>
        <v>303478</v>
      </c>
      <c r="CO39" s="24">
        <v>274455.86</v>
      </c>
      <c r="CP39" s="24">
        <v>303478</v>
      </c>
      <c r="CQ39" s="24">
        <v>0</v>
      </c>
      <c r="CR39" s="24">
        <f t="shared" si="24"/>
        <v>303478</v>
      </c>
      <c r="CS39" s="24">
        <v>282084.65999999997</v>
      </c>
      <c r="CT39" s="24">
        <v>303478</v>
      </c>
      <c r="CU39" s="24">
        <v>0</v>
      </c>
      <c r="CV39" s="24">
        <f t="shared" si="25"/>
        <v>303478</v>
      </c>
      <c r="CW39" s="24">
        <v>285122.15999999997</v>
      </c>
      <c r="CX39" s="24">
        <v>303478</v>
      </c>
      <c r="CY39" s="24">
        <v>0</v>
      </c>
      <c r="CZ39" s="24">
        <f t="shared" si="26"/>
        <v>303478</v>
      </c>
      <c r="DA39" s="27">
        <v>263884.94</v>
      </c>
      <c r="DB39" s="24">
        <v>303478</v>
      </c>
      <c r="DC39" s="24">
        <v>0</v>
      </c>
      <c r="DD39" s="24">
        <f t="shared" si="27"/>
        <v>303478</v>
      </c>
      <c r="DE39" s="24">
        <v>255542.53</v>
      </c>
      <c r="DJ39" s="19" t="s">
        <v>306</v>
      </c>
      <c r="DK39" s="24">
        <v>345247.56</v>
      </c>
      <c r="DL39" s="24">
        <v>225870.83</v>
      </c>
      <c r="DM39" s="24">
        <v>345247.56</v>
      </c>
      <c r="DN39" s="24">
        <v>285593.11</v>
      </c>
      <c r="DO39" s="24">
        <v>345247.56</v>
      </c>
      <c r="DP39" s="28">
        <v>281687.23</v>
      </c>
      <c r="DQ39" s="24">
        <v>345247.56</v>
      </c>
      <c r="DR39" s="24"/>
      <c r="DS39" s="25">
        <f t="shared" si="20"/>
        <v>65.422860627892632</v>
      </c>
      <c r="DT39" s="25">
        <f t="shared" si="21"/>
        <v>82.721253699808912</v>
      </c>
      <c r="DU39" s="25">
        <f t="shared" si="22"/>
        <v>81.589926370515116</v>
      </c>
      <c r="DV39" s="24"/>
      <c r="DW39" s="25"/>
    </row>
    <row r="40" spans="1:127" s="13" customFormat="1" ht="15.95" customHeight="1" x14ac:dyDescent="0.2">
      <c r="N40" s="19"/>
      <c r="O40" s="20"/>
      <c r="Q40" s="14"/>
      <c r="T40" s="19"/>
      <c r="V40" s="19"/>
      <c r="W40" s="19"/>
      <c r="X40" s="19"/>
      <c r="Y40" s="19"/>
      <c r="Z40" s="19"/>
      <c r="AA40" s="19"/>
      <c r="AB40" s="19"/>
      <c r="AC40" s="19"/>
      <c r="AG40" s="19"/>
      <c r="AI40" s="19"/>
      <c r="AJ40" s="20"/>
      <c r="AL40" s="19"/>
      <c r="BU40" s="19"/>
      <c r="BX40" s="24"/>
      <c r="BY40" s="24"/>
      <c r="BZ40" s="27"/>
      <c r="CA40" s="24"/>
      <c r="CB40" s="24"/>
      <c r="CC40" s="24"/>
      <c r="CD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7"/>
      <c r="DB40" s="24"/>
      <c r="DC40" s="24"/>
      <c r="DD40" s="24"/>
      <c r="DE40" s="24"/>
      <c r="DJ40" s="19"/>
      <c r="DK40" s="24"/>
      <c r="DL40" s="24"/>
      <c r="DM40" s="24"/>
      <c r="DN40" s="24"/>
      <c r="DO40" s="24"/>
      <c r="DP40" s="28"/>
      <c r="DR40" s="24"/>
      <c r="DS40" s="25" t="e">
        <f t="shared" si="20"/>
        <v>#DIV/0!</v>
      </c>
      <c r="DT40" s="25" t="e">
        <f t="shared" si="21"/>
        <v>#DIV/0!</v>
      </c>
      <c r="DU40" s="25" t="e">
        <f t="shared" si="22"/>
        <v>#DIV/0!</v>
      </c>
      <c r="DV40" s="24"/>
      <c r="DW40" s="24"/>
    </row>
    <row r="41" spans="1:127" s="13" customFormat="1" ht="15.95" customHeight="1" x14ac:dyDescent="0.2">
      <c r="N41" s="14" t="s">
        <v>309</v>
      </c>
      <c r="O41" s="15"/>
      <c r="Q41" s="16" t="s">
        <v>310</v>
      </c>
      <c r="R41" s="17" t="s">
        <v>311</v>
      </c>
      <c r="S41" s="17" t="s">
        <v>203</v>
      </c>
      <c r="T41" s="16" t="s">
        <v>309</v>
      </c>
      <c r="U41" s="17" t="s">
        <v>312</v>
      </c>
      <c r="V41" s="18"/>
      <c r="W41" s="19">
        <v>1</v>
      </c>
      <c r="X41" s="18">
        <f>COUNTIF($AB42:$AB50,"A")</f>
        <v>3</v>
      </c>
      <c r="Y41" s="18">
        <f>COUNTIF($AB42:$AB50,"B")</f>
        <v>3</v>
      </c>
      <c r="Z41" s="18">
        <f>COUNTIF($AB42:$AB50,"G")</f>
        <v>2</v>
      </c>
      <c r="AA41" s="18">
        <f>COUNTIF($AB42:$AB50,"C")</f>
        <v>1</v>
      </c>
      <c r="AB41" s="19">
        <f>COUNTA(AB42:AB50)</f>
        <v>9</v>
      </c>
      <c r="AC41" s="18">
        <f>Y41+Z41</f>
        <v>5</v>
      </c>
      <c r="AG41" s="19" t="s">
        <v>313</v>
      </c>
      <c r="AH41" s="13" t="s">
        <v>314</v>
      </c>
      <c r="AI41" s="19" t="s">
        <v>62</v>
      </c>
      <c r="AJ41" s="20"/>
      <c r="AL41" s="16" t="s">
        <v>309</v>
      </c>
      <c r="AM41" s="21">
        <f t="shared" ref="AM41" si="28">SUM(AM42:AM50)</f>
        <v>4644751.5599999996</v>
      </c>
      <c r="BU41" s="14" t="s">
        <v>309</v>
      </c>
      <c r="BV41" s="17"/>
      <c r="BX41" s="21">
        <f t="shared" ref="BX41:CY41" si="29">SUM(BX42:BX50)</f>
        <v>3690286.26</v>
      </c>
      <c r="BY41" s="21">
        <f t="shared" si="29"/>
        <v>2890066.3800000004</v>
      </c>
      <c r="BZ41" s="21">
        <f t="shared" si="29"/>
        <v>3690285</v>
      </c>
      <c r="CA41" s="21">
        <f t="shared" si="29"/>
        <v>3055678.6999999997</v>
      </c>
      <c r="CB41" s="21">
        <f t="shared" si="29"/>
        <v>3705094.76</v>
      </c>
      <c r="CC41" s="21">
        <f t="shared" si="29"/>
        <v>2974414.7899999996</v>
      </c>
      <c r="CD41" s="21">
        <f t="shared" si="29"/>
        <v>3705094.76</v>
      </c>
      <c r="CE41" s="21">
        <f t="shared" si="29"/>
        <v>2770154.16</v>
      </c>
      <c r="CF41" s="21">
        <f t="shared" si="29"/>
        <v>3838124</v>
      </c>
      <c r="CG41" s="21">
        <f t="shared" si="29"/>
        <v>3075302.06</v>
      </c>
      <c r="CH41" s="21">
        <f t="shared" si="29"/>
        <v>3838124</v>
      </c>
      <c r="CI41" s="21">
        <f t="shared" si="29"/>
        <v>2904295.2299999995</v>
      </c>
      <c r="CJ41" s="21">
        <f t="shared" si="29"/>
        <v>3838124</v>
      </c>
      <c r="CK41" s="21">
        <f t="shared" si="29"/>
        <v>2675034.4</v>
      </c>
      <c r="CL41" s="21">
        <f t="shared" si="29"/>
        <v>3763202</v>
      </c>
      <c r="CM41" s="21">
        <f t="shared" si="29"/>
        <v>110949.43999999999</v>
      </c>
      <c r="CN41" s="21">
        <f t="shared" si="29"/>
        <v>3874151.4399999995</v>
      </c>
      <c r="CO41" s="21">
        <f t="shared" si="29"/>
        <v>2908405.68</v>
      </c>
      <c r="CP41" s="21">
        <f t="shared" si="29"/>
        <v>3763201.8499999996</v>
      </c>
      <c r="CQ41" s="21">
        <f t="shared" si="29"/>
        <v>110949.43999999999</v>
      </c>
      <c r="CR41" s="21">
        <f t="shared" si="29"/>
        <v>3874151.2900000005</v>
      </c>
      <c r="CS41" s="21">
        <f t="shared" si="29"/>
        <v>3092804.81</v>
      </c>
      <c r="CT41" s="21">
        <f t="shared" si="29"/>
        <v>3763201.8499999996</v>
      </c>
      <c r="CU41" s="21">
        <f t="shared" si="29"/>
        <v>110949.43999999999</v>
      </c>
      <c r="CV41" s="21">
        <f t="shared" si="29"/>
        <v>3874151.2900000005</v>
      </c>
      <c r="CW41" s="21">
        <f t="shared" si="29"/>
        <v>3258881.28</v>
      </c>
      <c r="CX41" s="21">
        <f t="shared" si="29"/>
        <v>3763201.8499999996</v>
      </c>
      <c r="CY41" s="21">
        <f t="shared" si="29"/>
        <v>110949.43999999999</v>
      </c>
      <c r="CZ41" s="21">
        <f>SUM(CZ42:CZ50)</f>
        <v>3874151.2900000005</v>
      </c>
      <c r="DA41" s="22">
        <f>SUM(DA42:DA50)</f>
        <v>3173314.09</v>
      </c>
      <c r="DB41" s="21">
        <f t="shared" ref="DB41:DC41" si="30">SUM(DB42:DB50)</f>
        <v>3763201.8499999996</v>
      </c>
      <c r="DC41" s="21">
        <f t="shared" si="30"/>
        <v>110949.43999999999</v>
      </c>
      <c r="DD41" s="21">
        <f>SUM(DD42:DD50)</f>
        <v>3874151.2900000005</v>
      </c>
      <c r="DE41" s="21">
        <f>SUM(DE42:DE50)</f>
        <v>3163366.81</v>
      </c>
      <c r="DJ41" s="14" t="s">
        <v>309</v>
      </c>
      <c r="DK41" s="23">
        <f t="shared" ref="DK41:DQ41" si="31">SUM(DK42:DK50)</f>
        <v>4644751.5599999996</v>
      </c>
      <c r="DL41" s="23">
        <f t="shared" si="31"/>
        <v>3253253.9200000004</v>
      </c>
      <c r="DM41" s="23">
        <f t="shared" si="31"/>
        <v>4644751.5599999996</v>
      </c>
      <c r="DN41" s="23">
        <f t="shared" si="31"/>
        <v>3715670.5</v>
      </c>
      <c r="DO41" s="23">
        <f t="shared" si="31"/>
        <v>4644751.5599999996</v>
      </c>
      <c r="DP41" s="23">
        <f t="shared" si="31"/>
        <v>3739473.29</v>
      </c>
      <c r="DQ41" s="21">
        <f t="shared" si="31"/>
        <v>4644751.5599999996</v>
      </c>
      <c r="DR41" s="24"/>
      <c r="DS41" s="25">
        <f t="shared" si="20"/>
        <v>70.041505513806229</v>
      </c>
      <c r="DT41" s="25">
        <f t="shared" si="21"/>
        <v>79.997185037815029</v>
      </c>
      <c r="DU41" s="25">
        <f t="shared" si="22"/>
        <v>80.509651413949911</v>
      </c>
      <c r="DV41" s="24"/>
      <c r="DW41" s="25"/>
    </row>
    <row r="42" spans="1:127" s="13" customFormat="1" ht="15.95" customHeight="1" x14ac:dyDescent="0.2">
      <c r="A42" s="13" t="s">
        <v>143</v>
      </c>
      <c r="B42" s="26" t="s">
        <v>144</v>
      </c>
      <c r="C42" s="13" t="s">
        <v>145</v>
      </c>
      <c r="D42" s="26" t="s">
        <v>146</v>
      </c>
      <c r="E42" s="13" t="s">
        <v>147</v>
      </c>
      <c r="G42" s="13" t="s">
        <v>148</v>
      </c>
      <c r="H42" s="26" t="s">
        <v>149</v>
      </c>
      <c r="I42" s="13" t="s">
        <v>150</v>
      </c>
      <c r="J42" s="19" t="s">
        <v>151</v>
      </c>
      <c r="K42" s="26" t="s">
        <v>152</v>
      </c>
      <c r="L42" s="13" t="s">
        <v>315</v>
      </c>
      <c r="M42" s="19" t="s">
        <v>310</v>
      </c>
      <c r="N42" s="14" t="s">
        <v>309</v>
      </c>
      <c r="O42" s="19">
        <v>1</v>
      </c>
      <c r="Q42" s="14" t="s">
        <v>316</v>
      </c>
      <c r="R42" s="13" t="s">
        <v>317</v>
      </c>
      <c r="S42" s="13" t="s">
        <v>177</v>
      </c>
      <c r="T42" s="19" t="s">
        <v>318</v>
      </c>
      <c r="U42" s="13" t="s">
        <v>319</v>
      </c>
      <c r="V42" s="19"/>
      <c r="W42" s="19"/>
      <c r="X42" s="19"/>
      <c r="Y42" s="19"/>
      <c r="Z42" s="19"/>
      <c r="AA42" s="19"/>
      <c r="AB42" s="19" t="s">
        <v>159</v>
      </c>
      <c r="AC42" s="19"/>
      <c r="AD42" s="13" t="s">
        <v>160</v>
      </c>
      <c r="AG42" s="19"/>
      <c r="AI42" s="19"/>
      <c r="AJ42" s="20"/>
      <c r="AL42" s="19" t="s">
        <v>318</v>
      </c>
      <c r="AM42" s="24">
        <v>510001.02</v>
      </c>
      <c r="BA42" s="14" t="s">
        <v>320</v>
      </c>
      <c r="BB42" s="13" t="s">
        <v>321</v>
      </c>
      <c r="BS42" s="19" t="s">
        <v>322</v>
      </c>
      <c r="BT42" s="13" t="s">
        <v>323</v>
      </c>
      <c r="BU42" s="19" t="s">
        <v>318</v>
      </c>
      <c r="BX42" s="24">
        <v>429986.31</v>
      </c>
      <c r="BY42" s="24">
        <v>298351.82</v>
      </c>
      <c r="BZ42" s="27">
        <v>429986</v>
      </c>
      <c r="CA42" s="24">
        <v>303995.92</v>
      </c>
      <c r="CB42" s="24">
        <v>432019.21</v>
      </c>
      <c r="CC42" s="24">
        <v>305470.56</v>
      </c>
      <c r="CD42" s="24">
        <v>432019.21</v>
      </c>
      <c r="CE42" s="24">
        <v>303217.57</v>
      </c>
      <c r="CF42" s="24">
        <v>429986</v>
      </c>
      <c r="CG42" s="24">
        <v>260959.91</v>
      </c>
      <c r="CH42" s="24">
        <v>429986</v>
      </c>
      <c r="CI42" s="24">
        <v>165708.29999999999</v>
      </c>
      <c r="CJ42" s="24">
        <v>429986</v>
      </c>
      <c r="CK42" s="24">
        <v>197348.93</v>
      </c>
      <c r="CL42" s="24">
        <v>423867</v>
      </c>
      <c r="CM42" s="24">
        <v>9043.85</v>
      </c>
      <c r="CN42" s="24">
        <f t="shared" si="23"/>
        <v>432910.85</v>
      </c>
      <c r="CO42" s="24">
        <v>269242.15999999997</v>
      </c>
      <c r="CP42" s="24">
        <v>423867.46</v>
      </c>
      <c r="CQ42" s="24">
        <v>9043.85</v>
      </c>
      <c r="CR42" s="24">
        <f t="shared" si="24"/>
        <v>432911.31</v>
      </c>
      <c r="CS42" s="24">
        <v>276606.03000000003</v>
      </c>
      <c r="CT42" s="24">
        <v>423867.46</v>
      </c>
      <c r="CU42" s="24">
        <v>9043.85</v>
      </c>
      <c r="CV42" s="24">
        <f t="shared" si="25"/>
        <v>432911.31</v>
      </c>
      <c r="CW42" s="24">
        <v>277365.67</v>
      </c>
      <c r="CX42" s="24">
        <v>423867.46</v>
      </c>
      <c r="CY42" s="24">
        <v>9043.85</v>
      </c>
      <c r="CZ42" s="24">
        <f t="shared" si="26"/>
        <v>432911.31</v>
      </c>
      <c r="DA42" s="27">
        <v>239616.5</v>
      </c>
      <c r="DB42" s="24">
        <v>423867.46</v>
      </c>
      <c r="DC42" s="24">
        <v>9043.85</v>
      </c>
      <c r="DD42" s="24">
        <f t="shared" ref="DD42:DD50" si="32">SUM(DB42:DC42)</f>
        <v>432911.31</v>
      </c>
      <c r="DE42" s="24">
        <v>186932.47</v>
      </c>
      <c r="DJ42" s="19" t="s">
        <v>318</v>
      </c>
      <c r="DK42" s="24">
        <v>510001.02</v>
      </c>
      <c r="DL42" s="24">
        <v>194143.89</v>
      </c>
      <c r="DM42" s="24">
        <v>510001.02</v>
      </c>
      <c r="DN42" s="24">
        <v>283428.33</v>
      </c>
      <c r="DO42" s="24">
        <v>510001.02</v>
      </c>
      <c r="DP42" s="28">
        <v>291239.21999999997</v>
      </c>
      <c r="DQ42" s="24">
        <v>510001.02</v>
      </c>
      <c r="DR42" s="24"/>
      <c r="DS42" s="25">
        <f t="shared" si="20"/>
        <v>38.067353277058153</v>
      </c>
      <c r="DT42" s="25">
        <f t="shared" si="21"/>
        <v>55.57407120479877</v>
      </c>
      <c r="DU42" s="25">
        <f t="shared" si="22"/>
        <v>57.105615200534302</v>
      </c>
      <c r="DV42" s="24"/>
      <c r="DW42" s="25"/>
    </row>
    <row r="43" spans="1:127" s="13" customFormat="1" ht="15.95" customHeight="1" x14ac:dyDescent="0.2">
      <c r="A43" s="13" t="s">
        <v>143</v>
      </c>
      <c r="B43" s="26" t="s">
        <v>144</v>
      </c>
      <c r="C43" s="13" t="s">
        <v>145</v>
      </c>
      <c r="D43" s="26" t="s">
        <v>146</v>
      </c>
      <c r="E43" s="13" t="s">
        <v>147</v>
      </c>
      <c r="G43" s="13" t="s">
        <v>148</v>
      </c>
      <c r="H43" s="26" t="s">
        <v>149</v>
      </c>
      <c r="I43" s="13" t="s">
        <v>150</v>
      </c>
      <c r="J43" s="19" t="s">
        <v>151</v>
      </c>
      <c r="K43" s="26" t="s">
        <v>152</v>
      </c>
      <c r="L43" s="13" t="s">
        <v>315</v>
      </c>
      <c r="M43" s="19" t="s">
        <v>310</v>
      </c>
      <c r="N43" s="14" t="s">
        <v>309</v>
      </c>
      <c r="O43" s="19">
        <v>1</v>
      </c>
      <c r="Q43" s="14" t="s">
        <v>324</v>
      </c>
      <c r="R43" s="13" t="s">
        <v>325</v>
      </c>
      <c r="S43" s="13" t="s">
        <v>163</v>
      </c>
      <c r="T43" s="19" t="s">
        <v>326</v>
      </c>
      <c r="U43" s="13" t="s">
        <v>319</v>
      </c>
      <c r="V43" s="19"/>
      <c r="W43" s="19"/>
      <c r="X43" s="19"/>
      <c r="Y43" s="19"/>
      <c r="Z43" s="19"/>
      <c r="AA43" s="19"/>
      <c r="AB43" s="19" t="s">
        <v>165</v>
      </c>
      <c r="AC43" s="19"/>
      <c r="AD43" s="13" t="s">
        <v>160</v>
      </c>
      <c r="AG43" s="19"/>
      <c r="AI43" s="19"/>
      <c r="AJ43" s="20"/>
      <c r="AL43" s="19" t="s">
        <v>326</v>
      </c>
      <c r="AM43" s="24">
        <v>537316.62</v>
      </c>
      <c r="BU43" s="19" t="s">
        <v>326</v>
      </c>
      <c r="BX43" s="24">
        <v>455873.2</v>
      </c>
      <c r="BY43" s="24">
        <v>335148.25</v>
      </c>
      <c r="BZ43" s="27">
        <v>455873</v>
      </c>
      <c r="CA43" s="24">
        <v>376371.09</v>
      </c>
      <c r="CB43" s="24">
        <v>457063.9</v>
      </c>
      <c r="CC43" s="24">
        <v>337676.15</v>
      </c>
      <c r="CD43" s="24">
        <v>457063.9</v>
      </c>
      <c r="CE43" s="24">
        <v>375076.28</v>
      </c>
      <c r="CF43" s="24">
        <v>455873</v>
      </c>
      <c r="CG43" s="24">
        <v>337994.19</v>
      </c>
      <c r="CH43" s="27">
        <v>455873</v>
      </c>
      <c r="CI43" s="27">
        <v>341287.31</v>
      </c>
      <c r="CJ43" s="24">
        <v>455873</v>
      </c>
      <c r="CK43" s="24">
        <v>326633.25</v>
      </c>
      <c r="CL43" s="24">
        <v>447010</v>
      </c>
      <c r="CM43" s="24">
        <v>13217.14</v>
      </c>
      <c r="CN43" s="24">
        <f t="shared" si="23"/>
        <v>460227.14</v>
      </c>
      <c r="CO43" s="24">
        <v>322640.40000000002</v>
      </c>
      <c r="CP43" s="24">
        <v>447009.85</v>
      </c>
      <c r="CQ43" s="24">
        <v>13217.14</v>
      </c>
      <c r="CR43" s="24">
        <f t="shared" si="24"/>
        <v>460226.99</v>
      </c>
      <c r="CS43" s="24">
        <v>337210.14</v>
      </c>
      <c r="CT43" s="24">
        <v>447009.85</v>
      </c>
      <c r="CU43" s="24">
        <v>13217.14</v>
      </c>
      <c r="CV43" s="24">
        <f t="shared" si="25"/>
        <v>460226.99</v>
      </c>
      <c r="CW43" s="24">
        <v>377257.88</v>
      </c>
      <c r="CX43" s="24">
        <v>447009.85</v>
      </c>
      <c r="CY43" s="24">
        <v>13217.14</v>
      </c>
      <c r="CZ43" s="24">
        <f t="shared" si="26"/>
        <v>460226.99</v>
      </c>
      <c r="DA43" s="27">
        <v>378162.39</v>
      </c>
      <c r="DB43" s="24">
        <v>447009.85</v>
      </c>
      <c r="DC43" s="24">
        <v>13217.14</v>
      </c>
      <c r="DD43" s="24">
        <f t="shared" si="32"/>
        <v>460226.99</v>
      </c>
      <c r="DE43" s="24">
        <v>392814.67</v>
      </c>
      <c r="DJ43" s="19" t="s">
        <v>326</v>
      </c>
      <c r="DK43" s="24">
        <v>537316.62</v>
      </c>
      <c r="DL43" s="24">
        <v>394897.95</v>
      </c>
      <c r="DM43" s="24">
        <v>537316.62</v>
      </c>
      <c r="DN43" s="24">
        <v>445360.01</v>
      </c>
      <c r="DO43" s="24">
        <v>537316.62</v>
      </c>
      <c r="DP43" s="28">
        <v>453071.25</v>
      </c>
      <c r="DQ43" s="24">
        <v>537316.62</v>
      </c>
      <c r="DR43" s="24"/>
      <c r="DS43" s="25">
        <f t="shared" si="20"/>
        <v>73.494460305359624</v>
      </c>
      <c r="DT43" s="25">
        <f t="shared" si="21"/>
        <v>82.885954653701205</v>
      </c>
      <c r="DU43" s="25">
        <f t="shared" si="22"/>
        <v>84.321093585379884</v>
      </c>
      <c r="DV43" s="24"/>
      <c r="DW43" s="25"/>
    </row>
    <row r="44" spans="1:127" s="13" customFormat="1" ht="15.95" customHeight="1" x14ac:dyDescent="0.2">
      <c r="A44" s="13" t="s">
        <v>143</v>
      </c>
      <c r="B44" s="26" t="s">
        <v>144</v>
      </c>
      <c r="C44" s="13" t="s">
        <v>145</v>
      </c>
      <c r="D44" s="26" t="s">
        <v>146</v>
      </c>
      <c r="E44" s="13" t="s">
        <v>147</v>
      </c>
      <c r="G44" s="13" t="s">
        <v>148</v>
      </c>
      <c r="H44" s="26" t="s">
        <v>149</v>
      </c>
      <c r="I44" s="13" t="s">
        <v>150</v>
      </c>
      <c r="J44" s="19" t="s">
        <v>151</v>
      </c>
      <c r="K44" s="26" t="s">
        <v>152</v>
      </c>
      <c r="L44" s="13" t="s">
        <v>315</v>
      </c>
      <c r="M44" s="19" t="s">
        <v>310</v>
      </c>
      <c r="N44" s="14" t="s">
        <v>309</v>
      </c>
      <c r="O44" s="19">
        <v>1</v>
      </c>
      <c r="Q44" s="14" t="s">
        <v>327</v>
      </c>
      <c r="R44" s="13" t="s">
        <v>328</v>
      </c>
      <c r="S44" s="13" t="s">
        <v>163</v>
      </c>
      <c r="T44" s="19" t="s">
        <v>329</v>
      </c>
      <c r="U44" s="13" t="s">
        <v>330</v>
      </c>
      <c r="V44" s="19"/>
      <c r="W44" s="19"/>
      <c r="X44" s="19"/>
      <c r="Y44" s="19"/>
      <c r="Z44" s="19"/>
      <c r="AA44" s="19"/>
      <c r="AB44" s="19" t="s">
        <v>170</v>
      </c>
      <c r="AC44" s="19"/>
      <c r="AD44" s="13" t="s">
        <v>160</v>
      </c>
      <c r="AG44" s="19"/>
      <c r="AI44" s="19"/>
      <c r="AJ44" s="20"/>
      <c r="AL44" s="19" t="s">
        <v>329</v>
      </c>
      <c r="AM44" s="24">
        <v>597188.57999999996</v>
      </c>
      <c r="BU44" s="19" t="s">
        <v>329</v>
      </c>
      <c r="BX44" s="24">
        <v>327097.49</v>
      </c>
      <c r="BY44" s="24">
        <v>197782.13</v>
      </c>
      <c r="BZ44" s="27">
        <v>327097</v>
      </c>
      <c r="CA44" s="24">
        <v>264965.90000000002</v>
      </c>
      <c r="CB44" s="24">
        <v>329130.39</v>
      </c>
      <c r="CC44" s="24">
        <v>285543.08</v>
      </c>
      <c r="CD44" s="24">
        <v>329130.39</v>
      </c>
      <c r="CE44" s="24"/>
      <c r="CF44" s="24">
        <v>474936</v>
      </c>
      <c r="CG44" s="24">
        <v>417647.51</v>
      </c>
      <c r="CH44" s="24">
        <v>474936</v>
      </c>
      <c r="CI44" s="24">
        <v>384740.32</v>
      </c>
      <c r="CJ44" s="24">
        <v>474936</v>
      </c>
      <c r="CK44" s="24">
        <v>337255.52</v>
      </c>
      <c r="CL44" s="24">
        <v>461884</v>
      </c>
      <c r="CM44" s="24">
        <v>19211.38</v>
      </c>
      <c r="CN44" s="24">
        <f t="shared" si="23"/>
        <v>481095.38</v>
      </c>
      <c r="CO44" s="24">
        <v>358742.85</v>
      </c>
      <c r="CP44" s="24">
        <v>461883.61</v>
      </c>
      <c r="CQ44" s="24">
        <v>19211.38</v>
      </c>
      <c r="CR44" s="24">
        <f t="shared" si="24"/>
        <v>481094.99</v>
      </c>
      <c r="CS44" s="24">
        <v>396438.12</v>
      </c>
      <c r="CT44" s="24">
        <v>461883.61</v>
      </c>
      <c r="CU44" s="24">
        <v>19211.38</v>
      </c>
      <c r="CV44" s="24">
        <f t="shared" si="25"/>
        <v>481094.99</v>
      </c>
      <c r="CW44" s="24">
        <v>450447.03</v>
      </c>
      <c r="CX44" s="24">
        <v>461883.61</v>
      </c>
      <c r="CY44" s="24">
        <v>19211.38</v>
      </c>
      <c r="CZ44" s="24">
        <f t="shared" si="26"/>
        <v>481094.99</v>
      </c>
      <c r="DA44" s="27">
        <v>421227.23</v>
      </c>
      <c r="DB44" s="24">
        <v>461883.61</v>
      </c>
      <c r="DC44" s="24">
        <v>19211.38</v>
      </c>
      <c r="DD44" s="24">
        <f t="shared" si="32"/>
        <v>481094.99</v>
      </c>
      <c r="DE44" s="24">
        <v>415402.93</v>
      </c>
      <c r="DJ44" s="19" t="s">
        <v>329</v>
      </c>
      <c r="DK44" s="24">
        <v>597188.57999999996</v>
      </c>
      <c r="DL44" s="24">
        <v>383060.05</v>
      </c>
      <c r="DM44" s="24">
        <v>597188.57999999996</v>
      </c>
      <c r="DN44" s="24">
        <v>507899.09</v>
      </c>
      <c r="DO44" s="24">
        <v>597188.57999999996</v>
      </c>
      <c r="DP44" s="28">
        <v>501498.09</v>
      </c>
      <c r="DQ44" s="24">
        <v>597188.57999999996</v>
      </c>
      <c r="DR44" s="24"/>
      <c r="DS44" s="25">
        <f t="shared" si="20"/>
        <v>64.143900742375209</v>
      </c>
      <c r="DT44" s="25">
        <f t="shared" si="21"/>
        <v>85.048359431119749</v>
      </c>
      <c r="DU44" s="25">
        <f t="shared" si="22"/>
        <v>83.976503703403054</v>
      </c>
      <c r="DV44" s="24"/>
      <c r="DW44" s="25"/>
    </row>
    <row r="45" spans="1:127" s="13" customFormat="1" ht="15.95" customHeight="1" x14ac:dyDescent="0.2">
      <c r="A45" s="13" t="s">
        <v>143</v>
      </c>
      <c r="B45" s="26" t="s">
        <v>144</v>
      </c>
      <c r="C45" s="13" t="s">
        <v>145</v>
      </c>
      <c r="D45" s="26" t="s">
        <v>146</v>
      </c>
      <c r="E45" s="13" t="s">
        <v>147</v>
      </c>
      <c r="G45" s="13" t="s">
        <v>148</v>
      </c>
      <c r="H45" s="26" t="s">
        <v>149</v>
      </c>
      <c r="I45" s="13" t="s">
        <v>150</v>
      </c>
      <c r="J45" s="19" t="s">
        <v>151</v>
      </c>
      <c r="K45" s="26" t="s">
        <v>152</v>
      </c>
      <c r="L45" s="13" t="s">
        <v>315</v>
      </c>
      <c r="M45" s="19" t="s">
        <v>310</v>
      </c>
      <c r="N45" s="14" t="s">
        <v>309</v>
      </c>
      <c r="O45" s="19">
        <v>1</v>
      </c>
      <c r="Q45" s="14" t="s">
        <v>331</v>
      </c>
      <c r="R45" s="13" t="s">
        <v>332</v>
      </c>
      <c r="S45" s="13" t="s">
        <v>156</v>
      </c>
      <c r="T45" s="19" t="s">
        <v>333</v>
      </c>
      <c r="U45" s="13" t="s">
        <v>334</v>
      </c>
      <c r="V45" s="19"/>
      <c r="W45" s="19"/>
      <c r="X45" s="19"/>
      <c r="Y45" s="19"/>
      <c r="Z45" s="19"/>
      <c r="AA45" s="19"/>
      <c r="AB45" s="19" t="s">
        <v>170</v>
      </c>
      <c r="AC45" s="19"/>
      <c r="AD45" s="13" t="s">
        <v>160</v>
      </c>
      <c r="AG45" s="19"/>
      <c r="AI45" s="19"/>
      <c r="AJ45" s="20"/>
      <c r="AL45" s="19" t="s">
        <v>333</v>
      </c>
      <c r="AM45" s="24">
        <v>738856.38</v>
      </c>
      <c r="BU45" s="19" t="s">
        <v>333</v>
      </c>
      <c r="BX45" s="24">
        <v>654012.18000000005</v>
      </c>
      <c r="BY45" s="24">
        <v>538903.67000000004</v>
      </c>
      <c r="BZ45" s="27">
        <v>654012</v>
      </c>
      <c r="CA45" s="24">
        <v>561514.03</v>
      </c>
      <c r="CB45" s="24">
        <v>657116.98</v>
      </c>
      <c r="CC45" s="24">
        <v>536622.34</v>
      </c>
      <c r="CD45" s="24">
        <v>657116.98</v>
      </c>
      <c r="CE45" s="24">
        <v>561818.79</v>
      </c>
      <c r="CF45" s="24">
        <v>654012</v>
      </c>
      <c r="CG45" s="24">
        <v>567073.39</v>
      </c>
      <c r="CH45" s="24">
        <v>654012</v>
      </c>
      <c r="CI45" s="24">
        <v>568777.64</v>
      </c>
      <c r="CJ45" s="24">
        <v>654012</v>
      </c>
      <c r="CK45" s="24">
        <v>526168.77</v>
      </c>
      <c r="CL45" s="24">
        <v>632592</v>
      </c>
      <c r="CM45" s="24">
        <v>31777.15</v>
      </c>
      <c r="CN45" s="24">
        <f t="shared" si="23"/>
        <v>664369.15</v>
      </c>
      <c r="CO45" s="24">
        <v>537834.68999999994</v>
      </c>
      <c r="CP45" s="24">
        <v>632592.24</v>
      </c>
      <c r="CQ45" s="24">
        <v>31777.15</v>
      </c>
      <c r="CR45" s="24">
        <f t="shared" si="24"/>
        <v>664369.39</v>
      </c>
      <c r="CS45" s="24">
        <v>542008.94999999995</v>
      </c>
      <c r="CT45" s="24">
        <v>632592.24</v>
      </c>
      <c r="CU45" s="24">
        <v>31777.15</v>
      </c>
      <c r="CV45" s="24">
        <f t="shared" si="25"/>
        <v>664369.39</v>
      </c>
      <c r="CW45" s="24">
        <v>546479.32999999996</v>
      </c>
      <c r="CX45" s="24">
        <v>632592.24</v>
      </c>
      <c r="CY45" s="24">
        <v>31777.15</v>
      </c>
      <c r="CZ45" s="24">
        <f t="shared" si="26"/>
        <v>664369.39</v>
      </c>
      <c r="DA45" s="27">
        <v>555169.46</v>
      </c>
      <c r="DB45" s="24">
        <v>632592.24</v>
      </c>
      <c r="DC45" s="24">
        <v>31777.15</v>
      </c>
      <c r="DD45" s="24">
        <f t="shared" si="32"/>
        <v>664369.39</v>
      </c>
      <c r="DE45" s="24">
        <v>535137.47</v>
      </c>
      <c r="DJ45" s="19" t="s">
        <v>333</v>
      </c>
      <c r="DK45" s="24">
        <v>738856.38</v>
      </c>
      <c r="DL45" s="24">
        <v>595322.91</v>
      </c>
      <c r="DM45" s="24">
        <v>738856.38</v>
      </c>
      <c r="DN45" s="24">
        <v>605577.93000000005</v>
      </c>
      <c r="DO45" s="24">
        <v>738856.38</v>
      </c>
      <c r="DP45" s="28">
        <v>598677.98</v>
      </c>
      <c r="DQ45" s="24">
        <v>738856.38</v>
      </c>
      <c r="DR45" s="24"/>
      <c r="DS45" s="25">
        <f t="shared" si="20"/>
        <v>80.573562889177467</v>
      </c>
      <c r="DT45" s="25">
        <f t="shared" si="21"/>
        <v>81.961521398786601</v>
      </c>
      <c r="DU45" s="25">
        <f t="shared" si="22"/>
        <v>81.027652491814436</v>
      </c>
      <c r="DV45" s="24"/>
      <c r="DW45" s="25"/>
    </row>
    <row r="46" spans="1:127" s="13" customFormat="1" ht="15.95" customHeight="1" x14ac:dyDescent="0.2">
      <c r="A46" s="13" t="s">
        <v>143</v>
      </c>
      <c r="B46" s="26" t="s">
        <v>144</v>
      </c>
      <c r="C46" s="13" t="s">
        <v>145</v>
      </c>
      <c r="D46" s="26" t="s">
        <v>146</v>
      </c>
      <c r="E46" s="13" t="s">
        <v>147</v>
      </c>
      <c r="G46" s="13" t="s">
        <v>148</v>
      </c>
      <c r="H46" s="26" t="s">
        <v>149</v>
      </c>
      <c r="I46" s="13" t="s">
        <v>150</v>
      </c>
      <c r="J46" s="19" t="s">
        <v>151</v>
      </c>
      <c r="K46" s="26" t="s">
        <v>152</v>
      </c>
      <c r="L46" s="13" t="s">
        <v>315</v>
      </c>
      <c r="M46" s="19" t="s">
        <v>310</v>
      </c>
      <c r="N46" s="14" t="s">
        <v>309</v>
      </c>
      <c r="O46" s="19">
        <v>1</v>
      </c>
      <c r="Q46" s="14" t="s">
        <v>335</v>
      </c>
      <c r="R46" s="13" t="s">
        <v>336</v>
      </c>
      <c r="S46" s="13" t="s">
        <v>177</v>
      </c>
      <c r="T46" s="19" t="s">
        <v>337</v>
      </c>
      <c r="U46" s="13" t="s">
        <v>338</v>
      </c>
      <c r="V46" s="19"/>
      <c r="W46" s="19"/>
      <c r="X46" s="19"/>
      <c r="Y46" s="19"/>
      <c r="Z46" s="19"/>
      <c r="AA46" s="19"/>
      <c r="AB46" s="19" t="s">
        <v>159</v>
      </c>
      <c r="AC46" s="19"/>
      <c r="AD46" s="13" t="s">
        <v>160</v>
      </c>
      <c r="AG46" s="19"/>
      <c r="AI46" s="19"/>
      <c r="AJ46" s="20"/>
      <c r="AL46" s="19" t="s">
        <v>337</v>
      </c>
      <c r="AM46" s="24">
        <v>387600</v>
      </c>
      <c r="BU46" s="19" t="s">
        <v>337</v>
      </c>
      <c r="BX46" s="24">
        <v>300101.62</v>
      </c>
      <c r="BY46" s="24">
        <v>255571.01</v>
      </c>
      <c r="BZ46" s="27">
        <v>300102</v>
      </c>
      <c r="CA46" s="24">
        <v>245138.98</v>
      </c>
      <c r="CB46" s="24">
        <v>302134.52</v>
      </c>
      <c r="CC46" s="24">
        <v>246048.16</v>
      </c>
      <c r="CD46" s="24">
        <v>302134.52</v>
      </c>
      <c r="CE46" s="24">
        <v>250397.05</v>
      </c>
      <c r="CF46" s="24">
        <v>300102</v>
      </c>
      <c r="CG46" s="24">
        <v>241687.44</v>
      </c>
      <c r="CH46" s="24">
        <v>300102</v>
      </c>
      <c r="CI46" s="24">
        <v>247776.43</v>
      </c>
      <c r="CJ46" s="24">
        <v>300102</v>
      </c>
      <c r="CK46" s="24">
        <v>193733.41</v>
      </c>
      <c r="CL46" s="24">
        <v>296969</v>
      </c>
      <c r="CM46" s="24">
        <v>4561.37</v>
      </c>
      <c r="CN46" s="24">
        <f t="shared" si="23"/>
        <v>301530.37</v>
      </c>
      <c r="CO46" s="24">
        <v>213618.93</v>
      </c>
      <c r="CP46" s="24">
        <v>296969.14</v>
      </c>
      <c r="CQ46" s="24">
        <v>4561.37</v>
      </c>
      <c r="CR46" s="24">
        <f t="shared" si="24"/>
        <v>301530.51</v>
      </c>
      <c r="CS46" s="24">
        <v>244943.2</v>
      </c>
      <c r="CT46" s="24">
        <v>296969.14</v>
      </c>
      <c r="CU46" s="24">
        <v>4561.37</v>
      </c>
      <c r="CV46" s="24">
        <f t="shared" si="25"/>
        <v>301530.51</v>
      </c>
      <c r="CW46" s="24">
        <v>248959.35999999999</v>
      </c>
      <c r="CX46" s="24">
        <v>296969.14</v>
      </c>
      <c r="CY46" s="24">
        <v>4561.37</v>
      </c>
      <c r="CZ46" s="24">
        <f t="shared" si="26"/>
        <v>301530.51</v>
      </c>
      <c r="DA46" s="27">
        <v>250063.84</v>
      </c>
      <c r="DB46" s="24">
        <v>296969.14</v>
      </c>
      <c r="DC46" s="24">
        <v>4561.37</v>
      </c>
      <c r="DD46" s="24">
        <f t="shared" si="32"/>
        <v>301530.51</v>
      </c>
      <c r="DE46" s="24">
        <v>260122.67</v>
      </c>
      <c r="DJ46" s="19" t="s">
        <v>337</v>
      </c>
      <c r="DK46" s="24">
        <v>387600</v>
      </c>
      <c r="DL46" s="24">
        <v>243997.56</v>
      </c>
      <c r="DM46" s="24">
        <v>387600</v>
      </c>
      <c r="DN46" s="24">
        <v>316842.73</v>
      </c>
      <c r="DO46" s="24">
        <v>387600</v>
      </c>
      <c r="DP46" s="28">
        <v>325590.81</v>
      </c>
      <c r="DQ46" s="24">
        <v>387600</v>
      </c>
      <c r="DR46" s="24"/>
      <c r="DS46" s="25">
        <f t="shared" si="20"/>
        <v>62.950866873065017</v>
      </c>
      <c r="DT46" s="25">
        <f t="shared" si="21"/>
        <v>81.744770381836943</v>
      </c>
      <c r="DU46" s="25">
        <f t="shared" si="22"/>
        <v>84.001756965944281</v>
      </c>
      <c r="DV46" s="24"/>
      <c r="DW46" s="25"/>
    </row>
    <row r="47" spans="1:127" s="13" customFormat="1" ht="15.95" customHeight="1" x14ac:dyDescent="0.2">
      <c r="A47" s="13" t="s">
        <v>143</v>
      </c>
      <c r="B47" s="26" t="s">
        <v>144</v>
      </c>
      <c r="C47" s="13" t="s">
        <v>145</v>
      </c>
      <c r="D47" s="26" t="s">
        <v>146</v>
      </c>
      <c r="E47" s="13" t="s">
        <v>147</v>
      </c>
      <c r="G47" s="13" t="s">
        <v>148</v>
      </c>
      <c r="H47" s="26" t="s">
        <v>149</v>
      </c>
      <c r="I47" s="13" t="s">
        <v>150</v>
      </c>
      <c r="J47" s="19" t="s">
        <v>151</v>
      </c>
      <c r="K47" s="26" t="s">
        <v>152</v>
      </c>
      <c r="L47" s="13" t="s">
        <v>315</v>
      </c>
      <c r="M47" s="19" t="s">
        <v>310</v>
      </c>
      <c r="N47" s="14" t="s">
        <v>309</v>
      </c>
      <c r="O47" s="19">
        <v>1</v>
      </c>
      <c r="Q47" s="14" t="s">
        <v>339</v>
      </c>
      <c r="R47" s="13" t="s">
        <v>340</v>
      </c>
      <c r="S47" s="13" t="s">
        <v>177</v>
      </c>
      <c r="T47" s="19" t="s">
        <v>341</v>
      </c>
      <c r="U47" s="13" t="s">
        <v>338</v>
      </c>
      <c r="V47" s="19"/>
      <c r="W47" s="19"/>
      <c r="X47" s="19"/>
      <c r="Y47" s="19"/>
      <c r="Z47" s="19"/>
      <c r="AA47" s="19"/>
      <c r="AB47" s="19" t="s">
        <v>165</v>
      </c>
      <c r="AC47" s="19"/>
      <c r="AD47" s="13" t="s">
        <v>160</v>
      </c>
      <c r="AG47" s="19"/>
      <c r="AI47" s="19"/>
      <c r="AJ47" s="20"/>
      <c r="AL47" s="19" t="s">
        <v>341</v>
      </c>
      <c r="AM47" s="24">
        <v>416160</v>
      </c>
      <c r="BU47" s="19" t="s">
        <v>341</v>
      </c>
      <c r="BX47" s="24">
        <v>336342.65</v>
      </c>
      <c r="BY47" s="24">
        <v>275291.28999999998</v>
      </c>
      <c r="BZ47" s="27">
        <v>336343</v>
      </c>
      <c r="CA47" s="24">
        <v>272451.36</v>
      </c>
      <c r="CB47" s="24">
        <v>337533.35</v>
      </c>
      <c r="CC47" s="24">
        <v>283260.63</v>
      </c>
      <c r="CD47" s="24">
        <v>337533.35</v>
      </c>
      <c r="CE47" s="24">
        <v>270539.07</v>
      </c>
      <c r="CF47" s="24">
        <v>336343</v>
      </c>
      <c r="CG47" s="24">
        <v>278287.24</v>
      </c>
      <c r="CH47" s="24">
        <v>336343</v>
      </c>
      <c r="CI47" s="24">
        <v>278022.5</v>
      </c>
      <c r="CJ47" s="24">
        <v>336343</v>
      </c>
      <c r="CK47" s="24">
        <v>221432.04</v>
      </c>
      <c r="CL47" s="24">
        <v>331463</v>
      </c>
      <c r="CM47" s="24">
        <v>7177.99</v>
      </c>
      <c r="CN47" s="24">
        <f t="shared" si="23"/>
        <v>338640.99</v>
      </c>
      <c r="CO47" s="24">
        <v>239788.56</v>
      </c>
      <c r="CP47" s="24">
        <v>331463.13</v>
      </c>
      <c r="CQ47" s="24">
        <v>7177.99</v>
      </c>
      <c r="CR47" s="24">
        <f t="shared" si="24"/>
        <v>338641.12</v>
      </c>
      <c r="CS47" s="24">
        <v>273716.28000000003</v>
      </c>
      <c r="CT47" s="24">
        <v>331463.13</v>
      </c>
      <c r="CU47" s="24">
        <v>7177.99</v>
      </c>
      <c r="CV47" s="24">
        <f t="shared" si="25"/>
        <v>338641.12</v>
      </c>
      <c r="CW47" s="24">
        <v>288002.96000000002</v>
      </c>
      <c r="CX47" s="24">
        <v>331463.13</v>
      </c>
      <c r="CY47" s="24">
        <v>7177.99</v>
      </c>
      <c r="CZ47" s="24">
        <f t="shared" si="26"/>
        <v>338641.12</v>
      </c>
      <c r="DA47" s="27">
        <v>271178.46999999997</v>
      </c>
      <c r="DB47" s="24">
        <v>331463.13</v>
      </c>
      <c r="DC47" s="24">
        <v>7177.99</v>
      </c>
      <c r="DD47" s="24">
        <f t="shared" si="32"/>
        <v>338641.12</v>
      </c>
      <c r="DE47" s="24">
        <v>280578.87</v>
      </c>
      <c r="DJ47" s="19" t="s">
        <v>341</v>
      </c>
      <c r="DK47" s="24">
        <v>416160</v>
      </c>
      <c r="DL47" s="24">
        <v>254479.11</v>
      </c>
      <c r="DM47" s="24">
        <v>416160</v>
      </c>
      <c r="DN47" s="24">
        <v>344757.93</v>
      </c>
      <c r="DO47" s="24">
        <v>416160</v>
      </c>
      <c r="DP47" s="28">
        <v>348570.5</v>
      </c>
      <c r="DQ47" s="24">
        <v>416160</v>
      </c>
      <c r="DR47" s="24"/>
      <c r="DS47" s="25">
        <f t="shared" si="20"/>
        <v>61.149344002306805</v>
      </c>
      <c r="DT47" s="25">
        <f t="shared" si="21"/>
        <v>82.842639850057665</v>
      </c>
      <c r="DU47" s="25">
        <f t="shared" si="22"/>
        <v>83.758770665128807</v>
      </c>
      <c r="DV47" s="24"/>
      <c r="DW47" s="25"/>
    </row>
    <row r="48" spans="1:127" s="13" customFormat="1" ht="15.95" customHeight="1" x14ac:dyDescent="0.2">
      <c r="A48" s="13" t="s">
        <v>143</v>
      </c>
      <c r="B48" s="26" t="s">
        <v>144</v>
      </c>
      <c r="C48" s="13" t="s">
        <v>145</v>
      </c>
      <c r="D48" s="26" t="s">
        <v>146</v>
      </c>
      <c r="E48" s="13" t="s">
        <v>147</v>
      </c>
      <c r="G48" s="13" t="s">
        <v>148</v>
      </c>
      <c r="H48" s="26" t="s">
        <v>149</v>
      </c>
      <c r="I48" s="13" t="s">
        <v>150</v>
      </c>
      <c r="J48" s="19" t="s">
        <v>151</v>
      </c>
      <c r="K48" s="26" t="s">
        <v>152</v>
      </c>
      <c r="L48" s="13" t="s">
        <v>315</v>
      </c>
      <c r="M48" s="19" t="s">
        <v>310</v>
      </c>
      <c r="N48" s="14" t="s">
        <v>309</v>
      </c>
      <c r="O48" s="19">
        <v>1</v>
      </c>
      <c r="Q48" s="14" t="s">
        <v>342</v>
      </c>
      <c r="R48" s="13" t="s">
        <v>343</v>
      </c>
      <c r="S48" s="13" t="s">
        <v>177</v>
      </c>
      <c r="T48" s="19" t="s">
        <v>344</v>
      </c>
      <c r="U48" s="13" t="s">
        <v>345</v>
      </c>
      <c r="V48" s="19"/>
      <c r="W48" s="19"/>
      <c r="X48" s="19"/>
      <c r="Y48" s="19"/>
      <c r="Z48" s="19"/>
      <c r="AA48" s="19"/>
      <c r="AB48" s="19" t="s">
        <v>159</v>
      </c>
      <c r="AC48" s="19"/>
      <c r="AD48" s="13" t="s">
        <v>160</v>
      </c>
      <c r="AE48" s="13" t="s">
        <v>70</v>
      </c>
      <c r="AG48" s="19"/>
      <c r="AI48" s="19"/>
      <c r="AJ48" s="20"/>
      <c r="AL48" s="19" t="s">
        <v>344</v>
      </c>
      <c r="AM48" s="24">
        <v>516677.94</v>
      </c>
      <c r="BU48" s="19" t="s">
        <v>344</v>
      </c>
      <c r="BX48" s="24">
        <v>427976.44</v>
      </c>
      <c r="BY48" s="24">
        <v>353852.48</v>
      </c>
      <c r="BZ48" s="27">
        <v>427976</v>
      </c>
      <c r="CA48" s="24">
        <v>375973.78</v>
      </c>
      <c r="CB48" s="24">
        <v>430009.34</v>
      </c>
      <c r="CC48" s="24">
        <v>352146.65</v>
      </c>
      <c r="CD48" s="24">
        <v>430009.34</v>
      </c>
      <c r="CE48" s="24">
        <v>364570.83</v>
      </c>
      <c r="CF48" s="24">
        <v>427976</v>
      </c>
      <c r="CG48" s="24">
        <v>347311.28</v>
      </c>
      <c r="CH48" s="24">
        <v>427976</v>
      </c>
      <c r="CI48" s="24">
        <v>351921.93</v>
      </c>
      <c r="CJ48" s="24">
        <v>427976</v>
      </c>
      <c r="CK48" s="24">
        <v>344395.33</v>
      </c>
      <c r="CL48" s="24">
        <v>421782</v>
      </c>
      <c r="CM48" s="24">
        <v>9174.76</v>
      </c>
      <c r="CN48" s="24">
        <f t="shared" si="23"/>
        <v>430956.76</v>
      </c>
      <c r="CO48" s="24">
        <v>363756.78</v>
      </c>
      <c r="CP48" s="24">
        <v>421781.64</v>
      </c>
      <c r="CQ48" s="24">
        <v>9174.76</v>
      </c>
      <c r="CR48" s="24">
        <f t="shared" si="24"/>
        <v>430956.4</v>
      </c>
      <c r="CS48" s="24">
        <v>392178.93</v>
      </c>
      <c r="CT48" s="24">
        <v>421781.64</v>
      </c>
      <c r="CU48" s="24">
        <v>9174.76</v>
      </c>
      <c r="CV48" s="24">
        <f t="shared" si="25"/>
        <v>430956.4</v>
      </c>
      <c r="CW48" s="24">
        <v>356271.38</v>
      </c>
      <c r="CX48" s="24">
        <v>421781.64</v>
      </c>
      <c r="CY48" s="24">
        <v>9174.76</v>
      </c>
      <c r="CZ48" s="24">
        <f t="shared" si="26"/>
        <v>430956.4</v>
      </c>
      <c r="DA48" s="27">
        <v>368251.78</v>
      </c>
      <c r="DB48" s="24">
        <v>421781.64</v>
      </c>
      <c r="DC48" s="24">
        <v>9174.76</v>
      </c>
      <c r="DD48" s="24">
        <f t="shared" si="32"/>
        <v>430956.4</v>
      </c>
      <c r="DE48" s="24">
        <v>361403.42</v>
      </c>
      <c r="DJ48" s="19" t="s">
        <v>344</v>
      </c>
      <c r="DK48" s="24">
        <v>516677.94</v>
      </c>
      <c r="DL48" s="24">
        <v>418685.39</v>
      </c>
      <c r="DM48" s="24">
        <v>516677.94</v>
      </c>
      <c r="DN48" s="24">
        <v>424097.17</v>
      </c>
      <c r="DO48" s="24">
        <v>516677.94</v>
      </c>
      <c r="DP48" s="28">
        <v>426691.22</v>
      </c>
      <c r="DQ48" s="24">
        <v>516677.94</v>
      </c>
      <c r="DR48" s="24"/>
      <c r="DS48" s="25">
        <f t="shared" si="20"/>
        <v>81.034113823400318</v>
      </c>
      <c r="DT48" s="25">
        <f t="shared" si="21"/>
        <v>82.081532259728363</v>
      </c>
      <c r="DU48" s="25">
        <f t="shared" si="22"/>
        <v>82.583595498580792</v>
      </c>
      <c r="DV48" s="24"/>
      <c r="DW48" s="25"/>
    </row>
    <row r="49" spans="1:127" s="13" customFormat="1" ht="15.95" customHeight="1" x14ac:dyDescent="0.2">
      <c r="A49" s="13" t="s">
        <v>143</v>
      </c>
      <c r="B49" s="26" t="s">
        <v>144</v>
      </c>
      <c r="C49" s="13" t="s">
        <v>145</v>
      </c>
      <c r="D49" s="26" t="s">
        <v>146</v>
      </c>
      <c r="E49" s="13" t="s">
        <v>147</v>
      </c>
      <c r="G49" s="13" t="s">
        <v>148</v>
      </c>
      <c r="H49" s="26" t="s">
        <v>149</v>
      </c>
      <c r="I49" s="13" t="s">
        <v>150</v>
      </c>
      <c r="J49" s="19" t="s">
        <v>151</v>
      </c>
      <c r="K49" s="26" t="s">
        <v>152</v>
      </c>
      <c r="L49" s="13" t="s">
        <v>315</v>
      </c>
      <c r="M49" s="19" t="s">
        <v>310</v>
      </c>
      <c r="N49" s="14" t="s">
        <v>309</v>
      </c>
      <c r="O49" s="19">
        <v>1</v>
      </c>
      <c r="Q49" s="14" t="s">
        <v>346</v>
      </c>
      <c r="R49" s="13" t="s">
        <v>347</v>
      </c>
      <c r="S49" s="13" t="s">
        <v>163</v>
      </c>
      <c r="T49" s="19" t="s">
        <v>348</v>
      </c>
      <c r="U49" s="13" t="s">
        <v>345</v>
      </c>
      <c r="V49" s="19"/>
      <c r="W49" s="19"/>
      <c r="X49" s="19"/>
      <c r="Y49" s="19"/>
      <c r="Z49" s="19"/>
      <c r="AA49" s="19"/>
      <c r="AB49" s="19" t="s">
        <v>165</v>
      </c>
      <c r="AC49" s="19"/>
      <c r="AD49" s="13" t="s">
        <v>160</v>
      </c>
      <c r="AE49" s="13" t="s">
        <v>70</v>
      </c>
      <c r="AG49" s="19"/>
      <c r="AI49" s="19"/>
      <c r="AJ49" s="20"/>
      <c r="AL49" s="19" t="s">
        <v>348</v>
      </c>
      <c r="AM49" s="24">
        <v>561411.06000000006</v>
      </c>
      <c r="BU49" s="19" t="s">
        <v>348</v>
      </c>
      <c r="BX49" s="24">
        <v>458940.49</v>
      </c>
      <c r="BY49" s="24">
        <v>431900.65</v>
      </c>
      <c r="BZ49" s="27">
        <v>458940</v>
      </c>
      <c r="CA49" s="24">
        <v>401429.37</v>
      </c>
      <c r="CB49" s="24">
        <v>460131.19</v>
      </c>
      <c r="CC49" s="24">
        <v>372595.13</v>
      </c>
      <c r="CD49" s="24">
        <v>460131.19</v>
      </c>
      <c r="CE49" s="24">
        <v>382113.4</v>
      </c>
      <c r="CF49" s="24">
        <v>458940</v>
      </c>
      <c r="CG49" s="24">
        <v>368630.4</v>
      </c>
      <c r="CH49" s="24">
        <v>458940</v>
      </c>
      <c r="CI49" s="24">
        <v>385532.92</v>
      </c>
      <c r="CJ49" s="24">
        <v>458940</v>
      </c>
      <c r="CK49" s="24">
        <v>371048.22</v>
      </c>
      <c r="CL49" s="24">
        <v>447679</v>
      </c>
      <c r="CM49" s="24">
        <v>16785.8</v>
      </c>
      <c r="CN49" s="24">
        <f t="shared" si="23"/>
        <v>464464.8</v>
      </c>
      <c r="CO49" s="24">
        <v>401197.74</v>
      </c>
      <c r="CP49" s="24">
        <v>447678.78</v>
      </c>
      <c r="CQ49" s="24">
        <v>16785.8</v>
      </c>
      <c r="CR49" s="24">
        <f t="shared" si="24"/>
        <v>464464.58</v>
      </c>
      <c r="CS49" s="24">
        <v>418476.66</v>
      </c>
      <c r="CT49" s="24">
        <v>447678.78</v>
      </c>
      <c r="CU49" s="24">
        <v>16785.8</v>
      </c>
      <c r="CV49" s="24">
        <f t="shared" si="25"/>
        <v>464464.58</v>
      </c>
      <c r="CW49" s="24">
        <v>496417.08</v>
      </c>
      <c r="CX49" s="24">
        <v>447678.78</v>
      </c>
      <c r="CY49" s="24">
        <v>16785.8</v>
      </c>
      <c r="CZ49" s="24">
        <f t="shared" si="26"/>
        <v>464464.58</v>
      </c>
      <c r="DA49" s="27">
        <v>471999.76</v>
      </c>
      <c r="DB49" s="24">
        <v>447678.78</v>
      </c>
      <c r="DC49" s="24">
        <v>16785.8</v>
      </c>
      <c r="DD49" s="24">
        <f t="shared" si="32"/>
        <v>464464.58</v>
      </c>
      <c r="DE49" s="24">
        <v>480769.15</v>
      </c>
      <c r="DJ49" s="19" t="s">
        <v>348</v>
      </c>
      <c r="DK49" s="24">
        <v>561411.06000000006</v>
      </c>
      <c r="DL49" s="24">
        <v>451380.31</v>
      </c>
      <c r="DM49" s="24">
        <v>561411.06000000006</v>
      </c>
      <c r="DN49" s="24">
        <v>458854.8</v>
      </c>
      <c r="DO49" s="24">
        <v>561411.06000000006</v>
      </c>
      <c r="DP49" s="28">
        <v>452085.38</v>
      </c>
      <c r="DQ49" s="24">
        <v>561411.06000000006</v>
      </c>
      <c r="DR49" s="24"/>
      <c r="DS49" s="25">
        <f t="shared" si="20"/>
        <v>80.401036274561449</v>
      </c>
      <c r="DT49" s="25">
        <f t="shared" si="21"/>
        <v>81.732411897977215</v>
      </c>
      <c r="DU49" s="25">
        <f t="shared" si="22"/>
        <v>80.526625179062194</v>
      </c>
      <c r="DV49" s="24"/>
      <c r="DW49" s="25"/>
    </row>
    <row r="50" spans="1:127" s="13" customFormat="1" ht="15.95" customHeight="1" x14ac:dyDescent="0.2">
      <c r="A50" s="13" t="s">
        <v>143</v>
      </c>
      <c r="B50" s="26" t="s">
        <v>144</v>
      </c>
      <c r="C50" s="13" t="s">
        <v>145</v>
      </c>
      <c r="D50" s="26" t="s">
        <v>146</v>
      </c>
      <c r="E50" s="13" t="s">
        <v>147</v>
      </c>
      <c r="G50" s="13" t="s">
        <v>148</v>
      </c>
      <c r="H50" s="26" t="s">
        <v>149</v>
      </c>
      <c r="I50" s="13" t="s">
        <v>150</v>
      </c>
      <c r="J50" s="19" t="s">
        <v>151</v>
      </c>
      <c r="K50" s="26" t="s">
        <v>152</v>
      </c>
      <c r="L50" s="13" t="s">
        <v>315</v>
      </c>
      <c r="M50" s="19" t="s">
        <v>310</v>
      </c>
      <c r="N50" s="14" t="s">
        <v>309</v>
      </c>
      <c r="O50" s="19">
        <v>1</v>
      </c>
      <c r="Q50" s="14" t="s">
        <v>349</v>
      </c>
      <c r="R50" s="13" t="s">
        <v>350</v>
      </c>
      <c r="S50" s="13" t="s">
        <v>177</v>
      </c>
      <c r="T50" s="19" t="s">
        <v>351</v>
      </c>
      <c r="U50" s="13" t="s">
        <v>352</v>
      </c>
      <c r="V50" s="19"/>
      <c r="W50" s="19"/>
      <c r="X50" s="19"/>
      <c r="Y50" s="19"/>
      <c r="Z50" s="19"/>
      <c r="AA50" s="19"/>
      <c r="AB50" s="19" t="s">
        <v>195</v>
      </c>
      <c r="AC50" s="19"/>
      <c r="AD50" s="13" t="s">
        <v>160</v>
      </c>
      <c r="AG50" s="19" t="s">
        <v>353</v>
      </c>
      <c r="AI50" s="19" t="s">
        <v>195</v>
      </c>
      <c r="AJ50" s="20"/>
      <c r="AL50" s="19" t="s">
        <v>351</v>
      </c>
      <c r="AM50" s="24">
        <v>379539.96</v>
      </c>
      <c r="BU50" s="19" t="s">
        <v>351</v>
      </c>
      <c r="BX50" s="24">
        <v>299955.88</v>
      </c>
      <c r="BY50" s="24">
        <v>203265.08000000002</v>
      </c>
      <c r="BZ50" s="27">
        <v>299956</v>
      </c>
      <c r="CA50" s="24">
        <v>253838.27</v>
      </c>
      <c r="CB50" s="24">
        <v>299955.88</v>
      </c>
      <c r="CC50" s="24">
        <v>255052.09</v>
      </c>
      <c r="CD50" s="24">
        <v>299955.88</v>
      </c>
      <c r="CE50" s="24">
        <v>262421.17</v>
      </c>
      <c r="CF50" s="24">
        <v>299956</v>
      </c>
      <c r="CG50" s="24">
        <v>255710.7</v>
      </c>
      <c r="CH50" s="24">
        <v>299956</v>
      </c>
      <c r="CI50" s="24">
        <v>180527.88</v>
      </c>
      <c r="CJ50" s="24">
        <v>299956</v>
      </c>
      <c r="CK50" s="24">
        <v>157018.93</v>
      </c>
      <c r="CL50" s="24">
        <v>299956</v>
      </c>
      <c r="CM50" s="24">
        <v>0</v>
      </c>
      <c r="CN50" s="24">
        <f t="shared" si="23"/>
        <v>299956</v>
      </c>
      <c r="CO50" s="24">
        <v>201583.57</v>
      </c>
      <c r="CP50" s="24">
        <v>299956</v>
      </c>
      <c r="CQ50" s="24">
        <v>0</v>
      </c>
      <c r="CR50" s="24">
        <f t="shared" si="24"/>
        <v>299956</v>
      </c>
      <c r="CS50" s="24">
        <v>211226.5</v>
      </c>
      <c r="CT50" s="24">
        <v>299956</v>
      </c>
      <c r="CU50" s="24">
        <v>0</v>
      </c>
      <c r="CV50" s="24">
        <f t="shared" si="25"/>
        <v>299956</v>
      </c>
      <c r="CW50" s="24">
        <v>217680.59</v>
      </c>
      <c r="CX50" s="24">
        <v>299956</v>
      </c>
      <c r="CY50" s="24">
        <v>0</v>
      </c>
      <c r="CZ50" s="24">
        <f t="shared" si="26"/>
        <v>299956</v>
      </c>
      <c r="DA50" s="27">
        <v>217644.66</v>
      </c>
      <c r="DB50" s="24">
        <v>299956</v>
      </c>
      <c r="DC50" s="24">
        <v>0</v>
      </c>
      <c r="DD50" s="24">
        <f t="shared" si="32"/>
        <v>299956</v>
      </c>
      <c r="DE50" s="24">
        <v>250205.16</v>
      </c>
      <c r="DJ50" s="19" t="s">
        <v>351</v>
      </c>
      <c r="DK50" s="24">
        <v>379539.96</v>
      </c>
      <c r="DL50" s="24">
        <v>317286.75</v>
      </c>
      <c r="DM50" s="24">
        <v>379539.96</v>
      </c>
      <c r="DN50" s="24">
        <v>328852.51</v>
      </c>
      <c r="DO50" s="24">
        <v>379539.96</v>
      </c>
      <c r="DP50" s="28">
        <v>342048.84</v>
      </c>
      <c r="DQ50" s="24">
        <v>379539.96</v>
      </c>
      <c r="DR50" s="24"/>
      <c r="DS50" s="25">
        <f t="shared" si="20"/>
        <v>83.597719196682206</v>
      </c>
      <c r="DT50" s="25">
        <f t="shared" si="21"/>
        <v>86.645029419300144</v>
      </c>
      <c r="DU50" s="25">
        <f t="shared" si="22"/>
        <v>90.121957118823531</v>
      </c>
      <c r="DV50" s="24"/>
      <c r="DW50" s="25"/>
    </row>
    <row r="51" spans="1:127" s="13" customFormat="1" ht="15.95" customHeight="1" x14ac:dyDescent="0.2">
      <c r="B51" s="26"/>
      <c r="D51" s="26"/>
      <c r="H51" s="26"/>
      <c r="J51" s="19"/>
      <c r="K51" s="26"/>
      <c r="M51" s="19"/>
      <c r="N51" s="14"/>
      <c r="O51" s="19"/>
      <c r="Q51" s="14"/>
      <c r="T51" s="19"/>
      <c r="V51" s="19"/>
      <c r="W51" s="19"/>
      <c r="X51" s="19"/>
      <c r="Y51" s="19"/>
      <c r="Z51" s="19"/>
      <c r="AA51" s="19"/>
      <c r="AB51" s="19"/>
      <c r="AC51" s="19"/>
      <c r="AG51" s="19"/>
      <c r="AI51" s="19"/>
      <c r="AJ51" s="20"/>
      <c r="AL51" s="19"/>
      <c r="BU51" s="19"/>
      <c r="BX51" s="24"/>
      <c r="BY51" s="24"/>
      <c r="BZ51" s="27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7"/>
      <c r="DB51" s="24"/>
      <c r="DC51" s="24"/>
      <c r="DD51" s="24"/>
      <c r="DE51" s="24"/>
      <c r="DJ51" s="19"/>
      <c r="DK51" s="24"/>
      <c r="DL51" s="24"/>
      <c r="DM51" s="24"/>
      <c r="DN51" s="24"/>
      <c r="DO51" s="24"/>
      <c r="DP51" s="28"/>
      <c r="DR51" s="24"/>
      <c r="DS51" s="25" t="e">
        <f t="shared" si="20"/>
        <v>#DIV/0!</v>
      </c>
      <c r="DT51" s="25" t="e">
        <f t="shared" si="21"/>
        <v>#DIV/0!</v>
      </c>
      <c r="DU51" s="25" t="e">
        <f t="shared" si="22"/>
        <v>#DIV/0!</v>
      </c>
      <c r="DV51" s="24"/>
      <c r="DW51" s="24"/>
    </row>
    <row r="52" spans="1:127" s="13" customFormat="1" ht="15.95" customHeight="1" x14ac:dyDescent="0.2">
      <c r="B52" s="26"/>
      <c r="D52" s="26"/>
      <c r="H52" s="26"/>
      <c r="J52" s="19"/>
      <c r="K52" s="26"/>
      <c r="M52" s="19"/>
      <c r="N52" s="14" t="s">
        <v>354</v>
      </c>
      <c r="O52" s="19"/>
      <c r="Q52" s="16" t="s">
        <v>355</v>
      </c>
      <c r="R52" s="17" t="s">
        <v>279</v>
      </c>
      <c r="S52" s="17" t="s">
        <v>356</v>
      </c>
      <c r="T52" s="18">
        <v>331</v>
      </c>
      <c r="U52" s="17" t="s">
        <v>357</v>
      </c>
      <c r="V52" s="18"/>
      <c r="W52" s="19">
        <v>1</v>
      </c>
      <c r="X52" s="18">
        <f>COUNTIF($AB53:$AB62,"A")</f>
        <v>3</v>
      </c>
      <c r="Y52" s="18">
        <f>COUNTIF($AB53:$AB62,"B")</f>
        <v>3</v>
      </c>
      <c r="Z52" s="18">
        <f>COUNTIF($AB53:$AB62,"G")</f>
        <v>3</v>
      </c>
      <c r="AA52" s="18">
        <f>COUNTIF($AB53:$AB62,"C")</f>
        <v>1</v>
      </c>
      <c r="AB52" s="19">
        <f>COUNTA(AB53:AB61)</f>
        <v>9</v>
      </c>
      <c r="AC52" s="18">
        <f>Y52+Z52</f>
        <v>6</v>
      </c>
      <c r="AG52" s="19">
        <v>1713433855</v>
      </c>
      <c r="AI52" s="19" t="s">
        <v>62</v>
      </c>
      <c r="AJ52" s="20"/>
      <c r="AL52" s="18">
        <v>331</v>
      </c>
      <c r="AM52" s="21">
        <f t="shared" ref="AM52" si="33">SUM(AM53:AM62)</f>
        <v>5262924.5999999996</v>
      </c>
      <c r="BU52" s="18">
        <v>331</v>
      </c>
      <c r="BX52" s="21">
        <f t="shared" ref="BX52:CY52" si="34">SUM(BX53:BX62)</f>
        <v>3878019.9699999997</v>
      </c>
      <c r="BY52" s="21">
        <f t="shared" si="34"/>
        <v>2830422.4599999995</v>
      </c>
      <c r="BZ52" s="21">
        <f t="shared" si="34"/>
        <v>3878416</v>
      </c>
      <c r="CA52" s="21">
        <f t="shared" si="34"/>
        <v>2917927.6099999994</v>
      </c>
      <c r="CB52" s="21">
        <f t="shared" si="34"/>
        <v>3894295.89</v>
      </c>
      <c r="CC52" s="21">
        <f t="shared" si="34"/>
        <v>2948496.7800000003</v>
      </c>
      <c r="CD52" s="21">
        <f t="shared" si="34"/>
        <v>3894295.89</v>
      </c>
      <c r="CE52" s="21">
        <f t="shared" si="34"/>
        <v>3128041.41</v>
      </c>
      <c r="CF52" s="21">
        <f t="shared" si="34"/>
        <v>4330416</v>
      </c>
      <c r="CG52" s="21">
        <f t="shared" si="34"/>
        <v>3433602.4</v>
      </c>
      <c r="CH52" s="21">
        <f t="shared" si="34"/>
        <v>4330416</v>
      </c>
      <c r="CI52" s="21">
        <f t="shared" si="34"/>
        <v>3345310.07</v>
      </c>
      <c r="CJ52" s="21">
        <f t="shared" si="34"/>
        <v>4330416</v>
      </c>
      <c r="CK52" s="21">
        <f t="shared" si="34"/>
        <v>3162674.89</v>
      </c>
      <c r="CL52" s="21">
        <f t="shared" si="34"/>
        <v>4206907</v>
      </c>
      <c r="CM52" s="21">
        <f t="shared" si="34"/>
        <v>182857.11</v>
      </c>
      <c r="CN52" s="21">
        <f t="shared" si="34"/>
        <v>4389764.1100000003</v>
      </c>
      <c r="CO52" s="21">
        <f t="shared" si="34"/>
        <v>3440430.43</v>
      </c>
      <c r="CP52" s="21">
        <f t="shared" si="34"/>
        <v>4206907.01</v>
      </c>
      <c r="CQ52" s="21">
        <f t="shared" si="34"/>
        <v>182857.11</v>
      </c>
      <c r="CR52" s="21">
        <f t="shared" si="34"/>
        <v>4389764.1199999992</v>
      </c>
      <c r="CS52" s="21">
        <f t="shared" si="34"/>
        <v>3516495.73</v>
      </c>
      <c r="CT52" s="21">
        <f t="shared" si="34"/>
        <v>4206907.01</v>
      </c>
      <c r="CU52" s="21">
        <f t="shared" si="34"/>
        <v>182857.11</v>
      </c>
      <c r="CV52" s="21">
        <f t="shared" si="34"/>
        <v>4389764.1199999992</v>
      </c>
      <c r="CW52" s="21">
        <f t="shared" si="34"/>
        <v>3740904.5699999994</v>
      </c>
      <c r="CX52" s="21">
        <f t="shared" si="34"/>
        <v>4206907.01</v>
      </c>
      <c r="CY52" s="21">
        <f t="shared" si="34"/>
        <v>182857.11</v>
      </c>
      <c r="CZ52" s="21">
        <f>SUM(CZ53:CZ62)</f>
        <v>4389764.1199999992</v>
      </c>
      <c r="DA52" s="22">
        <f>SUM(DA53:DA62)</f>
        <v>3647290.88</v>
      </c>
      <c r="DB52" s="21">
        <f t="shared" ref="DB52:DC52" si="35">SUM(DB53:DB62)</f>
        <v>4206907.01</v>
      </c>
      <c r="DC52" s="21">
        <f t="shared" si="35"/>
        <v>182857.11</v>
      </c>
      <c r="DD52" s="21">
        <f>SUM(DD53:DD62)</f>
        <v>4389764.1199999992</v>
      </c>
      <c r="DE52" s="21">
        <f>SUM(DE53:DE62)</f>
        <v>3537540.5500000003</v>
      </c>
      <c r="DJ52" s="18">
        <v>331</v>
      </c>
      <c r="DK52" s="23">
        <f t="shared" ref="DK52:DQ52" si="36">SUM(DK53:DK62)</f>
        <v>5262924.5999999996</v>
      </c>
      <c r="DL52" s="23">
        <f t="shared" si="36"/>
        <v>3691416.7</v>
      </c>
      <c r="DM52" s="23">
        <f t="shared" si="36"/>
        <v>5262924.5999999996</v>
      </c>
      <c r="DN52" s="23">
        <f t="shared" si="36"/>
        <v>4210301.91</v>
      </c>
      <c r="DO52" s="23">
        <f t="shared" si="36"/>
        <v>5262924.5999999996</v>
      </c>
      <c r="DP52" s="23">
        <f t="shared" si="36"/>
        <v>4250264.38</v>
      </c>
      <c r="DQ52" s="21">
        <f t="shared" si="36"/>
        <v>5262924.5999999996</v>
      </c>
      <c r="DR52" s="24"/>
      <c r="DS52" s="25">
        <f t="shared" si="20"/>
        <v>70.140026326806975</v>
      </c>
      <c r="DT52" s="25">
        <f t="shared" si="21"/>
        <v>79.99928233818892</v>
      </c>
      <c r="DU52" s="25">
        <f t="shared" si="22"/>
        <v>80.758602925833287</v>
      </c>
      <c r="DV52" s="24"/>
      <c r="DW52" s="25"/>
    </row>
    <row r="53" spans="1:127" s="13" customFormat="1" ht="15.95" customHeight="1" x14ac:dyDescent="0.2">
      <c r="A53" s="13" t="s">
        <v>143</v>
      </c>
      <c r="B53" s="26" t="s">
        <v>144</v>
      </c>
      <c r="C53" s="13" t="s">
        <v>145</v>
      </c>
      <c r="D53" s="26" t="s">
        <v>146</v>
      </c>
      <c r="E53" s="13" t="s">
        <v>147</v>
      </c>
      <c r="G53" s="13" t="s">
        <v>148</v>
      </c>
      <c r="H53" s="26" t="s">
        <v>149</v>
      </c>
      <c r="I53" s="13" t="s">
        <v>150</v>
      </c>
      <c r="J53" s="19" t="s">
        <v>151</v>
      </c>
      <c r="K53" s="26" t="s">
        <v>152</v>
      </c>
      <c r="L53" s="13" t="s">
        <v>358</v>
      </c>
      <c r="M53" s="19" t="s">
        <v>355</v>
      </c>
      <c r="N53" s="14" t="s">
        <v>354</v>
      </c>
      <c r="O53" s="19">
        <v>1</v>
      </c>
      <c r="Q53" s="14" t="s">
        <v>359</v>
      </c>
      <c r="R53" s="13" t="s">
        <v>360</v>
      </c>
      <c r="S53" s="13" t="s">
        <v>163</v>
      </c>
      <c r="T53" s="19" t="s">
        <v>361</v>
      </c>
      <c r="U53" s="13" t="s">
        <v>362</v>
      </c>
      <c r="V53" s="19"/>
      <c r="W53" s="19"/>
      <c r="X53" s="19"/>
      <c r="Y53" s="19"/>
      <c r="Z53" s="19"/>
      <c r="AA53" s="19"/>
      <c r="AB53" s="19" t="s">
        <v>159</v>
      </c>
      <c r="AC53" s="19"/>
      <c r="AD53" s="13" t="s">
        <v>160</v>
      </c>
      <c r="AG53" s="19"/>
      <c r="AI53" s="19"/>
      <c r="AJ53" s="20"/>
      <c r="AL53" s="19" t="s">
        <v>361</v>
      </c>
      <c r="AM53" s="24">
        <v>545700</v>
      </c>
      <c r="BU53" s="19" t="s">
        <v>361</v>
      </c>
      <c r="BX53" s="24">
        <v>444612.95</v>
      </c>
      <c r="BY53" s="24">
        <v>404861.02999999997</v>
      </c>
      <c r="BZ53" s="27">
        <v>444613</v>
      </c>
      <c r="CA53" s="24">
        <v>407901.23</v>
      </c>
      <c r="CB53" s="24">
        <v>446645.85</v>
      </c>
      <c r="CC53" s="24">
        <v>410018.52</v>
      </c>
      <c r="CD53" s="24">
        <v>446645.85</v>
      </c>
      <c r="CE53" s="24">
        <v>381305.13</v>
      </c>
      <c r="CF53" s="24">
        <v>444613</v>
      </c>
      <c r="CG53" s="24">
        <v>394184.2</v>
      </c>
      <c r="CH53" s="24">
        <v>444613</v>
      </c>
      <c r="CI53" s="24">
        <v>445651.78</v>
      </c>
      <c r="CJ53" s="24">
        <v>444613</v>
      </c>
      <c r="CK53" s="24">
        <v>379050.84</v>
      </c>
      <c r="CL53" s="24">
        <v>439773</v>
      </c>
      <c r="CM53" s="24">
        <v>6951.16</v>
      </c>
      <c r="CN53" s="24">
        <f t="shared" ref="CN53:CN62" si="37">SUM(CL53:CM53)</f>
        <v>446724.16</v>
      </c>
      <c r="CO53" s="24">
        <v>472396.92</v>
      </c>
      <c r="CP53" s="24">
        <v>439772.94</v>
      </c>
      <c r="CQ53" s="24">
        <v>6951.16</v>
      </c>
      <c r="CR53" s="24">
        <f t="shared" ref="CR53:CR62" si="38">SUM(CP53:CQ53)</f>
        <v>446724.1</v>
      </c>
      <c r="CS53" s="24">
        <v>416071.67999999999</v>
      </c>
      <c r="CT53" s="24">
        <v>439772.94</v>
      </c>
      <c r="CU53" s="24">
        <v>6951.16</v>
      </c>
      <c r="CV53" s="24">
        <f t="shared" ref="CV53:CV62" si="39">SUM(CT53:CU53)</f>
        <v>446724.1</v>
      </c>
      <c r="CW53" s="24">
        <v>498666.78</v>
      </c>
      <c r="CX53" s="24">
        <v>439772.94</v>
      </c>
      <c r="CY53" s="24">
        <v>6951.16</v>
      </c>
      <c r="CZ53" s="24">
        <f t="shared" ref="CZ53:CZ62" si="40">SUM(CX53:CY53)</f>
        <v>446724.1</v>
      </c>
      <c r="DA53" s="27">
        <v>487355.99</v>
      </c>
      <c r="DB53" s="24">
        <v>439772.94</v>
      </c>
      <c r="DC53" s="24">
        <v>6951.16</v>
      </c>
      <c r="DD53" s="24">
        <f t="shared" ref="DD53:DD62" si="41">SUM(DB53:DC53)</f>
        <v>446724.1</v>
      </c>
      <c r="DE53" s="24">
        <v>388501.81</v>
      </c>
      <c r="DJ53" s="19" t="s">
        <v>361</v>
      </c>
      <c r="DK53" s="24">
        <v>545700</v>
      </c>
      <c r="DL53" s="24">
        <v>401544.29</v>
      </c>
      <c r="DM53" s="24">
        <v>545700</v>
      </c>
      <c r="DN53" s="24">
        <v>494049.24</v>
      </c>
      <c r="DO53" s="24">
        <v>545700</v>
      </c>
      <c r="DP53" s="28">
        <v>456340.16</v>
      </c>
      <c r="DQ53" s="24">
        <v>545700</v>
      </c>
      <c r="DR53" s="24"/>
      <c r="DS53" s="25">
        <f t="shared" si="20"/>
        <v>73.583340663368148</v>
      </c>
      <c r="DT53" s="25">
        <f t="shared" si="21"/>
        <v>90.534953271028044</v>
      </c>
      <c r="DU53" s="25">
        <f t="shared" si="22"/>
        <v>83.624731537474801</v>
      </c>
      <c r="DV53" s="24"/>
      <c r="DW53" s="25"/>
    </row>
    <row r="54" spans="1:127" s="13" customFormat="1" ht="15.95" customHeight="1" x14ac:dyDescent="0.2">
      <c r="A54" s="13" t="s">
        <v>143</v>
      </c>
      <c r="B54" s="26" t="s">
        <v>144</v>
      </c>
      <c r="C54" s="13" t="s">
        <v>145</v>
      </c>
      <c r="D54" s="26" t="s">
        <v>146</v>
      </c>
      <c r="E54" s="13" t="s">
        <v>147</v>
      </c>
      <c r="G54" s="13" t="s">
        <v>148</v>
      </c>
      <c r="H54" s="26" t="s">
        <v>149</v>
      </c>
      <c r="I54" s="13" t="s">
        <v>150</v>
      </c>
      <c r="J54" s="19" t="s">
        <v>151</v>
      </c>
      <c r="K54" s="26" t="s">
        <v>152</v>
      </c>
      <c r="L54" s="13" t="s">
        <v>358</v>
      </c>
      <c r="M54" s="19" t="s">
        <v>355</v>
      </c>
      <c r="N54" s="14" t="s">
        <v>354</v>
      </c>
      <c r="O54" s="19">
        <v>1</v>
      </c>
      <c r="Q54" s="14" t="s">
        <v>363</v>
      </c>
      <c r="R54" s="13" t="s">
        <v>364</v>
      </c>
      <c r="S54" s="13" t="s">
        <v>156</v>
      </c>
      <c r="T54" s="19" t="s">
        <v>365</v>
      </c>
      <c r="U54" s="13" t="s">
        <v>362</v>
      </c>
      <c r="V54" s="19"/>
      <c r="W54" s="19"/>
      <c r="X54" s="19"/>
      <c r="Y54" s="19"/>
      <c r="Z54" s="19"/>
      <c r="AA54" s="19"/>
      <c r="AB54" s="19" t="s">
        <v>165</v>
      </c>
      <c r="AC54" s="19"/>
      <c r="AD54" s="13" t="s">
        <v>160</v>
      </c>
      <c r="AG54" s="19"/>
      <c r="AI54" s="19"/>
      <c r="AJ54" s="20"/>
      <c r="AL54" s="19" t="s">
        <v>365</v>
      </c>
      <c r="AM54" s="24">
        <v>566100</v>
      </c>
      <c r="BU54" s="19" t="s">
        <v>365</v>
      </c>
      <c r="BX54" s="24">
        <v>460890.07</v>
      </c>
      <c r="BY54" s="24">
        <v>406386.07999999996</v>
      </c>
      <c r="BZ54" s="27">
        <v>460890</v>
      </c>
      <c r="CA54" s="24">
        <v>445296.92</v>
      </c>
      <c r="CB54" s="24">
        <v>462080.77</v>
      </c>
      <c r="CC54" s="24">
        <v>403013.02</v>
      </c>
      <c r="CD54" s="24">
        <v>462080.77</v>
      </c>
      <c r="CE54" s="24">
        <v>436374.56</v>
      </c>
      <c r="CF54" s="24">
        <v>460890</v>
      </c>
      <c r="CG54" s="24">
        <v>447787.76</v>
      </c>
      <c r="CH54" s="24">
        <v>460890</v>
      </c>
      <c r="CI54" s="24">
        <v>460671.8</v>
      </c>
      <c r="CJ54" s="24">
        <v>460890</v>
      </c>
      <c r="CK54" s="24">
        <v>426262.26</v>
      </c>
      <c r="CL54" s="24">
        <v>453247</v>
      </c>
      <c r="CM54" s="24">
        <v>11306.91</v>
      </c>
      <c r="CN54" s="24">
        <f t="shared" si="37"/>
        <v>464553.91</v>
      </c>
      <c r="CO54" s="24">
        <v>490498.16</v>
      </c>
      <c r="CP54" s="24">
        <v>453247.46</v>
      </c>
      <c r="CQ54" s="24">
        <v>11306.91</v>
      </c>
      <c r="CR54" s="24">
        <f t="shared" si="38"/>
        <v>464554.37</v>
      </c>
      <c r="CS54" s="24">
        <v>468720.85</v>
      </c>
      <c r="CT54" s="24">
        <v>453247.46</v>
      </c>
      <c r="CU54" s="24">
        <v>11306.91</v>
      </c>
      <c r="CV54" s="24">
        <f t="shared" si="39"/>
        <v>464554.37</v>
      </c>
      <c r="CW54" s="24">
        <v>515920.42</v>
      </c>
      <c r="CX54" s="24">
        <v>453247.46</v>
      </c>
      <c r="CY54" s="24">
        <v>11306.91</v>
      </c>
      <c r="CZ54" s="24">
        <f t="shared" si="40"/>
        <v>464554.37</v>
      </c>
      <c r="DA54" s="27">
        <v>537037.22</v>
      </c>
      <c r="DB54" s="24">
        <v>453247.46</v>
      </c>
      <c r="DC54" s="24">
        <v>11306.91</v>
      </c>
      <c r="DD54" s="24">
        <f t="shared" si="41"/>
        <v>464554.37</v>
      </c>
      <c r="DE54" s="24">
        <v>495207.3</v>
      </c>
      <c r="DJ54" s="19" t="s">
        <v>365</v>
      </c>
      <c r="DK54" s="24">
        <v>566100</v>
      </c>
      <c r="DL54" s="24">
        <v>512486.47</v>
      </c>
      <c r="DM54" s="24">
        <v>566100</v>
      </c>
      <c r="DN54" s="24">
        <v>537263.66</v>
      </c>
      <c r="DO54" s="24">
        <v>566100</v>
      </c>
      <c r="DP54" s="28">
        <v>515878.95</v>
      </c>
      <c r="DQ54" s="24">
        <v>566100</v>
      </c>
      <c r="DR54" s="24"/>
      <c r="DS54" s="25">
        <f t="shared" si="20"/>
        <v>90.529318141671084</v>
      </c>
      <c r="DT54" s="25">
        <f t="shared" si="21"/>
        <v>94.906140257904966</v>
      </c>
      <c r="DU54" s="25">
        <f t="shared" si="22"/>
        <v>91.12859035506095</v>
      </c>
      <c r="DV54" s="24"/>
      <c r="DW54" s="25"/>
    </row>
    <row r="55" spans="1:127" s="13" customFormat="1" ht="15.95" customHeight="1" x14ac:dyDescent="0.2">
      <c r="A55" s="13" t="s">
        <v>143</v>
      </c>
      <c r="B55" s="26" t="s">
        <v>144</v>
      </c>
      <c r="C55" s="13" t="s">
        <v>145</v>
      </c>
      <c r="D55" s="26" t="s">
        <v>146</v>
      </c>
      <c r="E55" s="13" t="s">
        <v>147</v>
      </c>
      <c r="G55" s="13" t="s">
        <v>148</v>
      </c>
      <c r="H55" s="26" t="s">
        <v>149</v>
      </c>
      <c r="I55" s="13" t="s">
        <v>150</v>
      </c>
      <c r="J55" s="19" t="s">
        <v>151</v>
      </c>
      <c r="K55" s="26" t="s">
        <v>152</v>
      </c>
      <c r="L55" s="13" t="s">
        <v>358</v>
      </c>
      <c r="M55" s="19" t="s">
        <v>355</v>
      </c>
      <c r="N55" s="14" t="s">
        <v>354</v>
      </c>
      <c r="O55" s="19">
        <v>1</v>
      </c>
      <c r="Q55" s="14" t="s">
        <v>366</v>
      </c>
      <c r="R55" s="13" t="s">
        <v>367</v>
      </c>
      <c r="S55" s="13" t="s">
        <v>163</v>
      </c>
      <c r="T55" s="19" t="s">
        <v>368</v>
      </c>
      <c r="U55" s="13" t="s">
        <v>369</v>
      </c>
      <c r="V55" s="19"/>
      <c r="W55" s="19"/>
      <c r="X55" s="19"/>
      <c r="Y55" s="19"/>
      <c r="Z55" s="19"/>
      <c r="AA55" s="19"/>
      <c r="AB55" s="19" t="s">
        <v>159</v>
      </c>
      <c r="AC55" s="19"/>
      <c r="AD55" s="13" t="s">
        <v>160</v>
      </c>
      <c r="AG55" s="19"/>
      <c r="AI55" s="19"/>
      <c r="AJ55" s="20"/>
      <c r="AL55" s="19" t="s">
        <v>368</v>
      </c>
      <c r="AM55" s="24">
        <v>464100</v>
      </c>
      <c r="BU55" s="19" t="s">
        <v>368</v>
      </c>
      <c r="BX55" s="24">
        <v>379538.16</v>
      </c>
      <c r="BY55" s="24">
        <v>229758.48</v>
      </c>
      <c r="BZ55" s="27">
        <v>379538</v>
      </c>
      <c r="CA55" s="24">
        <v>244084.9</v>
      </c>
      <c r="CB55" s="24">
        <v>381571.06</v>
      </c>
      <c r="CC55" s="24">
        <v>247363.57</v>
      </c>
      <c r="CD55" s="24">
        <v>381571.06</v>
      </c>
      <c r="CE55" s="24">
        <v>304666.46999999997</v>
      </c>
      <c r="CF55" s="24">
        <v>379538</v>
      </c>
      <c r="CG55" s="24">
        <v>269531.88</v>
      </c>
      <c r="CH55" s="24">
        <v>379538</v>
      </c>
      <c r="CI55" s="24">
        <v>265028.18</v>
      </c>
      <c r="CJ55" s="24">
        <v>379538</v>
      </c>
      <c r="CK55" s="24">
        <v>227441.28</v>
      </c>
      <c r="CL55" s="24">
        <v>374420</v>
      </c>
      <c r="CM55" s="24">
        <v>7418.52</v>
      </c>
      <c r="CN55" s="24">
        <f t="shared" si="37"/>
        <v>381838.52</v>
      </c>
      <c r="CO55" s="24">
        <v>269488.25</v>
      </c>
      <c r="CP55" s="24">
        <v>374419.97</v>
      </c>
      <c r="CQ55" s="24">
        <v>7418.52</v>
      </c>
      <c r="CR55" s="24">
        <f t="shared" si="38"/>
        <v>381838.49</v>
      </c>
      <c r="CS55" s="24">
        <v>284112.45</v>
      </c>
      <c r="CT55" s="24">
        <v>374419.97</v>
      </c>
      <c r="CU55" s="24">
        <v>7418.52</v>
      </c>
      <c r="CV55" s="24">
        <f t="shared" si="39"/>
        <v>381838.49</v>
      </c>
      <c r="CW55" s="24">
        <v>289531.69</v>
      </c>
      <c r="CX55" s="24">
        <v>374419.97</v>
      </c>
      <c r="CY55" s="24">
        <v>7418.52</v>
      </c>
      <c r="CZ55" s="24">
        <f t="shared" si="40"/>
        <v>381838.49</v>
      </c>
      <c r="DA55" s="27">
        <v>269371.59999999998</v>
      </c>
      <c r="DB55" s="24">
        <v>374419.97</v>
      </c>
      <c r="DC55" s="24">
        <v>7418.52</v>
      </c>
      <c r="DD55" s="24">
        <f t="shared" si="41"/>
        <v>381838.49</v>
      </c>
      <c r="DE55" s="24">
        <v>272379.83</v>
      </c>
      <c r="DJ55" s="19" t="s">
        <v>368</v>
      </c>
      <c r="DK55" s="24">
        <v>464100</v>
      </c>
      <c r="DL55" s="24">
        <v>269699.02</v>
      </c>
      <c r="DM55" s="24">
        <v>464100</v>
      </c>
      <c r="DN55" s="24">
        <v>313687.59000000003</v>
      </c>
      <c r="DO55" s="24">
        <v>464100</v>
      </c>
      <c r="DP55" s="28">
        <v>330873.28000000003</v>
      </c>
      <c r="DQ55" s="24">
        <v>464100</v>
      </c>
      <c r="DR55" s="24"/>
      <c r="DS55" s="25">
        <f t="shared" si="20"/>
        <v>58.112264598146957</v>
      </c>
      <c r="DT55" s="25">
        <f t="shared" si="21"/>
        <v>67.590517129928898</v>
      </c>
      <c r="DU55" s="25">
        <f t="shared" si="22"/>
        <v>71.293531566472751</v>
      </c>
      <c r="DV55" s="24"/>
      <c r="DW55" s="25"/>
    </row>
    <row r="56" spans="1:127" s="13" customFormat="1" ht="15.95" customHeight="1" x14ac:dyDescent="0.2">
      <c r="A56" s="13" t="s">
        <v>143</v>
      </c>
      <c r="B56" s="26" t="s">
        <v>144</v>
      </c>
      <c r="C56" s="13" t="s">
        <v>145</v>
      </c>
      <c r="D56" s="26" t="s">
        <v>146</v>
      </c>
      <c r="E56" s="13" t="s">
        <v>147</v>
      </c>
      <c r="G56" s="13" t="s">
        <v>148</v>
      </c>
      <c r="H56" s="26" t="s">
        <v>149</v>
      </c>
      <c r="I56" s="13" t="s">
        <v>150</v>
      </c>
      <c r="J56" s="19" t="s">
        <v>151</v>
      </c>
      <c r="K56" s="26" t="s">
        <v>152</v>
      </c>
      <c r="L56" s="13" t="s">
        <v>358</v>
      </c>
      <c r="M56" s="19" t="s">
        <v>355</v>
      </c>
      <c r="N56" s="14" t="s">
        <v>354</v>
      </c>
      <c r="O56" s="19">
        <v>1</v>
      </c>
      <c r="Q56" s="14" t="s">
        <v>370</v>
      </c>
      <c r="R56" s="13" t="s">
        <v>371</v>
      </c>
      <c r="S56" s="13" t="s">
        <v>177</v>
      </c>
      <c r="T56" s="19" t="s">
        <v>372</v>
      </c>
      <c r="U56" s="13" t="s">
        <v>369</v>
      </c>
      <c r="V56" s="19"/>
      <c r="W56" s="19"/>
      <c r="X56" s="19"/>
      <c r="Y56" s="19"/>
      <c r="Z56" s="19"/>
      <c r="AA56" s="19"/>
      <c r="AB56" s="19" t="s">
        <v>165</v>
      </c>
      <c r="AC56" s="19"/>
      <c r="AD56" s="13" t="s">
        <v>160</v>
      </c>
      <c r="AG56" s="19"/>
      <c r="AI56" s="19"/>
      <c r="AJ56" s="20"/>
      <c r="AL56" s="19" t="s">
        <v>372</v>
      </c>
      <c r="AM56" s="24">
        <v>474300</v>
      </c>
      <c r="BA56" s="14">
        <v>26177</v>
      </c>
      <c r="BB56" s="13" t="s">
        <v>373</v>
      </c>
      <c r="BS56" s="19" t="s">
        <v>374</v>
      </c>
      <c r="BT56" s="13" t="s">
        <v>375</v>
      </c>
      <c r="BU56" s="19" t="s">
        <v>372</v>
      </c>
      <c r="BX56" s="24">
        <v>380000</v>
      </c>
      <c r="BY56" s="24">
        <v>224313.26</v>
      </c>
      <c r="BZ56" s="27">
        <v>380396</v>
      </c>
      <c r="CA56" s="27">
        <v>200986.75</v>
      </c>
      <c r="CB56" s="24">
        <v>381586.22</v>
      </c>
      <c r="CC56" s="24">
        <v>190275.32</v>
      </c>
      <c r="CD56" s="24">
        <v>381586.22</v>
      </c>
      <c r="CE56" s="24">
        <v>219407.55</v>
      </c>
      <c r="CF56" s="24">
        <v>380396</v>
      </c>
      <c r="CG56" s="24">
        <v>234057.04</v>
      </c>
      <c r="CH56" s="24">
        <v>380396</v>
      </c>
      <c r="CI56" s="24">
        <v>205912.89</v>
      </c>
      <c r="CJ56" s="24">
        <v>380396</v>
      </c>
      <c r="CK56" s="24">
        <v>201149.71</v>
      </c>
      <c r="CL56" s="24">
        <v>364495</v>
      </c>
      <c r="CM56" s="24">
        <v>23695.71</v>
      </c>
      <c r="CN56" s="24">
        <f t="shared" si="37"/>
        <v>388190.71</v>
      </c>
      <c r="CO56" s="24">
        <v>261058.84</v>
      </c>
      <c r="CP56" s="24">
        <v>364494.55</v>
      </c>
      <c r="CQ56" s="24">
        <v>23695.71</v>
      </c>
      <c r="CR56" s="24">
        <f t="shared" si="38"/>
        <v>388190.26</v>
      </c>
      <c r="CS56" s="24">
        <v>249111.47</v>
      </c>
      <c r="CT56" s="24">
        <v>364494.55</v>
      </c>
      <c r="CU56" s="24">
        <v>23695.71</v>
      </c>
      <c r="CV56" s="24">
        <f t="shared" si="39"/>
        <v>388190.26</v>
      </c>
      <c r="CW56" s="24">
        <v>271151.12</v>
      </c>
      <c r="CX56" s="24">
        <v>364494.55</v>
      </c>
      <c r="CY56" s="24">
        <v>23695.71</v>
      </c>
      <c r="CZ56" s="24">
        <f t="shared" si="40"/>
        <v>388190.26</v>
      </c>
      <c r="DA56" s="27">
        <v>202226.78</v>
      </c>
      <c r="DB56" s="24">
        <v>364494.55</v>
      </c>
      <c r="DC56" s="24">
        <v>23695.71</v>
      </c>
      <c r="DD56" s="24">
        <f t="shared" si="41"/>
        <v>388190.26</v>
      </c>
      <c r="DE56" s="24">
        <v>202628.18</v>
      </c>
      <c r="DJ56" s="19" t="s">
        <v>372</v>
      </c>
      <c r="DK56" s="24">
        <v>474300</v>
      </c>
      <c r="DL56" s="24">
        <v>264095.65000000002</v>
      </c>
      <c r="DM56" s="24">
        <v>474300</v>
      </c>
      <c r="DN56" s="24">
        <v>307312.02</v>
      </c>
      <c r="DO56" s="24">
        <v>474300</v>
      </c>
      <c r="DP56" s="28">
        <v>306577.32</v>
      </c>
      <c r="DQ56" s="24">
        <v>474300</v>
      </c>
      <c r="DR56" s="24"/>
      <c r="DS56" s="25">
        <f t="shared" si="20"/>
        <v>55.681140628294337</v>
      </c>
      <c r="DT56" s="25">
        <f t="shared" si="21"/>
        <v>64.792751423149909</v>
      </c>
      <c r="DU56" s="25">
        <f t="shared" si="22"/>
        <v>64.637849462365594</v>
      </c>
      <c r="DV56" s="24"/>
      <c r="DW56" s="25"/>
    </row>
    <row r="57" spans="1:127" s="13" customFormat="1" ht="15.95" customHeight="1" x14ac:dyDescent="0.2">
      <c r="A57" s="13" t="s">
        <v>143</v>
      </c>
      <c r="B57" s="26" t="s">
        <v>144</v>
      </c>
      <c r="C57" s="13" t="s">
        <v>145</v>
      </c>
      <c r="D57" s="26" t="s">
        <v>146</v>
      </c>
      <c r="E57" s="13" t="s">
        <v>147</v>
      </c>
      <c r="G57" s="13" t="s">
        <v>148</v>
      </c>
      <c r="H57" s="26" t="s">
        <v>149</v>
      </c>
      <c r="I57" s="13" t="s">
        <v>150</v>
      </c>
      <c r="J57" s="19" t="s">
        <v>151</v>
      </c>
      <c r="K57" s="26" t="s">
        <v>152</v>
      </c>
      <c r="L57" s="13" t="s">
        <v>358</v>
      </c>
      <c r="M57" s="19" t="s">
        <v>355</v>
      </c>
      <c r="N57" s="14" t="s">
        <v>354</v>
      </c>
      <c r="O57" s="19">
        <v>1</v>
      </c>
      <c r="Q57" s="14" t="s">
        <v>376</v>
      </c>
      <c r="R57" s="13" t="s">
        <v>377</v>
      </c>
      <c r="S57" s="13" t="s">
        <v>177</v>
      </c>
      <c r="T57" s="19" t="s">
        <v>378</v>
      </c>
      <c r="U57" s="13" t="s">
        <v>379</v>
      </c>
      <c r="V57" s="19"/>
      <c r="W57" s="19"/>
      <c r="X57" s="19"/>
      <c r="Y57" s="19"/>
      <c r="Z57" s="19"/>
      <c r="AA57" s="19"/>
      <c r="AB57" s="19" t="s">
        <v>159</v>
      </c>
      <c r="AC57" s="19"/>
      <c r="AD57" s="13" t="s">
        <v>160</v>
      </c>
      <c r="AG57" s="19"/>
      <c r="AI57" s="19"/>
      <c r="AJ57" s="20"/>
      <c r="AL57" s="19" t="s">
        <v>378</v>
      </c>
      <c r="AM57" s="24">
        <v>448800</v>
      </c>
      <c r="BU57" s="19" t="s">
        <v>378</v>
      </c>
      <c r="BX57" s="24">
        <v>360404.17</v>
      </c>
      <c r="BY57" s="24">
        <v>247086.47</v>
      </c>
      <c r="BZ57" s="27">
        <v>360404</v>
      </c>
      <c r="CA57" s="24">
        <v>257877.72</v>
      </c>
      <c r="CB57" s="24">
        <v>362437.07</v>
      </c>
      <c r="CC57" s="24">
        <v>304445.8</v>
      </c>
      <c r="CD57" s="24">
        <v>362437.07</v>
      </c>
      <c r="CE57" s="24">
        <v>292191.43</v>
      </c>
      <c r="CF57" s="24">
        <v>360404</v>
      </c>
      <c r="CG57" s="24">
        <v>252394.14</v>
      </c>
      <c r="CH57" s="24">
        <v>360404</v>
      </c>
      <c r="CI57" s="24">
        <v>258349.69</v>
      </c>
      <c r="CJ57" s="24">
        <v>360404</v>
      </c>
      <c r="CK57" s="24">
        <v>251439.96</v>
      </c>
      <c r="CL57" s="24">
        <v>356486</v>
      </c>
      <c r="CM57" s="24">
        <v>5665.59</v>
      </c>
      <c r="CN57" s="24">
        <f t="shared" si="37"/>
        <v>362151.59</v>
      </c>
      <c r="CO57" s="24">
        <v>259658.61</v>
      </c>
      <c r="CP57" s="24">
        <v>356485.87</v>
      </c>
      <c r="CQ57" s="24">
        <v>5665.59</v>
      </c>
      <c r="CR57" s="24">
        <f t="shared" si="38"/>
        <v>362151.46</v>
      </c>
      <c r="CS57" s="24">
        <v>290235.83</v>
      </c>
      <c r="CT57" s="24">
        <v>356485.87</v>
      </c>
      <c r="CU57" s="24">
        <v>5665.59</v>
      </c>
      <c r="CV57" s="24">
        <f t="shared" si="39"/>
        <v>362151.46</v>
      </c>
      <c r="CW57" s="24">
        <v>297138.5</v>
      </c>
      <c r="CX57" s="24">
        <v>356485.87</v>
      </c>
      <c r="CY57" s="24">
        <v>5665.59</v>
      </c>
      <c r="CZ57" s="24">
        <f t="shared" si="40"/>
        <v>362151.46</v>
      </c>
      <c r="DA57" s="27">
        <v>300126.68</v>
      </c>
      <c r="DB57" s="24">
        <v>356485.87</v>
      </c>
      <c r="DC57" s="24">
        <v>5665.59</v>
      </c>
      <c r="DD57" s="24">
        <f t="shared" si="41"/>
        <v>362151.46</v>
      </c>
      <c r="DE57" s="24">
        <v>298633.15999999997</v>
      </c>
      <c r="DJ57" s="19" t="s">
        <v>378</v>
      </c>
      <c r="DK57" s="24">
        <v>448800</v>
      </c>
      <c r="DL57" s="24">
        <v>315833.49</v>
      </c>
      <c r="DM57" s="24">
        <v>448800</v>
      </c>
      <c r="DN57" s="24">
        <v>361569.41</v>
      </c>
      <c r="DO57" s="24">
        <v>448800</v>
      </c>
      <c r="DP57" s="28">
        <v>367324.42</v>
      </c>
      <c r="DQ57" s="24">
        <v>448800</v>
      </c>
      <c r="DR57" s="24"/>
      <c r="DS57" s="25">
        <f t="shared" si="20"/>
        <v>70.372881016042783</v>
      </c>
      <c r="DT57" s="25">
        <f t="shared" si="21"/>
        <v>80.563594028520498</v>
      </c>
      <c r="DU57" s="25">
        <f t="shared" si="22"/>
        <v>81.845904634581103</v>
      </c>
      <c r="DV57" s="24"/>
      <c r="DW57" s="25"/>
    </row>
    <row r="58" spans="1:127" s="13" customFormat="1" ht="15.95" customHeight="1" x14ac:dyDescent="0.2">
      <c r="A58" s="13" t="s">
        <v>143</v>
      </c>
      <c r="B58" s="26" t="s">
        <v>144</v>
      </c>
      <c r="C58" s="13" t="s">
        <v>145</v>
      </c>
      <c r="D58" s="26" t="s">
        <v>146</v>
      </c>
      <c r="E58" s="13" t="s">
        <v>147</v>
      </c>
      <c r="G58" s="13" t="s">
        <v>148</v>
      </c>
      <c r="H58" s="26" t="s">
        <v>149</v>
      </c>
      <c r="I58" s="13" t="s">
        <v>150</v>
      </c>
      <c r="J58" s="19" t="s">
        <v>151</v>
      </c>
      <c r="K58" s="26" t="s">
        <v>152</v>
      </c>
      <c r="L58" s="13" t="s">
        <v>358</v>
      </c>
      <c r="M58" s="19" t="s">
        <v>355</v>
      </c>
      <c r="N58" s="14" t="s">
        <v>354</v>
      </c>
      <c r="O58" s="19">
        <v>1</v>
      </c>
      <c r="Q58" s="14" t="s">
        <v>380</v>
      </c>
      <c r="R58" s="13" t="s">
        <v>381</v>
      </c>
      <c r="S58" s="13" t="s">
        <v>177</v>
      </c>
      <c r="T58" s="19" t="s">
        <v>382</v>
      </c>
      <c r="U58" s="13" t="s">
        <v>379</v>
      </c>
      <c r="V58" s="19"/>
      <c r="W58" s="19"/>
      <c r="X58" s="19"/>
      <c r="Y58" s="19"/>
      <c r="Z58" s="19"/>
      <c r="AA58" s="19"/>
      <c r="AB58" s="19" t="s">
        <v>165</v>
      </c>
      <c r="AC58" s="19"/>
      <c r="AD58" s="13" t="s">
        <v>160</v>
      </c>
      <c r="AG58" s="19"/>
      <c r="AI58" s="19"/>
      <c r="AJ58" s="20"/>
      <c r="AL58" s="19" t="s">
        <v>382</v>
      </c>
      <c r="AM58" s="24">
        <v>459001.02</v>
      </c>
      <c r="BU58" s="19" t="s">
        <v>382</v>
      </c>
      <c r="BX58" s="24">
        <v>360345.95</v>
      </c>
      <c r="BY58" s="24">
        <v>223379.11</v>
      </c>
      <c r="BZ58" s="27">
        <v>360346</v>
      </c>
      <c r="CA58" s="24">
        <v>257696.98</v>
      </c>
      <c r="CB58" s="24">
        <v>361536.65</v>
      </c>
      <c r="CC58" s="24">
        <v>290703.08</v>
      </c>
      <c r="CD58" s="24">
        <v>361536.65</v>
      </c>
      <c r="CE58" s="24">
        <v>291871.05</v>
      </c>
      <c r="CF58" s="24">
        <v>360346</v>
      </c>
      <c r="CG58" s="24">
        <v>289299.84000000003</v>
      </c>
      <c r="CH58" s="24">
        <v>360346</v>
      </c>
      <c r="CI58" s="24">
        <v>265937.90999999997</v>
      </c>
      <c r="CJ58" s="24">
        <v>360346</v>
      </c>
      <c r="CK58" s="24">
        <v>252195.69</v>
      </c>
      <c r="CL58" s="24">
        <v>349952</v>
      </c>
      <c r="CM58" s="24">
        <v>15497.11</v>
      </c>
      <c r="CN58" s="24">
        <f t="shared" si="37"/>
        <v>365449.11</v>
      </c>
      <c r="CO58" s="24">
        <v>264534.59000000003</v>
      </c>
      <c r="CP58" s="24">
        <v>349951.95</v>
      </c>
      <c r="CQ58" s="24">
        <v>15497.11</v>
      </c>
      <c r="CR58" s="24">
        <f t="shared" si="38"/>
        <v>365449.06</v>
      </c>
      <c r="CS58" s="24">
        <v>261844.7</v>
      </c>
      <c r="CT58" s="24">
        <v>349951.95</v>
      </c>
      <c r="CU58" s="24">
        <v>15497.11</v>
      </c>
      <c r="CV58" s="24">
        <f t="shared" si="39"/>
        <v>365449.06</v>
      </c>
      <c r="CW58" s="24">
        <v>293067.78999999998</v>
      </c>
      <c r="CX58" s="24">
        <v>349951.95</v>
      </c>
      <c r="CY58" s="24">
        <v>15497.11</v>
      </c>
      <c r="CZ58" s="24">
        <f t="shared" si="40"/>
        <v>365449.06</v>
      </c>
      <c r="DA58" s="27">
        <v>296284.23</v>
      </c>
      <c r="DB58" s="24">
        <v>349951.95</v>
      </c>
      <c r="DC58" s="24">
        <v>15497.11</v>
      </c>
      <c r="DD58" s="24">
        <f t="shared" si="41"/>
        <v>365449.06</v>
      </c>
      <c r="DE58" s="24">
        <v>305183.39</v>
      </c>
      <c r="DJ58" s="19" t="s">
        <v>382</v>
      </c>
      <c r="DK58" s="24">
        <v>459001.02</v>
      </c>
      <c r="DL58" s="24">
        <v>328048.08</v>
      </c>
      <c r="DM58" s="24">
        <v>459001.02</v>
      </c>
      <c r="DN58" s="24">
        <v>369473.5</v>
      </c>
      <c r="DO58" s="24">
        <v>459001.02</v>
      </c>
      <c r="DP58" s="28">
        <v>373056.35</v>
      </c>
      <c r="DQ58" s="24">
        <v>459001.02</v>
      </c>
      <c r="DR58" s="24"/>
      <c r="DS58" s="25">
        <f t="shared" si="20"/>
        <v>71.470011112393607</v>
      </c>
      <c r="DT58" s="25">
        <f t="shared" si="21"/>
        <v>80.495137026057151</v>
      </c>
      <c r="DU58" s="25">
        <f t="shared" si="22"/>
        <v>81.275712633492617</v>
      </c>
      <c r="DV58" s="24"/>
      <c r="DW58" s="25"/>
    </row>
    <row r="59" spans="1:127" s="13" customFormat="1" ht="15.95" customHeight="1" x14ac:dyDescent="0.2">
      <c r="A59" s="13" t="s">
        <v>143</v>
      </c>
      <c r="B59" s="26" t="s">
        <v>144</v>
      </c>
      <c r="C59" s="13" t="s">
        <v>145</v>
      </c>
      <c r="D59" s="26" t="s">
        <v>146</v>
      </c>
      <c r="E59" s="13" t="s">
        <v>147</v>
      </c>
      <c r="G59" s="13" t="s">
        <v>148</v>
      </c>
      <c r="H59" s="26" t="s">
        <v>149</v>
      </c>
      <c r="I59" s="13" t="s">
        <v>150</v>
      </c>
      <c r="J59" s="19" t="s">
        <v>151</v>
      </c>
      <c r="K59" s="26" t="s">
        <v>152</v>
      </c>
      <c r="L59" s="13" t="s">
        <v>358</v>
      </c>
      <c r="M59" s="19" t="s">
        <v>355</v>
      </c>
      <c r="N59" s="14" t="s">
        <v>354</v>
      </c>
      <c r="O59" s="19">
        <v>1</v>
      </c>
      <c r="Q59" s="14" t="s">
        <v>383</v>
      </c>
      <c r="R59" s="13" t="s">
        <v>384</v>
      </c>
      <c r="S59" s="13" t="s">
        <v>177</v>
      </c>
      <c r="T59" s="19" t="s">
        <v>385</v>
      </c>
      <c r="U59" s="13" t="s">
        <v>386</v>
      </c>
      <c r="V59" s="19"/>
      <c r="W59" s="19"/>
      <c r="X59" s="19"/>
      <c r="Y59" s="19"/>
      <c r="Z59" s="19"/>
      <c r="AA59" s="19"/>
      <c r="AB59" s="19" t="s">
        <v>170</v>
      </c>
      <c r="AC59" s="19"/>
      <c r="AD59" s="13" t="s">
        <v>160</v>
      </c>
      <c r="AG59" s="19"/>
      <c r="AI59" s="19"/>
      <c r="AJ59" s="20"/>
      <c r="AL59" s="19" t="s">
        <v>385</v>
      </c>
      <c r="AM59" s="24">
        <v>550800</v>
      </c>
      <c r="BS59" s="19" t="s">
        <v>387</v>
      </c>
      <c r="BT59" s="13" t="s">
        <v>325</v>
      </c>
      <c r="BU59" s="19" t="s">
        <v>385</v>
      </c>
      <c r="BX59" s="24"/>
      <c r="BY59" s="24"/>
      <c r="BZ59" s="27"/>
      <c r="CA59" s="24"/>
      <c r="CB59" s="24"/>
      <c r="CC59" s="24"/>
      <c r="CD59" s="24"/>
      <c r="CE59" s="24"/>
      <c r="CF59" s="24">
        <v>452000</v>
      </c>
      <c r="CG59" s="24">
        <v>369160.56</v>
      </c>
      <c r="CH59" s="24">
        <v>452000</v>
      </c>
      <c r="CI59" s="24">
        <v>367565.86</v>
      </c>
      <c r="CJ59" s="24">
        <v>452000</v>
      </c>
      <c r="CK59" s="24">
        <v>364277.17</v>
      </c>
      <c r="CL59" s="24">
        <v>439543</v>
      </c>
      <c r="CM59" s="24">
        <v>18342.28</v>
      </c>
      <c r="CN59" s="24">
        <f t="shared" si="37"/>
        <v>457885.28</v>
      </c>
      <c r="CO59" s="24">
        <v>368761.51</v>
      </c>
      <c r="CP59" s="24">
        <v>439543.1</v>
      </c>
      <c r="CQ59" s="24">
        <v>18342.28</v>
      </c>
      <c r="CR59" s="24">
        <f t="shared" si="38"/>
        <v>457885.38</v>
      </c>
      <c r="CS59" s="24">
        <v>369564.87</v>
      </c>
      <c r="CT59" s="24">
        <v>439543.1</v>
      </c>
      <c r="CU59" s="24">
        <v>18342.28</v>
      </c>
      <c r="CV59" s="24">
        <f t="shared" si="39"/>
        <v>457885.38</v>
      </c>
      <c r="CW59" s="24">
        <v>374430.26</v>
      </c>
      <c r="CX59" s="24">
        <v>439543.1</v>
      </c>
      <c r="CY59" s="24">
        <v>18342.28</v>
      </c>
      <c r="CZ59" s="24">
        <f t="shared" si="40"/>
        <v>457885.38</v>
      </c>
      <c r="DA59" s="27">
        <v>379237.63</v>
      </c>
      <c r="DB59" s="24">
        <v>439543.1</v>
      </c>
      <c r="DC59" s="24">
        <v>18342.28</v>
      </c>
      <c r="DD59" s="24">
        <f t="shared" si="41"/>
        <v>457885.38</v>
      </c>
      <c r="DE59" s="24">
        <v>381529.29</v>
      </c>
      <c r="DJ59" s="19" t="s">
        <v>385</v>
      </c>
      <c r="DK59" s="24">
        <v>550800</v>
      </c>
      <c r="DL59" s="24">
        <v>445431.37</v>
      </c>
      <c r="DM59" s="24">
        <v>550800</v>
      </c>
      <c r="DN59" s="24">
        <v>477336.24</v>
      </c>
      <c r="DO59" s="24">
        <v>550800</v>
      </c>
      <c r="DP59" s="28">
        <v>475907.85</v>
      </c>
      <c r="DQ59" s="24">
        <v>550800</v>
      </c>
      <c r="DR59" s="24"/>
      <c r="DS59" s="25">
        <f t="shared" si="20"/>
        <v>80.86989288307916</v>
      </c>
      <c r="DT59" s="25">
        <f t="shared" si="21"/>
        <v>86.662352941176465</v>
      </c>
      <c r="DU59" s="25">
        <f t="shared" si="22"/>
        <v>86.403022875816987</v>
      </c>
      <c r="DV59" s="24"/>
      <c r="DW59" s="25"/>
    </row>
    <row r="60" spans="1:127" s="13" customFormat="1" ht="15.95" customHeight="1" x14ac:dyDescent="0.2">
      <c r="A60" s="13" t="s">
        <v>143</v>
      </c>
      <c r="B60" s="26" t="s">
        <v>144</v>
      </c>
      <c r="C60" s="13" t="s">
        <v>145</v>
      </c>
      <c r="D60" s="26" t="s">
        <v>146</v>
      </c>
      <c r="E60" s="13" t="s">
        <v>147</v>
      </c>
      <c r="G60" s="13" t="s">
        <v>148</v>
      </c>
      <c r="H60" s="26" t="s">
        <v>149</v>
      </c>
      <c r="I60" s="13" t="s">
        <v>150</v>
      </c>
      <c r="J60" s="19" t="s">
        <v>151</v>
      </c>
      <c r="K60" s="26" t="s">
        <v>152</v>
      </c>
      <c r="L60" s="13" t="s">
        <v>358</v>
      </c>
      <c r="M60" s="19" t="s">
        <v>355</v>
      </c>
      <c r="N60" s="14" t="s">
        <v>354</v>
      </c>
      <c r="O60" s="19">
        <v>1</v>
      </c>
      <c r="Q60" s="14" t="s">
        <v>388</v>
      </c>
      <c r="R60" s="13" t="s">
        <v>389</v>
      </c>
      <c r="S60" s="13" t="s">
        <v>177</v>
      </c>
      <c r="T60" s="19" t="s">
        <v>390</v>
      </c>
      <c r="U60" s="13" t="s">
        <v>391</v>
      </c>
      <c r="V60" s="19"/>
      <c r="W60" s="19"/>
      <c r="X60" s="19"/>
      <c r="Y60" s="19"/>
      <c r="Z60" s="19"/>
      <c r="AA60" s="19"/>
      <c r="AB60" s="19" t="s">
        <v>170</v>
      </c>
      <c r="AC60" s="19"/>
      <c r="AD60" s="13" t="s">
        <v>160</v>
      </c>
      <c r="AG60" s="19"/>
      <c r="AI60" s="19"/>
      <c r="AJ60" s="20"/>
      <c r="AL60" s="19" t="s">
        <v>390</v>
      </c>
      <c r="AM60" s="24">
        <v>698700</v>
      </c>
      <c r="BU60" s="19" t="s">
        <v>390</v>
      </c>
      <c r="BX60" s="24">
        <v>599721.61</v>
      </c>
      <c r="BY60" s="24">
        <v>401129.5</v>
      </c>
      <c r="BZ60" s="27">
        <v>599722</v>
      </c>
      <c r="CA60" s="24">
        <v>411652.95</v>
      </c>
      <c r="CB60" s="24">
        <v>602826.41</v>
      </c>
      <c r="CC60" s="24">
        <v>401983.29</v>
      </c>
      <c r="CD60" s="24">
        <v>602826.41</v>
      </c>
      <c r="CE60" s="24">
        <v>432932.2</v>
      </c>
      <c r="CF60" s="24">
        <v>599722</v>
      </c>
      <c r="CG60" s="24">
        <v>438609.01</v>
      </c>
      <c r="CH60" s="24">
        <v>599722</v>
      </c>
      <c r="CI60" s="24">
        <v>397685.35</v>
      </c>
      <c r="CJ60" s="24">
        <v>599722</v>
      </c>
      <c r="CK60" s="24">
        <v>413334.73</v>
      </c>
      <c r="CL60" s="24">
        <v>571885</v>
      </c>
      <c r="CM60" s="24">
        <v>41288.120000000003</v>
      </c>
      <c r="CN60" s="24">
        <f t="shared" si="37"/>
        <v>613173.12</v>
      </c>
      <c r="CO60" s="24">
        <v>418711.94</v>
      </c>
      <c r="CP60" s="24">
        <v>571885.46</v>
      </c>
      <c r="CQ60" s="24">
        <v>41288.120000000003</v>
      </c>
      <c r="CR60" s="24">
        <f t="shared" si="38"/>
        <v>613173.57999999996</v>
      </c>
      <c r="CS60" s="24">
        <v>433152.78</v>
      </c>
      <c r="CT60" s="24">
        <v>571885.46</v>
      </c>
      <c r="CU60" s="24">
        <v>41288.120000000003</v>
      </c>
      <c r="CV60" s="24">
        <f t="shared" si="39"/>
        <v>613173.57999999996</v>
      </c>
      <c r="CW60" s="24">
        <v>439023.8</v>
      </c>
      <c r="CX60" s="24">
        <v>571885.46</v>
      </c>
      <c r="CY60" s="24">
        <v>41288.120000000003</v>
      </c>
      <c r="CZ60" s="24">
        <f t="shared" si="40"/>
        <v>613173.57999999996</v>
      </c>
      <c r="DA60" s="27">
        <v>425171.16</v>
      </c>
      <c r="DB60" s="24">
        <v>571885.46</v>
      </c>
      <c r="DC60" s="24">
        <v>41288.120000000003</v>
      </c>
      <c r="DD60" s="24">
        <f t="shared" si="41"/>
        <v>613173.57999999996</v>
      </c>
      <c r="DE60" s="24">
        <v>421523.06</v>
      </c>
      <c r="DJ60" s="19" t="s">
        <v>390</v>
      </c>
      <c r="DK60" s="24">
        <v>698700</v>
      </c>
      <c r="DL60" s="24">
        <v>426986.04</v>
      </c>
      <c r="DM60" s="24">
        <v>698700</v>
      </c>
      <c r="DN60" s="24">
        <v>489897.26</v>
      </c>
      <c r="DO60" s="24">
        <v>698700</v>
      </c>
      <c r="DP60" s="28">
        <v>561980.46</v>
      </c>
      <c r="DQ60" s="24">
        <v>698700</v>
      </c>
      <c r="DR60" s="24"/>
      <c r="DS60" s="25">
        <f t="shared" si="20"/>
        <v>61.111498497209105</v>
      </c>
      <c r="DT60" s="25">
        <f t="shared" si="21"/>
        <v>70.115537426649482</v>
      </c>
      <c r="DU60" s="25">
        <f t="shared" si="22"/>
        <v>80.43229712322885</v>
      </c>
      <c r="DV60" s="24"/>
      <c r="DW60" s="25"/>
    </row>
    <row r="61" spans="1:127" s="13" customFormat="1" ht="15.95" customHeight="1" x14ac:dyDescent="0.2">
      <c r="A61" s="13" t="s">
        <v>143</v>
      </c>
      <c r="B61" s="26" t="s">
        <v>144</v>
      </c>
      <c r="C61" s="13" t="s">
        <v>145</v>
      </c>
      <c r="D61" s="26" t="s">
        <v>146</v>
      </c>
      <c r="E61" s="13" t="s">
        <v>147</v>
      </c>
      <c r="G61" s="13" t="s">
        <v>148</v>
      </c>
      <c r="H61" s="26" t="s">
        <v>149</v>
      </c>
      <c r="I61" s="13" t="s">
        <v>150</v>
      </c>
      <c r="J61" s="19" t="s">
        <v>151</v>
      </c>
      <c r="K61" s="26" t="s">
        <v>152</v>
      </c>
      <c r="L61" s="13" t="s">
        <v>358</v>
      </c>
      <c r="M61" s="19" t="s">
        <v>355</v>
      </c>
      <c r="N61" s="14" t="s">
        <v>354</v>
      </c>
      <c r="O61" s="19">
        <v>1</v>
      </c>
      <c r="Q61" s="14" t="s">
        <v>392</v>
      </c>
      <c r="R61" s="13" t="s">
        <v>393</v>
      </c>
      <c r="S61" s="13" t="s">
        <v>163</v>
      </c>
      <c r="T61" s="19" t="s">
        <v>394</v>
      </c>
      <c r="U61" s="13" t="s">
        <v>395</v>
      </c>
      <c r="V61" s="19"/>
      <c r="W61" s="19"/>
      <c r="X61" s="19"/>
      <c r="Y61" s="19"/>
      <c r="Z61" s="19"/>
      <c r="AA61" s="19"/>
      <c r="AB61" s="19" t="s">
        <v>170</v>
      </c>
      <c r="AC61" s="19"/>
      <c r="AD61" s="13" t="s">
        <v>160</v>
      </c>
      <c r="AG61" s="19"/>
      <c r="AI61" s="19"/>
      <c r="AJ61" s="20"/>
      <c r="AL61" s="19" t="s">
        <v>394</v>
      </c>
      <c r="AM61" s="24">
        <v>693600</v>
      </c>
      <c r="BU61" s="19" t="s">
        <v>394</v>
      </c>
      <c r="BX61" s="24">
        <v>592481.77</v>
      </c>
      <c r="BY61" s="24">
        <v>482905.5</v>
      </c>
      <c r="BZ61" s="27">
        <v>592482</v>
      </c>
      <c r="CA61" s="24">
        <v>494543.24</v>
      </c>
      <c r="CB61" s="24">
        <v>595586.56999999995</v>
      </c>
      <c r="CC61" s="24">
        <v>491986.66</v>
      </c>
      <c r="CD61" s="24">
        <v>595586.56999999995</v>
      </c>
      <c r="CE61" s="24">
        <v>516702.61</v>
      </c>
      <c r="CF61" s="24">
        <v>592482</v>
      </c>
      <c r="CG61" s="24">
        <v>523769.5</v>
      </c>
      <c r="CH61" s="24">
        <v>592482</v>
      </c>
      <c r="CI61" s="24">
        <v>473769.61</v>
      </c>
      <c r="CJ61" s="24">
        <v>592482</v>
      </c>
      <c r="CK61" s="24">
        <v>477282.09</v>
      </c>
      <c r="CL61" s="24">
        <v>557081</v>
      </c>
      <c r="CM61" s="24">
        <v>52691.71</v>
      </c>
      <c r="CN61" s="24">
        <f t="shared" si="37"/>
        <v>609772.71</v>
      </c>
      <c r="CO61" s="24">
        <v>427733.92</v>
      </c>
      <c r="CP61" s="24">
        <v>557080.71</v>
      </c>
      <c r="CQ61" s="24">
        <v>52691.71</v>
      </c>
      <c r="CR61" s="24">
        <f t="shared" si="38"/>
        <v>609772.41999999993</v>
      </c>
      <c r="CS61" s="24">
        <v>489104.33</v>
      </c>
      <c r="CT61" s="24">
        <v>557080.71</v>
      </c>
      <c r="CU61" s="24">
        <v>52691.71</v>
      </c>
      <c r="CV61" s="24">
        <f t="shared" si="39"/>
        <v>609772.41999999993</v>
      </c>
      <c r="CW61" s="24">
        <v>506107.95</v>
      </c>
      <c r="CX61" s="24">
        <v>557080.71</v>
      </c>
      <c r="CY61" s="24">
        <v>52691.71</v>
      </c>
      <c r="CZ61" s="24">
        <f t="shared" si="40"/>
        <v>609772.41999999993</v>
      </c>
      <c r="DA61" s="27">
        <v>526830.31999999995</v>
      </c>
      <c r="DB61" s="24">
        <v>557080.71</v>
      </c>
      <c r="DC61" s="24">
        <v>52691.71</v>
      </c>
      <c r="DD61" s="24">
        <f t="shared" si="41"/>
        <v>609772.41999999993</v>
      </c>
      <c r="DE61" s="24">
        <v>524930.01</v>
      </c>
      <c r="DJ61" s="19" t="s">
        <v>394</v>
      </c>
      <c r="DK61" s="24">
        <v>693600</v>
      </c>
      <c r="DL61" s="24">
        <v>503447.37</v>
      </c>
      <c r="DM61" s="24">
        <v>693600</v>
      </c>
      <c r="DN61" s="24">
        <v>559319.12</v>
      </c>
      <c r="DO61" s="24">
        <v>693600</v>
      </c>
      <c r="DP61" s="28">
        <v>559276.53</v>
      </c>
      <c r="DQ61" s="24">
        <v>693600</v>
      </c>
      <c r="DR61" s="24"/>
      <c r="DS61" s="25">
        <f t="shared" si="20"/>
        <v>72.584684256055368</v>
      </c>
      <c r="DT61" s="25">
        <f t="shared" si="21"/>
        <v>80.640011534025362</v>
      </c>
      <c r="DU61" s="25">
        <f t="shared" si="22"/>
        <v>80.633871107266444</v>
      </c>
      <c r="DV61" s="24"/>
      <c r="DW61" s="25"/>
    </row>
    <row r="62" spans="1:127" s="13" customFormat="1" ht="15.95" customHeight="1" x14ac:dyDescent="0.2">
      <c r="A62" s="13" t="s">
        <v>143</v>
      </c>
      <c r="B62" s="26" t="s">
        <v>144</v>
      </c>
      <c r="C62" s="13" t="s">
        <v>145</v>
      </c>
      <c r="D62" s="26" t="s">
        <v>146</v>
      </c>
      <c r="E62" s="13" t="s">
        <v>147</v>
      </c>
      <c r="G62" s="13" t="s">
        <v>148</v>
      </c>
      <c r="H62" s="26" t="s">
        <v>149</v>
      </c>
      <c r="I62" s="13" t="s">
        <v>150</v>
      </c>
      <c r="J62" s="19" t="s">
        <v>151</v>
      </c>
      <c r="K62" s="26" t="s">
        <v>152</v>
      </c>
      <c r="L62" s="13" t="s">
        <v>358</v>
      </c>
      <c r="M62" s="19" t="s">
        <v>355</v>
      </c>
      <c r="N62" s="14" t="s">
        <v>354</v>
      </c>
      <c r="O62" s="19">
        <v>1</v>
      </c>
      <c r="Q62" s="14" t="s">
        <v>396</v>
      </c>
      <c r="R62" s="13" t="s">
        <v>397</v>
      </c>
      <c r="S62" s="13" t="s">
        <v>177</v>
      </c>
      <c r="T62" s="19" t="s">
        <v>398</v>
      </c>
      <c r="U62" s="13" t="s">
        <v>399</v>
      </c>
      <c r="V62" s="19"/>
      <c r="W62" s="19"/>
      <c r="X62" s="19"/>
      <c r="Y62" s="19"/>
      <c r="Z62" s="19"/>
      <c r="AA62" s="19"/>
      <c r="AB62" s="19" t="s">
        <v>195</v>
      </c>
      <c r="AC62" s="19"/>
      <c r="AD62" s="13" t="s">
        <v>160</v>
      </c>
      <c r="AG62" s="19" t="s">
        <v>400</v>
      </c>
      <c r="AI62" s="19" t="s">
        <v>195</v>
      </c>
      <c r="AJ62" s="20"/>
      <c r="AL62" s="19" t="s">
        <v>398</v>
      </c>
      <c r="AM62" s="24">
        <v>361823.58</v>
      </c>
      <c r="BU62" s="19" t="s">
        <v>398</v>
      </c>
      <c r="BX62" s="24">
        <v>300025.28999999998</v>
      </c>
      <c r="BY62" s="24">
        <v>210603.03</v>
      </c>
      <c r="BZ62" s="27">
        <v>300025</v>
      </c>
      <c r="CA62" s="24">
        <v>197886.92</v>
      </c>
      <c r="CB62" s="24">
        <v>300025.28999999998</v>
      </c>
      <c r="CC62" s="24">
        <v>208707.52</v>
      </c>
      <c r="CD62" s="24">
        <v>300025.28999999998</v>
      </c>
      <c r="CE62" s="24">
        <v>252590.41</v>
      </c>
      <c r="CF62" s="24">
        <v>300025</v>
      </c>
      <c r="CG62" s="24">
        <v>214808.47</v>
      </c>
      <c r="CH62" s="24">
        <v>300025</v>
      </c>
      <c r="CI62" s="24">
        <v>204737</v>
      </c>
      <c r="CJ62" s="24">
        <v>300025</v>
      </c>
      <c r="CK62" s="24">
        <v>170241.16</v>
      </c>
      <c r="CL62" s="24">
        <v>300025</v>
      </c>
      <c r="CM62" s="24">
        <v>0</v>
      </c>
      <c r="CN62" s="24">
        <f t="shared" si="37"/>
        <v>300025</v>
      </c>
      <c r="CO62" s="24">
        <v>207587.69</v>
      </c>
      <c r="CP62" s="24">
        <v>300025</v>
      </c>
      <c r="CQ62" s="24">
        <v>0</v>
      </c>
      <c r="CR62" s="24">
        <f t="shared" si="38"/>
        <v>300025</v>
      </c>
      <c r="CS62" s="24">
        <v>254576.77</v>
      </c>
      <c r="CT62" s="24">
        <v>300025</v>
      </c>
      <c r="CU62" s="24">
        <v>0</v>
      </c>
      <c r="CV62" s="24">
        <f t="shared" si="39"/>
        <v>300025</v>
      </c>
      <c r="CW62" s="24">
        <v>255866.26</v>
      </c>
      <c r="CX62" s="24">
        <v>300025</v>
      </c>
      <c r="CY62" s="24">
        <v>0</v>
      </c>
      <c r="CZ62" s="24">
        <f t="shared" si="40"/>
        <v>300025</v>
      </c>
      <c r="DA62" s="27">
        <v>223649.27</v>
      </c>
      <c r="DB62" s="24">
        <v>300025</v>
      </c>
      <c r="DC62" s="24">
        <v>0</v>
      </c>
      <c r="DD62" s="24">
        <f t="shared" si="41"/>
        <v>300025</v>
      </c>
      <c r="DE62" s="24">
        <v>247024.52</v>
      </c>
      <c r="DJ62" s="19" t="s">
        <v>398</v>
      </c>
      <c r="DK62" s="24">
        <v>361823.58</v>
      </c>
      <c r="DL62" s="24">
        <v>223844.92</v>
      </c>
      <c r="DM62" s="24">
        <v>361823.58</v>
      </c>
      <c r="DN62" s="24">
        <v>300393.87</v>
      </c>
      <c r="DO62" s="24">
        <v>361823.58</v>
      </c>
      <c r="DP62" s="28">
        <v>303049.06</v>
      </c>
      <c r="DQ62" s="24">
        <v>361823.58</v>
      </c>
      <c r="DR62" s="24"/>
      <c r="DS62" s="25">
        <f t="shared" si="20"/>
        <v>61.865763419841237</v>
      </c>
      <c r="DT62" s="25">
        <f t="shared" si="21"/>
        <v>83.022192749295115</v>
      </c>
      <c r="DU62" s="25">
        <f t="shared" si="22"/>
        <v>83.756028283176008</v>
      </c>
      <c r="DV62" s="24"/>
      <c r="DW62" s="25"/>
    </row>
    <row r="64" spans="1:127" s="13" customFormat="1" ht="15.95" customHeight="1" x14ac:dyDescent="0.2">
      <c r="N64" s="19">
        <v>151</v>
      </c>
      <c r="O64" s="20"/>
      <c r="Q64" s="16" t="s">
        <v>401</v>
      </c>
      <c r="R64" s="17" t="s">
        <v>402</v>
      </c>
      <c r="S64" s="17" t="s">
        <v>136</v>
      </c>
      <c r="T64" s="18">
        <v>151</v>
      </c>
      <c r="U64" s="17" t="s">
        <v>403</v>
      </c>
      <c r="V64" s="18"/>
      <c r="W64" s="19">
        <v>1</v>
      </c>
      <c r="X64" s="18">
        <f>COUNTIF($AB65:$AB74,"A")</f>
        <v>4</v>
      </c>
      <c r="Y64" s="18">
        <f>COUNTIF($AB65:$AB74,"B")</f>
        <v>4</v>
      </c>
      <c r="Z64" s="18">
        <f>COUNTIF($AB65:$AB74,"G")</f>
        <v>1</v>
      </c>
      <c r="AA64" s="18">
        <f>COUNTIF($AB65:$AB74,"C")</f>
        <v>1</v>
      </c>
      <c r="AB64" s="19">
        <f>COUNTA(AB65:AB74)</f>
        <v>10</v>
      </c>
      <c r="AC64" s="18">
        <f>Y64+Z64</f>
        <v>5</v>
      </c>
      <c r="AG64" s="19" t="s">
        <v>404</v>
      </c>
      <c r="AH64" s="13" t="s">
        <v>405</v>
      </c>
      <c r="AI64" s="19" t="s">
        <v>62</v>
      </c>
      <c r="AJ64" s="20"/>
      <c r="AL64" s="18">
        <v>151</v>
      </c>
      <c r="AM64" s="21">
        <f>SUM(AM65:AM74)</f>
        <v>7599000</v>
      </c>
      <c r="BU64" s="18">
        <v>151</v>
      </c>
      <c r="BV64" s="17"/>
      <c r="BX64" s="21">
        <f t="shared" ref="BX64:DE64" si="42">SUM(BX65:BX74)</f>
        <v>6208744.2400000002</v>
      </c>
      <c r="BY64" s="21">
        <f t="shared" si="42"/>
        <v>5173300.49</v>
      </c>
      <c r="BZ64" s="21">
        <f t="shared" si="42"/>
        <v>6208744.2400000002</v>
      </c>
      <c r="CA64" s="21">
        <f t="shared" si="42"/>
        <v>5403597.3600000003</v>
      </c>
      <c r="CB64" s="21">
        <f t="shared" si="42"/>
        <v>6210526.2399999993</v>
      </c>
      <c r="CC64" s="21">
        <f t="shared" si="42"/>
        <v>5092261.72</v>
      </c>
      <c r="CD64" s="21">
        <f t="shared" si="42"/>
        <v>6210526.2399999993</v>
      </c>
      <c r="CE64" s="21">
        <f t="shared" si="42"/>
        <v>5123427.3999999994</v>
      </c>
      <c r="CF64" s="21">
        <f t="shared" si="42"/>
        <v>6208744.2400000002</v>
      </c>
      <c r="CG64" s="21">
        <f t="shared" si="42"/>
        <v>5133913.76</v>
      </c>
      <c r="CH64" s="21">
        <f t="shared" si="42"/>
        <v>6208744.2400000002</v>
      </c>
      <c r="CI64" s="21">
        <f t="shared" si="42"/>
        <v>5017454.2</v>
      </c>
      <c r="CJ64" s="21">
        <f t="shared" si="42"/>
        <v>6208744.2400000002</v>
      </c>
      <c r="CK64" s="21">
        <f t="shared" si="42"/>
        <v>5002286.8600000003</v>
      </c>
      <c r="CL64" s="21">
        <f t="shared" si="42"/>
        <v>5918734.2400000002</v>
      </c>
      <c r="CM64" s="21">
        <f t="shared" si="42"/>
        <v>435152.77</v>
      </c>
      <c r="CN64" s="21">
        <f t="shared" si="42"/>
        <v>6353887.0099999998</v>
      </c>
      <c r="CO64" s="21">
        <f t="shared" si="42"/>
        <v>5262592.3499999996</v>
      </c>
      <c r="CP64" s="21">
        <f t="shared" si="42"/>
        <v>5918736.0099999998</v>
      </c>
      <c r="CQ64" s="21">
        <f t="shared" si="42"/>
        <v>435152.77</v>
      </c>
      <c r="CR64" s="21">
        <f t="shared" si="42"/>
        <v>6353888.7799999993</v>
      </c>
      <c r="CS64" s="21">
        <f t="shared" si="42"/>
        <v>5368070.18</v>
      </c>
      <c r="CT64" s="21">
        <f t="shared" si="42"/>
        <v>6011047.1299999999</v>
      </c>
      <c r="CU64" s="21">
        <f t="shared" si="42"/>
        <v>435152.77</v>
      </c>
      <c r="CV64" s="21">
        <f t="shared" si="42"/>
        <v>6446199.9000000004</v>
      </c>
      <c r="CW64" s="21">
        <f t="shared" si="42"/>
        <v>5386516.1600000001</v>
      </c>
      <c r="CX64" s="21">
        <f t="shared" si="42"/>
        <v>6011047.1299999999</v>
      </c>
      <c r="CY64" s="21">
        <f t="shared" si="42"/>
        <v>435152.77</v>
      </c>
      <c r="CZ64" s="21">
        <f t="shared" si="42"/>
        <v>6446199.9000000004</v>
      </c>
      <c r="DA64" s="22">
        <f t="shared" si="42"/>
        <v>5483778.54</v>
      </c>
      <c r="DB64" s="21">
        <f t="shared" si="42"/>
        <v>6011047.1299999999</v>
      </c>
      <c r="DC64" s="21">
        <f t="shared" si="42"/>
        <v>435152.77</v>
      </c>
      <c r="DD64" s="21">
        <f t="shared" si="42"/>
        <v>6446199.9000000004</v>
      </c>
      <c r="DE64" s="21">
        <f t="shared" si="42"/>
        <v>5586251.5600000005</v>
      </c>
      <c r="DJ64" s="18">
        <v>151</v>
      </c>
      <c r="DK64" s="23">
        <f t="shared" ref="DK64:DP64" si="43">SUM(DK65:DK74)</f>
        <v>7599000</v>
      </c>
      <c r="DL64" s="23">
        <f t="shared" si="43"/>
        <v>6148586.870000001</v>
      </c>
      <c r="DM64" s="23">
        <f t="shared" si="43"/>
        <v>7599000</v>
      </c>
      <c r="DN64" s="23">
        <f t="shared" si="43"/>
        <v>6169076.8200000003</v>
      </c>
      <c r="DO64" s="23">
        <f t="shared" si="43"/>
        <v>7599000</v>
      </c>
      <c r="DP64" s="23">
        <f t="shared" si="43"/>
        <v>6117646.2999999998</v>
      </c>
      <c r="DQ64" s="21">
        <f>SUM(DQ65:DQ74)</f>
        <v>7599000</v>
      </c>
      <c r="DR64" s="24"/>
      <c r="DS64" s="25">
        <f t="shared" ref="DS64:DS89" si="44">DL64/DK64*100</f>
        <v>80.913105277010146</v>
      </c>
      <c r="DT64" s="25">
        <f t="shared" ref="DT64:DT89" si="45">DN64/DM64*100</f>
        <v>81.182745361231738</v>
      </c>
      <c r="DU64" s="25">
        <f t="shared" ref="DU64:DU89" si="46">DP64/DO64*100</f>
        <v>80.505938939334115</v>
      </c>
      <c r="DV64" s="24"/>
      <c r="DW64" s="25"/>
    </row>
    <row r="65" spans="1:127" s="13" customFormat="1" ht="15.95" customHeight="1" x14ac:dyDescent="0.2">
      <c r="A65" s="13" t="s">
        <v>143</v>
      </c>
      <c r="B65" s="26" t="s">
        <v>144</v>
      </c>
      <c r="C65" s="13" t="s">
        <v>145</v>
      </c>
      <c r="D65" s="26" t="s">
        <v>146</v>
      </c>
      <c r="E65" s="13" t="s">
        <v>147</v>
      </c>
      <c r="G65" s="13" t="s">
        <v>148</v>
      </c>
      <c r="H65" s="26" t="s">
        <v>149</v>
      </c>
      <c r="I65" s="13" t="s">
        <v>406</v>
      </c>
      <c r="J65" s="26" t="s">
        <v>407</v>
      </c>
      <c r="K65" s="26" t="s">
        <v>408</v>
      </c>
      <c r="L65" s="13" t="s">
        <v>409</v>
      </c>
      <c r="M65" s="14" t="s">
        <v>401</v>
      </c>
      <c r="N65" s="19">
        <v>151</v>
      </c>
      <c r="O65" s="19">
        <v>1</v>
      </c>
      <c r="Q65" s="14" t="s">
        <v>410</v>
      </c>
      <c r="R65" s="13" t="s">
        <v>411</v>
      </c>
      <c r="S65" s="13" t="s">
        <v>163</v>
      </c>
      <c r="T65" s="19" t="s">
        <v>412</v>
      </c>
      <c r="U65" s="13" t="s">
        <v>413</v>
      </c>
      <c r="V65" s="19"/>
      <c r="W65" s="19"/>
      <c r="X65" s="19"/>
      <c r="Y65" s="19"/>
      <c r="Z65" s="19"/>
      <c r="AA65" s="19"/>
      <c r="AB65" s="19" t="s">
        <v>159</v>
      </c>
      <c r="AC65" s="19"/>
      <c r="AD65" s="13" t="s">
        <v>414</v>
      </c>
      <c r="AG65" s="19"/>
      <c r="AI65" s="19"/>
      <c r="AJ65" s="20"/>
      <c r="AL65" s="19" t="s">
        <v>412</v>
      </c>
      <c r="AM65" s="24">
        <v>785400</v>
      </c>
      <c r="BU65" s="19" t="s">
        <v>412</v>
      </c>
      <c r="BX65" s="24">
        <v>625367.79</v>
      </c>
      <c r="BY65" s="24">
        <v>507395.25</v>
      </c>
      <c r="BZ65" s="27">
        <v>625367.79</v>
      </c>
      <c r="CA65" s="24">
        <v>504253.16</v>
      </c>
      <c r="CB65" s="24">
        <v>625724.18999999994</v>
      </c>
      <c r="CC65" s="24">
        <v>513855.04</v>
      </c>
      <c r="CD65" s="24">
        <v>625724.18999999994</v>
      </c>
      <c r="CE65" s="24">
        <v>510640.34</v>
      </c>
      <c r="CF65" s="24">
        <v>625367.79</v>
      </c>
      <c r="CG65" s="24">
        <v>508460.54</v>
      </c>
      <c r="CH65" s="24">
        <v>625367.79</v>
      </c>
      <c r="CI65" s="24">
        <v>506866.1</v>
      </c>
      <c r="CJ65" s="24">
        <v>625367.79</v>
      </c>
      <c r="CK65" s="24">
        <v>516436.59</v>
      </c>
      <c r="CL65" s="24">
        <v>613186.79</v>
      </c>
      <c r="CM65" s="24">
        <v>18148.07</v>
      </c>
      <c r="CN65" s="24">
        <f t="shared" ref="CN65:CN89" si="47">SUM(CL65:CM65)</f>
        <v>631334.86</v>
      </c>
      <c r="CO65" s="24">
        <v>511081.01</v>
      </c>
      <c r="CP65" s="24">
        <v>613186.91</v>
      </c>
      <c r="CQ65" s="24">
        <v>18148.07</v>
      </c>
      <c r="CR65" s="24">
        <f t="shared" ref="CR65:CR89" si="48">SUM(CP65:CQ65)</f>
        <v>631334.98</v>
      </c>
      <c r="CS65" s="24">
        <v>517392.71</v>
      </c>
      <c r="CT65" s="24">
        <v>613186.91</v>
      </c>
      <c r="CU65" s="24">
        <v>18148.07</v>
      </c>
      <c r="CV65" s="24">
        <f t="shared" ref="CV65:CV89" si="49">SUM(CT65:CU65)</f>
        <v>631334.98</v>
      </c>
      <c r="CW65" s="24">
        <v>527018.97</v>
      </c>
      <c r="CX65" s="24">
        <v>613186.91</v>
      </c>
      <c r="CY65" s="24">
        <v>18148.07</v>
      </c>
      <c r="CZ65" s="24">
        <f t="shared" ref="CZ65:CZ89" si="50">SUM(CX65:CY65)</f>
        <v>631334.98</v>
      </c>
      <c r="DA65" s="27">
        <v>509979.58</v>
      </c>
      <c r="DB65" s="24">
        <v>613186.91</v>
      </c>
      <c r="DC65" s="24">
        <v>18148.07</v>
      </c>
      <c r="DD65" s="24">
        <f t="shared" ref="DD65:DD74" si="51">SUM(DB65:DC65)</f>
        <v>631334.98</v>
      </c>
      <c r="DE65" s="24">
        <v>525146.01</v>
      </c>
      <c r="DJ65" s="19" t="s">
        <v>412</v>
      </c>
      <c r="DK65" s="24">
        <v>785400</v>
      </c>
      <c r="DL65" s="24">
        <v>628830.44999999995</v>
      </c>
      <c r="DM65" s="24">
        <v>785400</v>
      </c>
      <c r="DN65" s="24">
        <v>631467.74</v>
      </c>
      <c r="DO65" s="24">
        <v>785400</v>
      </c>
      <c r="DP65" s="28">
        <v>630772.11</v>
      </c>
      <c r="DQ65" s="24">
        <v>785400</v>
      </c>
      <c r="DR65" s="24"/>
      <c r="DS65" s="25">
        <f t="shared" si="44"/>
        <v>80.06499236058059</v>
      </c>
      <c r="DT65" s="25">
        <f t="shared" si="45"/>
        <v>80.400781767252354</v>
      </c>
      <c r="DU65" s="25">
        <f t="shared" si="46"/>
        <v>80.31221161191749</v>
      </c>
      <c r="DV65" s="24"/>
      <c r="DW65" s="25"/>
    </row>
    <row r="66" spans="1:127" s="13" customFormat="1" ht="15.95" customHeight="1" x14ac:dyDescent="0.2">
      <c r="A66" s="13" t="s">
        <v>143</v>
      </c>
      <c r="B66" s="26" t="s">
        <v>144</v>
      </c>
      <c r="C66" s="13" t="s">
        <v>145</v>
      </c>
      <c r="D66" s="26" t="s">
        <v>146</v>
      </c>
      <c r="E66" s="13" t="s">
        <v>147</v>
      </c>
      <c r="G66" s="13" t="s">
        <v>148</v>
      </c>
      <c r="H66" s="26" t="s">
        <v>149</v>
      </c>
      <c r="I66" s="13" t="s">
        <v>406</v>
      </c>
      <c r="J66" s="26" t="s">
        <v>407</v>
      </c>
      <c r="K66" s="26" t="s">
        <v>408</v>
      </c>
      <c r="L66" s="13" t="s">
        <v>409</v>
      </c>
      <c r="M66" s="14" t="s">
        <v>401</v>
      </c>
      <c r="N66" s="19">
        <v>151</v>
      </c>
      <c r="O66" s="19">
        <v>1</v>
      </c>
      <c r="Q66" s="14" t="s">
        <v>415</v>
      </c>
      <c r="R66" s="13" t="s">
        <v>416</v>
      </c>
      <c r="S66" s="13" t="s">
        <v>177</v>
      </c>
      <c r="T66" s="19" t="s">
        <v>417</v>
      </c>
      <c r="U66" s="13" t="s">
        <v>413</v>
      </c>
      <c r="V66" s="19"/>
      <c r="W66" s="19"/>
      <c r="X66" s="19"/>
      <c r="Y66" s="19"/>
      <c r="Z66" s="19"/>
      <c r="AA66" s="19"/>
      <c r="AB66" s="19" t="s">
        <v>165</v>
      </c>
      <c r="AC66" s="19"/>
      <c r="AD66" s="13" t="s">
        <v>414</v>
      </c>
      <c r="AG66" s="19"/>
      <c r="AI66" s="19"/>
      <c r="AJ66" s="20"/>
      <c r="AL66" s="19" t="s">
        <v>417</v>
      </c>
      <c r="AM66" s="24">
        <v>846600</v>
      </c>
      <c r="BI66" s="14" t="s">
        <v>401</v>
      </c>
      <c r="BJ66" s="13" t="s">
        <v>418</v>
      </c>
      <c r="BU66" s="19" t="s">
        <v>417</v>
      </c>
      <c r="BX66" s="24">
        <v>655358.06000000006</v>
      </c>
      <c r="BY66" s="24">
        <v>534097.52</v>
      </c>
      <c r="BZ66" s="27">
        <v>655358.06000000006</v>
      </c>
      <c r="CA66" s="24">
        <v>546100.93000000005</v>
      </c>
      <c r="CB66" s="24">
        <v>655358.06000000006</v>
      </c>
      <c r="CC66" s="24">
        <v>539253.53</v>
      </c>
      <c r="CD66" s="24">
        <v>655358.06000000006</v>
      </c>
      <c r="CE66" s="24">
        <v>544516.11</v>
      </c>
      <c r="CF66" s="24">
        <v>655358.06000000006</v>
      </c>
      <c r="CG66" s="24">
        <v>550873.92000000004</v>
      </c>
      <c r="CH66" s="24">
        <v>655358.06000000006</v>
      </c>
      <c r="CI66" s="24">
        <v>544635.01</v>
      </c>
      <c r="CJ66" s="24">
        <v>655358.06000000006</v>
      </c>
      <c r="CK66" s="24">
        <v>564316.16000000003</v>
      </c>
      <c r="CL66" s="24">
        <v>589604.06000000006</v>
      </c>
      <c r="CM66" s="24">
        <v>98929.58</v>
      </c>
      <c r="CN66" s="24">
        <f t="shared" si="47"/>
        <v>688533.64</v>
      </c>
      <c r="CO66" s="24">
        <v>560715.1</v>
      </c>
      <c r="CP66" s="24">
        <v>589604.41</v>
      </c>
      <c r="CQ66" s="24">
        <v>98929.58</v>
      </c>
      <c r="CR66" s="24">
        <f t="shared" si="48"/>
        <v>688533.99</v>
      </c>
      <c r="CS66" s="24">
        <v>598770.31999999995</v>
      </c>
      <c r="CT66" s="24">
        <v>589604.41</v>
      </c>
      <c r="CU66" s="24">
        <v>98929.58</v>
      </c>
      <c r="CV66" s="24">
        <f t="shared" si="49"/>
        <v>688533.99</v>
      </c>
      <c r="CW66" s="24">
        <v>606094.38</v>
      </c>
      <c r="CX66" s="24">
        <v>589604.41</v>
      </c>
      <c r="CY66" s="24">
        <v>98929.58</v>
      </c>
      <c r="CZ66" s="24">
        <f t="shared" si="50"/>
        <v>688533.99</v>
      </c>
      <c r="DA66" s="27">
        <v>642491.87</v>
      </c>
      <c r="DB66" s="24">
        <v>589604.41</v>
      </c>
      <c r="DC66" s="24">
        <v>98929.58</v>
      </c>
      <c r="DD66" s="24">
        <f t="shared" si="51"/>
        <v>688533.99</v>
      </c>
      <c r="DE66" s="24">
        <v>699110.34</v>
      </c>
      <c r="DJ66" s="19" t="s">
        <v>417</v>
      </c>
      <c r="DK66" s="24">
        <v>846600</v>
      </c>
      <c r="DL66" s="24">
        <v>690452.17</v>
      </c>
      <c r="DM66" s="24">
        <v>846600</v>
      </c>
      <c r="DN66" s="24">
        <v>695418.39</v>
      </c>
      <c r="DO66" s="24">
        <v>846600</v>
      </c>
      <c r="DP66" s="28">
        <v>696733.53</v>
      </c>
      <c r="DQ66" s="24">
        <v>846600</v>
      </c>
      <c r="DR66" s="24"/>
      <c r="DS66" s="25">
        <f t="shared" si="44"/>
        <v>81.555890621308762</v>
      </c>
      <c r="DT66" s="25">
        <f t="shared" si="45"/>
        <v>82.142498228206946</v>
      </c>
      <c r="DU66" s="25">
        <f t="shared" si="46"/>
        <v>82.297841956059543</v>
      </c>
      <c r="DV66" s="24"/>
      <c r="DW66" s="25"/>
    </row>
    <row r="67" spans="1:127" s="13" customFormat="1" ht="15.95" customHeight="1" x14ac:dyDescent="0.2">
      <c r="A67" s="13" t="s">
        <v>143</v>
      </c>
      <c r="B67" s="26" t="s">
        <v>144</v>
      </c>
      <c r="C67" s="13" t="s">
        <v>145</v>
      </c>
      <c r="D67" s="26" t="s">
        <v>146</v>
      </c>
      <c r="E67" s="13" t="s">
        <v>147</v>
      </c>
      <c r="G67" s="13" t="s">
        <v>148</v>
      </c>
      <c r="H67" s="26" t="s">
        <v>149</v>
      </c>
      <c r="I67" s="13" t="s">
        <v>406</v>
      </c>
      <c r="J67" s="26" t="s">
        <v>407</v>
      </c>
      <c r="K67" s="26" t="s">
        <v>408</v>
      </c>
      <c r="L67" s="13" t="s">
        <v>409</v>
      </c>
      <c r="M67" s="14" t="s">
        <v>401</v>
      </c>
      <c r="N67" s="19">
        <v>151</v>
      </c>
      <c r="O67" s="19">
        <v>1</v>
      </c>
      <c r="Q67" s="14" t="s">
        <v>419</v>
      </c>
      <c r="R67" s="13" t="s">
        <v>420</v>
      </c>
      <c r="S67" s="13" t="s">
        <v>177</v>
      </c>
      <c r="T67" s="19" t="s">
        <v>421</v>
      </c>
      <c r="U67" s="13" t="s">
        <v>422</v>
      </c>
      <c r="V67" s="19"/>
      <c r="W67" s="19"/>
      <c r="X67" s="19"/>
      <c r="Y67" s="19"/>
      <c r="Z67" s="19"/>
      <c r="AA67" s="19"/>
      <c r="AB67" s="19" t="s">
        <v>159</v>
      </c>
      <c r="AC67" s="19"/>
      <c r="AD67" s="13" t="s">
        <v>414</v>
      </c>
      <c r="AE67" s="13" t="s">
        <v>70</v>
      </c>
      <c r="AG67" s="19"/>
      <c r="AI67" s="19"/>
      <c r="AJ67" s="20"/>
      <c r="AL67" s="19" t="s">
        <v>421</v>
      </c>
      <c r="AM67" s="24">
        <v>765000</v>
      </c>
      <c r="BU67" s="19" t="s">
        <v>421</v>
      </c>
      <c r="BX67" s="24">
        <v>599218.41</v>
      </c>
      <c r="BY67" s="24">
        <v>433289.48</v>
      </c>
      <c r="BZ67" s="27">
        <v>599218.41</v>
      </c>
      <c r="CA67" s="24">
        <v>483778.66</v>
      </c>
      <c r="CB67" s="24">
        <v>599574.81000000006</v>
      </c>
      <c r="CC67" s="24">
        <v>487881.35</v>
      </c>
      <c r="CD67" s="24">
        <v>599574.81000000006</v>
      </c>
      <c r="CE67" s="24">
        <v>483103.61</v>
      </c>
      <c r="CF67" s="24">
        <v>599218.41</v>
      </c>
      <c r="CG67" s="24">
        <v>492567.55</v>
      </c>
      <c r="CH67" s="24">
        <v>599218.41</v>
      </c>
      <c r="CI67" s="24">
        <v>486310.62</v>
      </c>
      <c r="CJ67" s="24">
        <v>599218.41</v>
      </c>
      <c r="CK67" s="24">
        <v>427677.78</v>
      </c>
      <c r="CL67" s="24">
        <v>588416.41</v>
      </c>
      <c r="CM67" s="24">
        <v>16119.61</v>
      </c>
      <c r="CN67" s="24">
        <f t="shared" si="47"/>
        <v>604536.02</v>
      </c>
      <c r="CO67" s="24">
        <v>495012.98</v>
      </c>
      <c r="CP67" s="24">
        <v>588416.62</v>
      </c>
      <c r="CQ67" s="24">
        <v>16119.61</v>
      </c>
      <c r="CR67" s="24">
        <f t="shared" si="48"/>
        <v>604536.23</v>
      </c>
      <c r="CS67" s="24">
        <v>487299.22</v>
      </c>
      <c r="CT67" s="24">
        <v>588416.62</v>
      </c>
      <c r="CU67" s="24">
        <v>16119.61</v>
      </c>
      <c r="CV67" s="24">
        <f t="shared" si="49"/>
        <v>604536.23</v>
      </c>
      <c r="CW67" s="24">
        <v>497515.38</v>
      </c>
      <c r="CX67" s="24">
        <v>588416.62</v>
      </c>
      <c r="CY67" s="24">
        <v>16119.61</v>
      </c>
      <c r="CZ67" s="24">
        <f t="shared" si="50"/>
        <v>604536.23</v>
      </c>
      <c r="DA67" s="27">
        <v>502221.19</v>
      </c>
      <c r="DB67" s="24">
        <v>588416.62</v>
      </c>
      <c r="DC67" s="24">
        <v>16119.61</v>
      </c>
      <c r="DD67" s="24">
        <f t="shared" si="51"/>
        <v>604536.23</v>
      </c>
      <c r="DE67" s="24">
        <v>502738.34</v>
      </c>
      <c r="DJ67" s="19" t="s">
        <v>421</v>
      </c>
      <c r="DK67" s="24">
        <v>765000</v>
      </c>
      <c r="DL67" s="24">
        <v>618105.43000000005</v>
      </c>
      <c r="DM67" s="24">
        <v>765000</v>
      </c>
      <c r="DN67" s="24">
        <v>614569.93000000005</v>
      </c>
      <c r="DO67" s="24">
        <v>765000</v>
      </c>
      <c r="DP67" s="28">
        <v>619208.56999999995</v>
      </c>
      <c r="DQ67" s="24">
        <v>765000</v>
      </c>
      <c r="DR67" s="24"/>
      <c r="DS67" s="25">
        <f t="shared" si="44"/>
        <v>80.798095424836617</v>
      </c>
      <c r="DT67" s="25">
        <f t="shared" si="45"/>
        <v>80.335938562091513</v>
      </c>
      <c r="DU67" s="25">
        <f t="shared" si="46"/>
        <v>80.942296732026136</v>
      </c>
      <c r="DV67" s="24"/>
      <c r="DW67" s="25"/>
    </row>
    <row r="68" spans="1:127" s="13" customFormat="1" ht="15.95" customHeight="1" x14ac:dyDescent="0.2">
      <c r="A68" s="13" t="s">
        <v>143</v>
      </c>
      <c r="B68" s="26" t="s">
        <v>144</v>
      </c>
      <c r="C68" s="13" t="s">
        <v>145</v>
      </c>
      <c r="D68" s="26" t="s">
        <v>146</v>
      </c>
      <c r="E68" s="13" t="s">
        <v>147</v>
      </c>
      <c r="G68" s="13" t="s">
        <v>148</v>
      </c>
      <c r="H68" s="26" t="s">
        <v>149</v>
      </c>
      <c r="I68" s="13" t="s">
        <v>406</v>
      </c>
      <c r="J68" s="26" t="s">
        <v>407</v>
      </c>
      <c r="K68" s="26" t="s">
        <v>408</v>
      </c>
      <c r="L68" s="13" t="s">
        <v>409</v>
      </c>
      <c r="M68" s="14" t="s">
        <v>401</v>
      </c>
      <c r="N68" s="19">
        <v>151</v>
      </c>
      <c r="O68" s="19">
        <v>1</v>
      </c>
      <c r="Q68" s="14" t="s">
        <v>423</v>
      </c>
      <c r="R68" s="13" t="s">
        <v>424</v>
      </c>
      <c r="S68" s="13" t="s">
        <v>156</v>
      </c>
      <c r="T68" s="19" t="s">
        <v>425</v>
      </c>
      <c r="U68" s="13" t="s">
        <v>422</v>
      </c>
      <c r="V68" s="19"/>
      <c r="W68" s="19"/>
      <c r="X68" s="19"/>
      <c r="Y68" s="19"/>
      <c r="Z68" s="19"/>
      <c r="AA68" s="19"/>
      <c r="AB68" s="19" t="s">
        <v>165</v>
      </c>
      <c r="AC68" s="19"/>
      <c r="AD68" s="13" t="s">
        <v>414</v>
      </c>
      <c r="AE68" s="13" t="s">
        <v>70</v>
      </c>
      <c r="AG68" s="19"/>
      <c r="AI68" s="19"/>
      <c r="AJ68" s="20"/>
      <c r="AL68" s="19" t="s">
        <v>425</v>
      </c>
      <c r="AM68" s="24">
        <v>817020</v>
      </c>
      <c r="BU68" s="19" t="s">
        <v>425</v>
      </c>
      <c r="BX68" s="24">
        <v>624943.52</v>
      </c>
      <c r="BY68" s="24">
        <v>515572.64999999997</v>
      </c>
      <c r="BZ68" s="27">
        <v>624943.52</v>
      </c>
      <c r="CA68" s="24">
        <v>515122.41</v>
      </c>
      <c r="CB68" s="24">
        <v>624943.52</v>
      </c>
      <c r="CC68" s="24">
        <v>518263.31</v>
      </c>
      <c r="CD68" s="24">
        <v>624943.52</v>
      </c>
      <c r="CE68" s="24">
        <v>510856.46</v>
      </c>
      <c r="CF68" s="24">
        <v>624943.52</v>
      </c>
      <c r="CG68" s="24">
        <v>522404.32</v>
      </c>
      <c r="CH68" s="24">
        <v>624943.52</v>
      </c>
      <c r="CI68" s="24">
        <v>516696.7</v>
      </c>
      <c r="CJ68" s="24">
        <v>624943.52</v>
      </c>
      <c r="CK68" s="24">
        <v>520020.82</v>
      </c>
      <c r="CL68" s="24">
        <v>564488.52</v>
      </c>
      <c r="CM68" s="24">
        <v>90665.46</v>
      </c>
      <c r="CN68" s="24">
        <f t="shared" si="47"/>
        <v>655153.98</v>
      </c>
      <c r="CO68" s="24">
        <v>533235.32999999996</v>
      </c>
      <c r="CP68" s="24">
        <v>564488.67000000004</v>
      </c>
      <c r="CQ68" s="24">
        <v>90665.46</v>
      </c>
      <c r="CR68" s="24">
        <f t="shared" si="48"/>
        <v>655154.13</v>
      </c>
      <c r="CS68" s="24">
        <v>530040</v>
      </c>
      <c r="CT68" s="24">
        <v>564488.67000000004</v>
      </c>
      <c r="CU68" s="24">
        <v>90665.46</v>
      </c>
      <c r="CV68" s="24">
        <f t="shared" si="49"/>
        <v>655154.13</v>
      </c>
      <c r="CW68" s="24">
        <v>540894.39</v>
      </c>
      <c r="CX68" s="24">
        <v>564488.67000000004</v>
      </c>
      <c r="CY68" s="24">
        <v>90665.46</v>
      </c>
      <c r="CZ68" s="24">
        <f t="shared" si="50"/>
        <v>655154.13</v>
      </c>
      <c r="DA68" s="27">
        <v>563667.31999999995</v>
      </c>
      <c r="DB68" s="24">
        <v>564488.67000000004</v>
      </c>
      <c r="DC68" s="24">
        <v>90665.46</v>
      </c>
      <c r="DD68" s="24">
        <f t="shared" si="51"/>
        <v>655154.13</v>
      </c>
      <c r="DE68" s="24">
        <v>594969.31999999995</v>
      </c>
      <c r="DJ68" s="19" t="s">
        <v>425</v>
      </c>
      <c r="DK68" s="24">
        <v>817020</v>
      </c>
      <c r="DL68" s="24">
        <v>669205.75</v>
      </c>
      <c r="DM68" s="24">
        <v>817020</v>
      </c>
      <c r="DN68" s="24">
        <v>658076.55000000005</v>
      </c>
      <c r="DO68" s="24">
        <v>817020</v>
      </c>
      <c r="DP68" s="28">
        <v>673177.2</v>
      </c>
      <c r="DQ68" s="24">
        <v>817020</v>
      </c>
      <c r="DR68" s="24"/>
      <c r="DS68" s="25">
        <f t="shared" si="44"/>
        <v>81.908123424151185</v>
      </c>
      <c r="DT68" s="25">
        <f t="shared" si="45"/>
        <v>80.545953587427491</v>
      </c>
      <c r="DU68" s="25">
        <f t="shared" si="46"/>
        <v>82.394213115957996</v>
      </c>
      <c r="DV68" s="24"/>
      <c r="DW68" s="25"/>
    </row>
    <row r="69" spans="1:127" s="13" customFormat="1" ht="15.95" customHeight="1" x14ac:dyDescent="0.2">
      <c r="A69" s="13" t="s">
        <v>143</v>
      </c>
      <c r="B69" s="26" t="s">
        <v>144</v>
      </c>
      <c r="C69" s="13" t="s">
        <v>145</v>
      </c>
      <c r="D69" s="26" t="s">
        <v>146</v>
      </c>
      <c r="E69" s="13" t="s">
        <v>147</v>
      </c>
      <c r="G69" s="13" t="s">
        <v>148</v>
      </c>
      <c r="H69" s="26" t="s">
        <v>149</v>
      </c>
      <c r="I69" s="13" t="s">
        <v>406</v>
      </c>
      <c r="J69" s="26" t="s">
        <v>407</v>
      </c>
      <c r="K69" s="26" t="s">
        <v>408</v>
      </c>
      <c r="L69" s="13" t="s">
        <v>409</v>
      </c>
      <c r="M69" s="14" t="s">
        <v>401</v>
      </c>
      <c r="N69" s="19">
        <v>151</v>
      </c>
      <c r="O69" s="19">
        <v>1</v>
      </c>
      <c r="Q69" s="14" t="s">
        <v>426</v>
      </c>
      <c r="R69" s="13" t="s">
        <v>325</v>
      </c>
      <c r="S69" s="13" t="s">
        <v>163</v>
      </c>
      <c r="T69" s="19" t="s">
        <v>427</v>
      </c>
      <c r="U69" s="13" t="s">
        <v>428</v>
      </c>
      <c r="V69" s="19"/>
      <c r="W69" s="19"/>
      <c r="X69" s="19"/>
      <c r="Y69" s="19"/>
      <c r="Z69" s="19"/>
      <c r="AA69" s="19"/>
      <c r="AB69" s="19" t="s">
        <v>159</v>
      </c>
      <c r="AC69" s="19"/>
      <c r="AD69" s="13" t="s">
        <v>414</v>
      </c>
      <c r="AG69" s="19"/>
      <c r="AI69" s="19"/>
      <c r="AJ69" s="20"/>
      <c r="AL69" s="19" t="s">
        <v>427</v>
      </c>
      <c r="AM69" s="24">
        <v>785400</v>
      </c>
      <c r="BU69" s="19" t="s">
        <v>427</v>
      </c>
      <c r="BX69" s="24">
        <v>636839.72</v>
      </c>
      <c r="BY69" s="24">
        <v>531368.26</v>
      </c>
      <c r="BZ69" s="27">
        <v>636839.72</v>
      </c>
      <c r="CA69" s="24">
        <v>622394.29</v>
      </c>
      <c r="CB69" s="24">
        <v>637196.12</v>
      </c>
      <c r="CC69" s="24">
        <v>520203.35</v>
      </c>
      <c r="CD69" s="24">
        <v>637196.12</v>
      </c>
      <c r="CE69" s="24">
        <v>517333.55</v>
      </c>
      <c r="CF69" s="24">
        <v>636839.72</v>
      </c>
      <c r="CG69" s="24">
        <v>545778.21</v>
      </c>
      <c r="CH69" s="24">
        <v>636839.72</v>
      </c>
      <c r="CI69" s="24">
        <v>512525.17</v>
      </c>
      <c r="CJ69" s="24">
        <v>636839.72</v>
      </c>
      <c r="CK69" s="24">
        <v>524644.57999999996</v>
      </c>
      <c r="CL69" s="24">
        <v>626544.72</v>
      </c>
      <c r="CM69" s="24">
        <v>15255.11</v>
      </c>
      <c r="CN69" s="24">
        <f t="shared" si="47"/>
        <v>641799.82999999996</v>
      </c>
      <c r="CO69" s="24">
        <v>542119.66</v>
      </c>
      <c r="CP69" s="24">
        <v>626544.71</v>
      </c>
      <c r="CQ69" s="24">
        <v>15255.11</v>
      </c>
      <c r="CR69" s="24">
        <f t="shared" si="48"/>
        <v>641799.81999999995</v>
      </c>
      <c r="CS69" s="24">
        <v>546568.46</v>
      </c>
      <c r="CT69" s="24">
        <v>626544.71</v>
      </c>
      <c r="CU69" s="24">
        <v>15255.11</v>
      </c>
      <c r="CV69" s="24">
        <f t="shared" si="49"/>
        <v>641799.81999999995</v>
      </c>
      <c r="CW69" s="24">
        <v>549379.81000000006</v>
      </c>
      <c r="CX69" s="24">
        <v>626544.71</v>
      </c>
      <c r="CY69" s="24">
        <v>15255.11</v>
      </c>
      <c r="CZ69" s="24">
        <f t="shared" si="50"/>
        <v>641799.81999999995</v>
      </c>
      <c r="DA69" s="27">
        <v>521694.16</v>
      </c>
      <c r="DB69" s="24">
        <v>626544.71</v>
      </c>
      <c r="DC69" s="24">
        <v>15255.11</v>
      </c>
      <c r="DD69" s="24">
        <f t="shared" si="51"/>
        <v>641799.81999999995</v>
      </c>
      <c r="DE69" s="24">
        <v>527764.82999999996</v>
      </c>
      <c r="DJ69" s="19" t="s">
        <v>427</v>
      </c>
      <c r="DK69" s="24">
        <v>785400</v>
      </c>
      <c r="DL69" s="24">
        <v>567812.63</v>
      </c>
      <c r="DM69" s="24">
        <v>785400</v>
      </c>
      <c r="DN69" s="24">
        <v>640774.01</v>
      </c>
      <c r="DO69" s="24">
        <v>785400</v>
      </c>
      <c r="DP69" s="28">
        <v>636666.5</v>
      </c>
      <c r="DQ69" s="24">
        <v>785400</v>
      </c>
      <c r="DR69" s="24"/>
      <c r="DS69" s="25">
        <f t="shared" si="44"/>
        <v>72.295980392156864</v>
      </c>
      <c r="DT69" s="25">
        <f t="shared" si="45"/>
        <v>81.585690094219515</v>
      </c>
      <c r="DU69" s="25">
        <f t="shared" si="46"/>
        <v>81.062706900942189</v>
      </c>
      <c r="DV69" s="24"/>
      <c r="DW69" s="25"/>
    </row>
    <row r="70" spans="1:127" s="13" customFormat="1" ht="15.95" customHeight="1" x14ac:dyDescent="0.2">
      <c r="A70" s="13" t="s">
        <v>143</v>
      </c>
      <c r="B70" s="26" t="s">
        <v>144</v>
      </c>
      <c r="C70" s="13" t="s">
        <v>145</v>
      </c>
      <c r="D70" s="26" t="s">
        <v>146</v>
      </c>
      <c r="E70" s="13" t="s">
        <v>147</v>
      </c>
      <c r="G70" s="13" t="s">
        <v>148</v>
      </c>
      <c r="H70" s="26" t="s">
        <v>149</v>
      </c>
      <c r="I70" s="13" t="s">
        <v>406</v>
      </c>
      <c r="J70" s="26" t="s">
        <v>407</v>
      </c>
      <c r="K70" s="26" t="s">
        <v>408</v>
      </c>
      <c r="L70" s="13" t="s">
        <v>409</v>
      </c>
      <c r="M70" s="14" t="s">
        <v>401</v>
      </c>
      <c r="N70" s="19">
        <v>151</v>
      </c>
      <c r="O70" s="19">
        <v>1</v>
      </c>
      <c r="Q70" s="14" t="s">
        <v>429</v>
      </c>
      <c r="R70" s="13" t="s">
        <v>430</v>
      </c>
      <c r="S70" s="13" t="s">
        <v>177</v>
      </c>
      <c r="T70" s="19" t="s">
        <v>431</v>
      </c>
      <c r="U70" s="13" t="s">
        <v>428</v>
      </c>
      <c r="V70" s="19"/>
      <c r="W70" s="19"/>
      <c r="X70" s="19"/>
      <c r="Y70" s="19"/>
      <c r="Z70" s="19"/>
      <c r="AA70" s="19"/>
      <c r="AB70" s="19" t="s">
        <v>165</v>
      </c>
      <c r="AC70" s="19"/>
      <c r="AD70" s="13" t="s">
        <v>414</v>
      </c>
      <c r="AG70" s="19"/>
      <c r="AI70" s="19"/>
      <c r="AJ70" s="20"/>
      <c r="AL70" s="19" t="s">
        <v>431</v>
      </c>
      <c r="AM70" s="24">
        <v>854760</v>
      </c>
      <c r="BS70" s="19" t="s">
        <v>432</v>
      </c>
      <c r="BT70" s="13" t="s">
        <v>433</v>
      </c>
      <c r="BU70" s="19" t="s">
        <v>431</v>
      </c>
      <c r="BX70" s="24">
        <v>656425.82999999996</v>
      </c>
      <c r="BY70" s="24">
        <v>658859.43000000005</v>
      </c>
      <c r="BZ70" s="27">
        <v>656425.82999999996</v>
      </c>
      <c r="CA70" s="24">
        <v>737199.9</v>
      </c>
      <c r="CB70" s="24">
        <v>656425.82999999996</v>
      </c>
      <c r="CC70" s="24">
        <v>603451.25</v>
      </c>
      <c r="CD70" s="24">
        <v>656425.82999999996</v>
      </c>
      <c r="CE70" s="24">
        <v>566892.31000000006</v>
      </c>
      <c r="CF70" s="24">
        <v>656425.82999999996</v>
      </c>
      <c r="CG70" s="24">
        <v>550273.43000000005</v>
      </c>
      <c r="CH70" s="24">
        <v>656425.82999999996</v>
      </c>
      <c r="CI70" s="24">
        <v>527435.06000000006</v>
      </c>
      <c r="CJ70" s="24">
        <v>656425.82999999996</v>
      </c>
      <c r="CK70" s="24">
        <v>556674.05000000005</v>
      </c>
      <c r="CL70" s="24">
        <v>600864.82999999996</v>
      </c>
      <c r="CM70" s="24">
        <v>83232.929999999993</v>
      </c>
      <c r="CN70" s="24">
        <f t="shared" si="47"/>
        <v>684097.76</v>
      </c>
      <c r="CO70" s="24">
        <v>572620.42000000004</v>
      </c>
      <c r="CP70" s="24">
        <v>600865.07999999996</v>
      </c>
      <c r="CQ70" s="24">
        <v>83232.929999999993</v>
      </c>
      <c r="CR70" s="24">
        <f t="shared" si="48"/>
        <v>684098.01</v>
      </c>
      <c r="CS70" s="24">
        <v>580523.76</v>
      </c>
      <c r="CT70" s="24">
        <v>600865.07999999996</v>
      </c>
      <c r="CU70" s="24">
        <v>83232.929999999993</v>
      </c>
      <c r="CV70" s="24">
        <f t="shared" si="49"/>
        <v>684098.01</v>
      </c>
      <c r="CW70" s="24">
        <v>627374.61</v>
      </c>
      <c r="CX70" s="24">
        <v>600865.07999999996</v>
      </c>
      <c r="CY70" s="24">
        <v>83232.929999999993</v>
      </c>
      <c r="CZ70" s="24">
        <f t="shared" si="50"/>
        <v>684098.01</v>
      </c>
      <c r="DA70" s="27">
        <v>647921.52</v>
      </c>
      <c r="DB70" s="24">
        <v>600865.07999999996</v>
      </c>
      <c r="DC70" s="24">
        <v>83232.929999999993</v>
      </c>
      <c r="DD70" s="24">
        <f t="shared" si="51"/>
        <v>684098.01</v>
      </c>
      <c r="DE70" s="24">
        <v>667022</v>
      </c>
      <c r="DJ70" s="19" t="s">
        <v>431</v>
      </c>
      <c r="DK70" s="24">
        <v>854760</v>
      </c>
      <c r="DL70" s="24">
        <v>731876.86</v>
      </c>
      <c r="DM70" s="24">
        <v>854760</v>
      </c>
      <c r="DN70" s="24">
        <v>708051.89</v>
      </c>
      <c r="DO70" s="24">
        <v>854760</v>
      </c>
      <c r="DP70" s="28">
        <v>694420.63</v>
      </c>
      <c r="DQ70" s="24">
        <v>854760</v>
      </c>
      <c r="DR70" s="24"/>
      <c r="DS70" s="25">
        <f t="shared" si="44"/>
        <v>85.623667462211614</v>
      </c>
      <c r="DT70" s="25">
        <f t="shared" si="45"/>
        <v>82.836338855351215</v>
      </c>
      <c r="DU70" s="25">
        <f t="shared" si="46"/>
        <v>81.241591791847995</v>
      </c>
      <c r="DV70" s="24"/>
      <c r="DW70" s="25"/>
    </row>
    <row r="71" spans="1:127" s="13" customFormat="1" ht="15.95" customHeight="1" x14ac:dyDescent="0.2">
      <c r="A71" s="13" t="s">
        <v>143</v>
      </c>
      <c r="B71" s="26" t="s">
        <v>144</v>
      </c>
      <c r="C71" s="13" t="s">
        <v>145</v>
      </c>
      <c r="D71" s="26" t="s">
        <v>146</v>
      </c>
      <c r="E71" s="13" t="s">
        <v>147</v>
      </c>
      <c r="G71" s="13" t="s">
        <v>148</v>
      </c>
      <c r="H71" s="26" t="s">
        <v>149</v>
      </c>
      <c r="I71" s="13" t="s">
        <v>406</v>
      </c>
      <c r="J71" s="26" t="s">
        <v>407</v>
      </c>
      <c r="K71" s="26" t="s">
        <v>408</v>
      </c>
      <c r="L71" s="13" t="s">
        <v>409</v>
      </c>
      <c r="M71" s="14" t="s">
        <v>401</v>
      </c>
      <c r="N71" s="19">
        <v>151</v>
      </c>
      <c r="O71" s="19">
        <v>1</v>
      </c>
      <c r="Q71" s="14" t="s">
        <v>434</v>
      </c>
      <c r="R71" s="13" t="s">
        <v>435</v>
      </c>
      <c r="S71" s="13" t="s">
        <v>177</v>
      </c>
      <c r="T71" s="19" t="s">
        <v>436</v>
      </c>
      <c r="U71" s="13" t="s">
        <v>437</v>
      </c>
      <c r="V71" s="19"/>
      <c r="W71" s="19"/>
      <c r="X71" s="19"/>
      <c r="Y71" s="19"/>
      <c r="Z71" s="19"/>
      <c r="AA71" s="19"/>
      <c r="AB71" s="19" t="s">
        <v>159</v>
      </c>
      <c r="AC71" s="19"/>
      <c r="AD71" s="13" t="s">
        <v>438</v>
      </c>
      <c r="AG71" s="19"/>
      <c r="AI71" s="19"/>
      <c r="AJ71" s="20"/>
      <c r="AL71" s="19" t="s">
        <v>436</v>
      </c>
      <c r="AM71" s="24">
        <v>734400</v>
      </c>
      <c r="BO71" s="13" t="s">
        <v>439</v>
      </c>
      <c r="BP71" s="13" t="s">
        <v>440</v>
      </c>
      <c r="BU71" s="19" t="s">
        <v>436</v>
      </c>
      <c r="BX71" s="24">
        <v>642124.69999999995</v>
      </c>
      <c r="BY71" s="24">
        <v>525453.19000000006</v>
      </c>
      <c r="BZ71" s="27">
        <v>642124.69999999995</v>
      </c>
      <c r="CA71" s="24">
        <v>520523.91</v>
      </c>
      <c r="CB71" s="24">
        <v>642481.1</v>
      </c>
      <c r="CC71" s="24">
        <v>439463.97</v>
      </c>
      <c r="CD71" s="24">
        <v>642481.1</v>
      </c>
      <c r="CE71" s="24">
        <v>517936.62</v>
      </c>
      <c r="CF71" s="24">
        <v>642124.69999999995</v>
      </c>
      <c r="CG71" s="24">
        <v>501542.03</v>
      </c>
      <c r="CH71" s="24">
        <v>642124.69999999995</v>
      </c>
      <c r="CI71" s="24">
        <v>502685.31</v>
      </c>
      <c r="CJ71" s="24">
        <v>642124.69999999995</v>
      </c>
      <c r="CK71" s="24">
        <v>466074.56</v>
      </c>
      <c r="CL71" s="24">
        <v>629307.69999999995</v>
      </c>
      <c r="CM71" s="24">
        <v>18959.78</v>
      </c>
      <c r="CN71" s="24">
        <f t="shared" si="47"/>
        <v>648267.48</v>
      </c>
      <c r="CO71" s="24">
        <v>522200.04</v>
      </c>
      <c r="CP71" s="24">
        <v>629308.18999999994</v>
      </c>
      <c r="CQ71" s="24">
        <v>18959.78</v>
      </c>
      <c r="CR71" s="24">
        <f t="shared" si="48"/>
        <v>648267.97</v>
      </c>
      <c r="CS71" s="24">
        <v>524348.41</v>
      </c>
      <c r="CT71" s="24">
        <v>629308.18999999994</v>
      </c>
      <c r="CU71" s="24">
        <v>18959.78</v>
      </c>
      <c r="CV71" s="24">
        <f t="shared" si="49"/>
        <v>648267.97</v>
      </c>
      <c r="CW71" s="24">
        <v>529189.18000000005</v>
      </c>
      <c r="CX71" s="24">
        <v>629308.18999999994</v>
      </c>
      <c r="CY71" s="24">
        <v>18959.78</v>
      </c>
      <c r="CZ71" s="24">
        <f t="shared" si="50"/>
        <v>648267.97</v>
      </c>
      <c r="DA71" s="27">
        <v>537975.93999999994</v>
      </c>
      <c r="DB71" s="24">
        <v>629308.18999999994</v>
      </c>
      <c r="DC71" s="24">
        <v>18959.78</v>
      </c>
      <c r="DD71" s="24">
        <f t="shared" si="51"/>
        <v>648267.97</v>
      </c>
      <c r="DE71" s="24">
        <v>519792.44</v>
      </c>
      <c r="DJ71" s="19" t="s">
        <v>436</v>
      </c>
      <c r="DK71" s="24">
        <v>734400</v>
      </c>
      <c r="DL71" s="24">
        <v>565759.15</v>
      </c>
      <c r="DM71" s="24">
        <v>734400</v>
      </c>
      <c r="DN71" s="24">
        <v>588142.65</v>
      </c>
      <c r="DO71" s="24">
        <v>734400</v>
      </c>
      <c r="DP71" s="28">
        <v>561628.32999999996</v>
      </c>
      <c r="DQ71" s="24">
        <v>734400</v>
      </c>
      <c r="DR71" s="24"/>
      <c r="DS71" s="25">
        <f t="shared" si="44"/>
        <v>77.036921296296299</v>
      </c>
      <c r="DT71" s="25">
        <f t="shared" si="45"/>
        <v>80.08478349673203</v>
      </c>
      <c r="DU71" s="25">
        <f t="shared" si="46"/>
        <v>76.474445806100206</v>
      </c>
      <c r="DV71" s="24"/>
      <c r="DW71" s="25"/>
    </row>
    <row r="72" spans="1:127" s="13" customFormat="1" ht="15.95" customHeight="1" x14ac:dyDescent="0.2">
      <c r="A72" s="13" t="s">
        <v>143</v>
      </c>
      <c r="B72" s="26" t="s">
        <v>144</v>
      </c>
      <c r="C72" s="13" t="s">
        <v>145</v>
      </c>
      <c r="D72" s="26" t="s">
        <v>146</v>
      </c>
      <c r="E72" s="13" t="s">
        <v>147</v>
      </c>
      <c r="G72" s="13" t="s">
        <v>148</v>
      </c>
      <c r="H72" s="26" t="s">
        <v>149</v>
      </c>
      <c r="I72" s="13" t="s">
        <v>406</v>
      </c>
      <c r="J72" s="26" t="s">
        <v>407</v>
      </c>
      <c r="K72" s="26" t="s">
        <v>408</v>
      </c>
      <c r="L72" s="13" t="s">
        <v>409</v>
      </c>
      <c r="M72" s="14" t="s">
        <v>401</v>
      </c>
      <c r="N72" s="19">
        <v>151</v>
      </c>
      <c r="O72" s="19">
        <v>1</v>
      </c>
      <c r="Q72" s="14" t="s">
        <v>441</v>
      </c>
      <c r="R72" s="13" t="s">
        <v>442</v>
      </c>
      <c r="S72" s="13" t="s">
        <v>156</v>
      </c>
      <c r="T72" s="19" t="s">
        <v>443</v>
      </c>
      <c r="U72" s="13" t="s">
        <v>437</v>
      </c>
      <c r="V72" s="19"/>
      <c r="W72" s="19"/>
      <c r="X72" s="19"/>
      <c r="Y72" s="19"/>
      <c r="Z72" s="19"/>
      <c r="AA72" s="19"/>
      <c r="AB72" s="19" t="s">
        <v>165</v>
      </c>
      <c r="AC72" s="19"/>
      <c r="AD72" s="13" t="s">
        <v>438</v>
      </c>
      <c r="AG72" s="19"/>
      <c r="AI72" s="19"/>
      <c r="AJ72" s="20"/>
      <c r="AL72" s="19" t="s">
        <v>443</v>
      </c>
      <c r="AM72" s="24">
        <v>775200</v>
      </c>
      <c r="BU72" s="19" t="s">
        <v>443</v>
      </c>
      <c r="BX72" s="24">
        <v>663880.30000000005</v>
      </c>
      <c r="BY72" s="24">
        <v>542365.1</v>
      </c>
      <c r="BZ72" s="27">
        <v>663880.30000000005</v>
      </c>
      <c r="CA72" s="24">
        <v>555284.72</v>
      </c>
      <c r="CB72" s="24">
        <v>663880.30000000005</v>
      </c>
      <c r="CC72" s="24">
        <v>560981.11</v>
      </c>
      <c r="CD72" s="24">
        <v>663880.30000000005</v>
      </c>
      <c r="CE72" s="24">
        <v>543227.14</v>
      </c>
      <c r="CF72" s="24">
        <v>663880.30000000005</v>
      </c>
      <c r="CG72" s="24">
        <v>542283.46</v>
      </c>
      <c r="CH72" s="24">
        <v>663880.30000000005</v>
      </c>
      <c r="CI72" s="24">
        <v>524716.88</v>
      </c>
      <c r="CJ72" s="24">
        <v>663880.30000000005</v>
      </c>
      <c r="CK72" s="24">
        <v>478626.97</v>
      </c>
      <c r="CL72" s="24">
        <v>625960.30000000005</v>
      </c>
      <c r="CM72" s="24">
        <v>57599.040000000001</v>
      </c>
      <c r="CN72" s="24">
        <f t="shared" si="47"/>
        <v>683559.34000000008</v>
      </c>
      <c r="CO72" s="24">
        <v>547389.02</v>
      </c>
      <c r="CP72" s="24">
        <v>625960.21000000008</v>
      </c>
      <c r="CQ72" s="24">
        <v>57599.040000000001</v>
      </c>
      <c r="CR72" s="24">
        <f t="shared" si="48"/>
        <v>683559.25000000012</v>
      </c>
      <c r="CS72" s="24">
        <v>577634</v>
      </c>
      <c r="CT72" s="24">
        <v>625960.21000000008</v>
      </c>
      <c r="CU72" s="24">
        <v>57599.040000000001</v>
      </c>
      <c r="CV72" s="24">
        <f t="shared" si="49"/>
        <v>683559.25000000012</v>
      </c>
      <c r="CW72" s="24">
        <v>484553.33</v>
      </c>
      <c r="CX72" s="24">
        <v>625960.21000000008</v>
      </c>
      <c r="CY72" s="24">
        <v>57599.040000000001</v>
      </c>
      <c r="CZ72" s="24">
        <f t="shared" si="50"/>
        <v>683559.25000000012</v>
      </c>
      <c r="DA72" s="27">
        <v>553684.17000000004</v>
      </c>
      <c r="DB72" s="24">
        <v>625960.21000000008</v>
      </c>
      <c r="DC72" s="24">
        <v>57599.040000000001</v>
      </c>
      <c r="DD72" s="24">
        <f t="shared" si="51"/>
        <v>683559.25000000012</v>
      </c>
      <c r="DE72" s="24">
        <v>546345.78</v>
      </c>
      <c r="DJ72" s="19" t="s">
        <v>443</v>
      </c>
      <c r="DK72" s="24">
        <v>775200</v>
      </c>
      <c r="DL72" s="24">
        <v>630493.65</v>
      </c>
      <c r="DM72" s="24">
        <v>775200</v>
      </c>
      <c r="DN72" s="24">
        <v>629899.04</v>
      </c>
      <c r="DO72" s="24">
        <v>775200</v>
      </c>
      <c r="DP72" s="28">
        <v>595398.80000000005</v>
      </c>
      <c r="DQ72" s="24">
        <v>775200</v>
      </c>
      <c r="DR72" s="24"/>
      <c r="DS72" s="25">
        <f t="shared" si="44"/>
        <v>81.333030185758517</v>
      </c>
      <c r="DT72" s="25">
        <f t="shared" si="45"/>
        <v>81.256326109391125</v>
      </c>
      <c r="DU72" s="25">
        <f t="shared" si="46"/>
        <v>76.805830753353973</v>
      </c>
      <c r="DV72" s="24"/>
      <c r="DW72" s="25"/>
    </row>
    <row r="73" spans="1:127" s="13" customFormat="1" ht="15.95" customHeight="1" x14ac:dyDescent="0.2">
      <c r="A73" s="13" t="s">
        <v>143</v>
      </c>
      <c r="B73" s="26" t="s">
        <v>144</v>
      </c>
      <c r="C73" s="13" t="s">
        <v>145</v>
      </c>
      <c r="D73" s="26" t="s">
        <v>146</v>
      </c>
      <c r="E73" s="13" t="s">
        <v>147</v>
      </c>
      <c r="G73" s="13" t="s">
        <v>148</v>
      </c>
      <c r="H73" s="26" t="s">
        <v>149</v>
      </c>
      <c r="I73" s="13" t="s">
        <v>406</v>
      </c>
      <c r="J73" s="26" t="s">
        <v>407</v>
      </c>
      <c r="K73" s="26" t="s">
        <v>408</v>
      </c>
      <c r="L73" s="13" t="s">
        <v>409</v>
      </c>
      <c r="M73" s="14" t="s">
        <v>401</v>
      </c>
      <c r="N73" s="19">
        <v>151</v>
      </c>
      <c r="O73" s="19">
        <v>1</v>
      </c>
      <c r="Q73" s="14" t="s">
        <v>444</v>
      </c>
      <c r="R73" s="13" t="s">
        <v>445</v>
      </c>
      <c r="S73" s="13" t="s">
        <v>177</v>
      </c>
      <c r="T73" s="19" t="s">
        <v>446</v>
      </c>
      <c r="U73" s="13" t="s">
        <v>447</v>
      </c>
      <c r="V73" s="19"/>
      <c r="W73" s="19"/>
      <c r="X73" s="19"/>
      <c r="Y73" s="19"/>
      <c r="Z73" s="19"/>
      <c r="AA73" s="19"/>
      <c r="AB73" s="19" t="s">
        <v>195</v>
      </c>
      <c r="AC73" s="19"/>
      <c r="AD73" s="13" t="s">
        <v>160</v>
      </c>
      <c r="AG73" s="19" t="s">
        <v>448</v>
      </c>
      <c r="AI73" s="19" t="s">
        <v>195</v>
      </c>
      <c r="AJ73" s="20"/>
      <c r="AL73" s="19" t="s">
        <v>446</v>
      </c>
      <c r="AM73" s="24">
        <v>418200</v>
      </c>
      <c r="AW73" s="19" t="s">
        <v>256</v>
      </c>
      <c r="AX73" s="13" t="s">
        <v>449</v>
      </c>
      <c r="BU73" s="19" t="s">
        <v>446</v>
      </c>
      <c r="BX73" s="24">
        <v>487688.88</v>
      </c>
      <c r="BY73" s="24">
        <v>401051.11</v>
      </c>
      <c r="BZ73" s="27">
        <v>487688.88</v>
      </c>
      <c r="CA73" s="24">
        <v>400938.64</v>
      </c>
      <c r="CB73" s="24">
        <v>487688.88</v>
      </c>
      <c r="CC73" s="24">
        <v>401988.39</v>
      </c>
      <c r="CD73" s="24">
        <v>487688.88</v>
      </c>
      <c r="CE73" s="24">
        <v>429693.66</v>
      </c>
      <c r="CF73" s="24">
        <v>487688.88</v>
      </c>
      <c r="CG73" s="24">
        <v>402799.37</v>
      </c>
      <c r="CH73" s="24">
        <v>487688.88</v>
      </c>
      <c r="CI73" s="24">
        <v>390354.88</v>
      </c>
      <c r="CJ73" s="24">
        <v>487688.88</v>
      </c>
      <c r="CK73" s="24">
        <v>418273.75</v>
      </c>
      <c r="CL73" s="24">
        <v>487688.88</v>
      </c>
      <c r="CM73" s="24">
        <v>0</v>
      </c>
      <c r="CN73" s="24">
        <f>SUM(CL73:CM73)</f>
        <v>487688.88</v>
      </c>
      <c r="CO73" s="24">
        <v>466257.81</v>
      </c>
      <c r="CP73" s="24">
        <v>487688.88</v>
      </c>
      <c r="CQ73" s="24">
        <v>0</v>
      </c>
      <c r="CR73" s="24">
        <f>SUM(CP73:CQ73)</f>
        <v>487688.88</v>
      </c>
      <c r="CS73" s="24">
        <v>463124.04</v>
      </c>
      <c r="CT73" s="24">
        <v>580000</v>
      </c>
      <c r="CU73" s="24">
        <v>0</v>
      </c>
      <c r="CV73" s="24">
        <f>SUM(CT73:CU73)</f>
        <v>580000</v>
      </c>
      <c r="CW73" s="24">
        <v>481525.29</v>
      </c>
      <c r="CX73" s="24">
        <v>580000</v>
      </c>
      <c r="CY73" s="24">
        <v>0</v>
      </c>
      <c r="CZ73" s="24">
        <f>SUM(CX73:CY73)</f>
        <v>580000</v>
      </c>
      <c r="DA73" s="27">
        <v>474171.29</v>
      </c>
      <c r="DB73" s="24">
        <v>580000</v>
      </c>
      <c r="DC73" s="24">
        <v>0</v>
      </c>
      <c r="DD73" s="24">
        <f>SUM(DB73:DC73)</f>
        <v>580000</v>
      </c>
      <c r="DE73" s="24">
        <v>474370.71</v>
      </c>
      <c r="DJ73" s="19" t="s">
        <v>446</v>
      </c>
      <c r="DK73" s="24">
        <v>418200</v>
      </c>
      <c r="DL73" s="24">
        <v>388514.63</v>
      </c>
      <c r="DM73" s="24">
        <v>418200</v>
      </c>
      <c r="DN73" s="24">
        <v>335435.68</v>
      </c>
      <c r="DO73" s="24">
        <v>418200</v>
      </c>
      <c r="DP73" s="28">
        <v>340751.46</v>
      </c>
      <c r="DQ73" s="24">
        <v>418200</v>
      </c>
      <c r="DR73" s="24"/>
      <c r="DS73" s="25">
        <f t="shared" si="44"/>
        <v>92.901633189861315</v>
      </c>
      <c r="DT73" s="25">
        <f t="shared" si="45"/>
        <v>80.209392635102816</v>
      </c>
      <c r="DU73" s="25">
        <f t="shared" si="46"/>
        <v>81.480502152080348</v>
      </c>
      <c r="DV73" s="24"/>
      <c r="DW73" s="25"/>
    </row>
    <row r="74" spans="1:127" s="13" customFormat="1" ht="15.95" customHeight="1" x14ac:dyDescent="0.2">
      <c r="A74" s="13" t="s">
        <v>143</v>
      </c>
      <c r="B74" s="26" t="s">
        <v>144</v>
      </c>
      <c r="C74" s="13" t="s">
        <v>145</v>
      </c>
      <c r="D74" s="26" t="s">
        <v>146</v>
      </c>
      <c r="E74" s="13" t="s">
        <v>147</v>
      </c>
      <c r="G74" s="13" t="s">
        <v>148</v>
      </c>
      <c r="H74" s="26" t="s">
        <v>149</v>
      </c>
      <c r="I74" s="13" t="s">
        <v>406</v>
      </c>
      <c r="J74" s="26" t="s">
        <v>407</v>
      </c>
      <c r="K74" s="26" t="s">
        <v>408</v>
      </c>
      <c r="L74" s="13" t="s">
        <v>409</v>
      </c>
      <c r="M74" s="14" t="s">
        <v>401</v>
      </c>
      <c r="N74" s="19">
        <v>151</v>
      </c>
      <c r="O74" s="19">
        <v>1</v>
      </c>
      <c r="Q74" s="14" t="s">
        <v>450</v>
      </c>
      <c r="R74" s="13" t="s">
        <v>451</v>
      </c>
      <c r="S74" s="13" t="s">
        <v>177</v>
      </c>
      <c r="T74" s="19" t="s">
        <v>452</v>
      </c>
      <c r="U74" s="13" t="s">
        <v>453</v>
      </c>
      <c r="V74" s="19" t="s">
        <v>454</v>
      </c>
      <c r="W74" s="19"/>
      <c r="X74" s="19"/>
      <c r="Y74" s="19"/>
      <c r="Z74" s="19"/>
      <c r="AA74" s="19"/>
      <c r="AB74" s="19" t="s">
        <v>170</v>
      </c>
      <c r="AC74" s="19"/>
      <c r="AD74" s="13" t="s">
        <v>414</v>
      </c>
      <c r="AG74" s="19"/>
      <c r="AI74" s="19"/>
      <c r="AJ74" s="20"/>
      <c r="AL74" s="19" t="s">
        <v>452</v>
      </c>
      <c r="AM74" s="24">
        <v>817020</v>
      </c>
      <c r="BU74" s="19" t="s">
        <v>452</v>
      </c>
      <c r="BX74" s="24">
        <v>616897.03</v>
      </c>
      <c r="BY74" s="24">
        <v>523848.5</v>
      </c>
      <c r="BZ74" s="27">
        <v>616897.03</v>
      </c>
      <c r="CA74" s="24">
        <v>518000.74</v>
      </c>
      <c r="CB74" s="24">
        <v>617253.43000000005</v>
      </c>
      <c r="CC74" s="24">
        <v>506920.42</v>
      </c>
      <c r="CD74" s="24">
        <v>617253.43000000005</v>
      </c>
      <c r="CE74" s="24">
        <v>499227.6</v>
      </c>
      <c r="CF74" s="24">
        <v>616897.03</v>
      </c>
      <c r="CG74" s="24">
        <v>516930.93</v>
      </c>
      <c r="CH74" s="24">
        <v>616897.03</v>
      </c>
      <c r="CI74" s="24">
        <v>505228.47</v>
      </c>
      <c r="CJ74" s="24">
        <v>616897.03</v>
      </c>
      <c r="CK74" s="24">
        <v>529541.6</v>
      </c>
      <c r="CL74" s="24">
        <v>592672.03</v>
      </c>
      <c r="CM74" s="24">
        <v>36243.19</v>
      </c>
      <c r="CN74" s="24">
        <f t="shared" si="47"/>
        <v>628915.22</v>
      </c>
      <c r="CO74" s="24">
        <v>511960.98</v>
      </c>
      <c r="CP74" s="24">
        <v>592672.33000000007</v>
      </c>
      <c r="CQ74" s="24">
        <v>36243.19</v>
      </c>
      <c r="CR74" s="24">
        <f t="shared" si="48"/>
        <v>628915.52</v>
      </c>
      <c r="CS74" s="24">
        <v>542369.26</v>
      </c>
      <c r="CT74" s="24">
        <v>592672.33000000007</v>
      </c>
      <c r="CU74" s="24">
        <v>36243.19</v>
      </c>
      <c r="CV74" s="24">
        <f t="shared" si="49"/>
        <v>628915.52</v>
      </c>
      <c r="CW74" s="24">
        <v>542970.81999999995</v>
      </c>
      <c r="CX74" s="24">
        <v>592672.33000000007</v>
      </c>
      <c r="CY74" s="24">
        <v>36243.19</v>
      </c>
      <c r="CZ74" s="24">
        <f t="shared" si="50"/>
        <v>628915.52</v>
      </c>
      <c r="DA74" s="27">
        <v>529971.5</v>
      </c>
      <c r="DB74" s="24">
        <v>592672.33000000007</v>
      </c>
      <c r="DC74" s="24">
        <v>36243.19</v>
      </c>
      <c r="DD74" s="24">
        <f t="shared" si="51"/>
        <v>628915.52</v>
      </c>
      <c r="DE74" s="24">
        <v>528991.79</v>
      </c>
      <c r="DJ74" s="19" t="s">
        <v>452</v>
      </c>
      <c r="DK74" s="24">
        <v>817020</v>
      </c>
      <c r="DL74" s="24">
        <v>657536.15</v>
      </c>
      <c r="DM74" s="24">
        <v>817020</v>
      </c>
      <c r="DN74" s="24">
        <v>667240.93999999994</v>
      </c>
      <c r="DO74" s="24">
        <v>817020</v>
      </c>
      <c r="DP74" s="28">
        <v>668889.17000000004</v>
      </c>
      <c r="DQ74" s="24">
        <v>817020</v>
      </c>
      <c r="DR74" s="24"/>
      <c r="DS74" s="25">
        <f t="shared" si="44"/>
        <v>80.479810775746003</v>
      </c>
      <c r="DT74" s="25">
        <f t="shared" si="45"/>
        <v>81.667638491101798</v>
      </c>
      <c r="DU74" s="25">
        <f t="shared" si="46"/>
        <v>81.869375290690556</v>
      </c>
      <c r="DV74" s="24"/>
      <c r="DW74" s="25"/>
    </row>
    <row r="75" spans="1:127" s="13" customFormat="1" ht="15.95" customHeight="1" x14ac:dyDescent="0.2">
      <c r="N75" s="19"/>
      <c r="O75" s="20"/>
      <c r="Q75" s="14"/>
      <c r="T75" s="19"/>
      <c r="V75" s="19"/>
      <c r="W75" s="19"/>
      <c r="X75" s="19"/>
      <c r="Y75" s="19"/>
      <c r="Z75" s="19"/>
      <c r="AA75" s="19"/>
      <c r="AB75" s="19"/>
      <c r="AC75" s="19"/>
      <c r="AG75" s="19"/>
      <c r="AI75" s="19"/>
      <c r="AJ75" s="20"/>
      <c r="AL75" s="19"/>
      <c r="BU75" s="19"/>
      <c r="BX75" s="24"/>
      <c r="BY75" s="24"/>
      <c r="BZ75" s="27"/>
      <c r="CA75" s="24"/>
      <c r="CB75" s="24"/>
      <c r="CC75" s="24"/>
      <c r="CD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7"/>
      <c r="DB75" s="24"/>
      <c r="DC75" s="24"/>
      <c r="DD75" s="24"/>
      <c r="DE75" s="24"/>
      <c r="DJ75" s="19"/>
      <c r="DK75" s="24"/>
      <c r="DL75" s="24"/>
      <c r="DM75" s="24"/>
      <c r="DN75" s="24"/>
      <c r="DO75" s="24"/>
      <c r="DP75" s="28"/>
      <c r="DR75" s="24"/>
      <c r="DS75" s="25" t="e">
        <f t="shared" si="44"/>
        <v>#DIV/0!</v>
      </c>
      <c r="DT75" s="25" t="e">
        <f t="shared" si="45"/>
        <v>#DIV/0!</v>
      </c>
      <c r="DU75" s="25" t="e">
        <f t="shared" si="46"/>
        <v>#DIV/0!</v>
      </c>
      <c r="DV75" s="24"/>
      <c r="DW75" s="24"/>
    </row>
    <row r="76" spans="1:127" s="13" customFormat="1" ht="15.95" customHeight="1" x14ac:dyDescent="0.2">
      <c r="N76" s="19"/>
      <c r="O76" s="20"/>
      <c r="P76" s="19">
        <v>11</v>
      </c>
      <c r="Q76" s="16" t="s">
        <v>455</v>
      </c>
      <c r="R76" s="17" t="s">
        <v>456</v>
      </c>
      <c r="S76" s="17" t="s">
        <v>457</v>
      </c>
      <c r="T76" s="18"/>
      <c r="U76" s="17" t="s">
        <v>458</v>
      </c>
      <c r="V76" s="19">
        <f>COUNTIF(V77:V138,"NC")</f>
        <v>0</v>
      </c>
      <c r="W76" s="19">
        <f>COUNTIF(W77:W138,"1")</f>
        <v>1</v>
      </c>
      <c r="X76" s="19">
        <f>COUNTIF($AB78:$AB138,"A")</f>
        <v>2</v>
      </c>
      <c r="Y76" s="19">
        <f>COUNTIF($AB78:$AB138,"B")</f>
        <v>2</v>
      </c>
      <c r="Z76" s="19">
        <f>COUNTIF($AB78:$AB138,"G")</f>
        <v>7</v>
      </c>
      <c r="AA76" s="19">
        <f>COUNTIF($AB78:$AB138,"C")</f>
        <v>1</v>
      </c>
      <c r="AB76" s="19">
        <f>SUM(X76:AA76)</f>
        <v>12</v>
      </c>
      <c r="AC76" s="18">
        <f>Y76+Z76</f>
        <v>9</v>
      </c>
      <c r="AG76" s="19">
        <v>1713491310</v>
      </c>
      <c r="AH76" s="13" t="s">
        <v>459</v>
      </c>
      <c r="AI76" s="19" t="s">
        <v>457</v>
      </c>
      <c r="AJ76" s="20"/>
      <c r="AL76" s="18"/>
      <c r="AM76" s="24">
        <f>AM77+AM91+AM103+AM117+AM128</f>
        <v>7625613.8399999999</v>
      </c>
      <c r="AN76" s="13">
        <v>36600488</v>
      </c>
      <c r="AO76" s="24">
        <f>AM76-AN76</f>
        <v>-28974874.16</v>
      </c>
      <c r="BU76" s="18"/>
      <c r="BV76" s="17"/>
      <c r="BX76" s="24">
        <f t="shared" ref="BX76:DE76" si="52">BX77+BX91+BX103+BX117+BX128</f>
        <v>6220792.6199999992</v>
      </c>
      <c r="BY76" s="24">
        <f t="shared" si="52"/>
        <v>4871139.0999999987</v>
      </c>
      <c r="BZ76" s="24">
        <f t="shared" si="52"/>
        <v>6220792.8399999999</v>
      </c>
      <c r="CA76" s="24">
        <f t="shared" si="52"/>
        <v>4805951.8500000006</v>
      </c>
      <c r="CB76" s="24">
        <f t="shared" si="52"/>
        <v>6229972.2199999988</v>
      </c>
      <c r="CC76" s="24">
        <f t="shared" si="52"/>
        <v>4553103.5199999996</v>
      </c>
      <c r="CD76" s="24">
        <f t="shared" si="52"/>
        <v>7141900.1199999992</v>
      </c>
      <c r="CE76" s="24">
        <f t="shared" si="52"/>
        <v>4358346.78</v>
      </c>
      <c r="CF76" s="24">
        <f t="shared" si="52"/>
        <v>6921792.8399999999</v>
      </c>
      <c r="CG76" s="24">
        <f t="shared" si="52"/>
        <v>4385273.2499999991</v>
      </c>
      <c r="CH76" s="24">
        <f t="shared" si="52"/>
        <v>6921792.8399999999</v>
      </c>
      <c r="CI76" s="24">
        <f t="shared" si="52"/>
        <v>3359272.66</v>
      </c>
      <c r="CJ76" s="24">
        <f t="shared" si="52"/>
        <v>7021812.3799999999</v>
      </c>
      <c r="CK76" s="24">
        <f t="shared" si="52"/>
        <v>4385046.78</v>
      </c>
      <c r="CL76" s="24">
        <f t="shared" si="52"/>
        <v>6780411.3799999999</v>
      </c>
      <c r="CM76" s="24">
        <f t="shared" si="52"/>
        <v>359556.15</v>
      </c>
      <c r="CN76" s="24">
        <f t="shared" si="52"/>
        <v>7139967.5300000003</v>
      </c>
      <c r="CO76" s="24">
        <f t="shared" si="52"/>
        <v>4615874.29</v>
      </c>
      <c r="CP76" s="24">
        <f t="shared" si="52"/>
        <v>6740410.96</v>
      </c>
      <c r="CQ76" s="24">
        <f t="shared" si="52"/>
        <v>359556.15</v>
      </c>
      <c r="CR76" s="24">
        <f t="shared" si="52"/>
        <v>7099967.1099999994</v>
      </c>
      <c r="CS76" s="24">
        <f t="shared" si="52"/>
        <v>4835747.8400000008</v>
      </c>
      <c r="CT76" s="24">
        <f t="shared" si="52"/>
        <v>6740410.96</v>
      </c>
      <c r="CU76" s="24">
        <f t="shared" si="52"/>
        <v>359556.15</v>
      </c>
      <c r="CV76" s="24">
        <f t="shared" si="52"/>
        <v>7099967.1099999994</v>
      </c>
      <c r="CW76" s="24">
        <f t="shared" si="52"/>
        <v>4900660.67</v>
      </c>
      <c r="CX76" s="24">
        <f t="shared" si="52"/>
        <v>6740412.6200000001</v>
      </c>
      <c r="CY76" s="24">
        <f t="shared" si="52"/>
        <v>359555.53</v>
      </c>
      <c r="CZ76" s="24">
        <f t="shared" si="52"/>
        <v>7099968.1500000004</v>
      </c>
      <c r="DA76" s="24">
        <f t="shared" si="52"/>
        <v>5066488.66</v>
      </c>
      <c r="DB76" s="24">
        <f t="shared" si="52"/>
        <v>6740412.6200000001</v>
      </c>
      <c r="DC76" s="24">
        <f t="shared" si="52"/>
        <v>359555.53</v>
      </c>
      <c r="DD76" s="24">
        <f t="shared" si="52"/>
        <v>7099968.1500000004</v>
      </c>
      <c r="DE76" s="24">
        <f t="shared" si="52"/>
        <v>5150254.47</v>
      </c>
      <c r="DJ76" s="18"/>
      <c r="DK76" s="28">
        <f t="shared" ref="DK76:DP76" si="53">DK77+DK91+DK103+DK117+DK128</f>
        <v>7625613.8399999999</v>
      </c>
      <c r="DL76" s="28">
        <f t="shared" si="53"/>
        <v>5351547.08</v>
      </c>
      <c r="DM76" s="28">
        <f t="shared" si="53"/>
        <v>7625613.8399999999</v>
      </c>
      <c r="DN76" s="28">
        <f t="shared" si="53"/>
        <v>5451449.0899999999</v>
      </c>
      <c r="DO76" s="28">
        <f t="shared" si="53"/>
        <v>7625613.8399999999</v>
      </c>
      <c r="DP76" s="28">
        <f t="shared" si="53"/>
        <v>5577770.1500000004</v>
      </c>
      <c r="DQ76" s="24">
        <f>DQ77+DQ91+DQ103+DQ117+DQ128</f>
        <v>7625613.8399999999</v>
      </c>
      <c r="DR76" s="24"/>
      <c r="DS76" s="25">
        <f t="shared" si="44"/>
        <v>70.178574371660034</v>
      </c>
      <c r="DT76" s="25">
        <f t="shared" si="45"/>
        <v>71.488659200188394</v>
      </c>
      <c r="DU76" s="25">
        <f t="shared" si="46"/>
        <v>73.145195482387564</v>
      </c>
      <c r="DV76" s="24"/>
      <c r="DW76" s="25"/>
    </row>
    <row r="77" spans="1:127" s="13" customFormat="1" ht="15.95" customHeight="1" x14ac:dyDescent="0.2">
      <c r="N77" s="19">
        <v>314</v>
      </c>
      <c r="O77" s="20"/>
      <c r="Q77" s="16" t="s">
        <v>460</v>
      </c>
      <c r="R77" s="17" t="s">
        <v>461</v>
      </c>
      <c r="S77" s="17" t="s">
        <v>203</v>
      </c>
      <c r="T77" s="18">
        <v>314</v>
      </c>
      <c r="U77" s="17" t="s">
        <v>462</v>
      </c>
      <c r="V77" s="18"/>
      <c r="W77" s="19" t="s">
        <v>259</v>
      </c>
      <c r="X77" s="18">
        <f>COUNTIF($AB78:$AB89,"A")</f>
        <v>2</v>
      </c>
      <c r="Y77" s="18">
        <f>COUNTIF($AB78:$AB89,"B")</f>
        <v>2</v>
      </c>
      <c r="Z77" s="18">
        <f>COUNTIF($AB78:$AB89,"G")</f>
        <v>7</v>
      </c>
      <c r="AA77" s="18">
        <f>COUNTIF($AB78:$AB89,"C")</f>
        <v>1</v>
      </c>
      <c r="AB77" s="19">
        <f>COUNTA(AB78:AB89)</f>
        <v>12</v>
      </c>
      <c r="AC77" s="18">
        <f>Y77+Z77</f>
        <v>9</v>
      </c>
      <c r="AG77" s="19" t="s">
        <v>463</v>
      </c>
      <c r="AH77" s="13" t="s">
        <v>464</v>
      </c>
      <c r="AI77" s="19" t="s">
        <v>62</v>
      </c>
      <c r="AJ77" s="20"/>
      <c r="AL77" s="18">
        <v>314</v>
      </c>
      <c r="AM77" s="21">
        <f t="shared" ref="AM77" si="54">SUM(AM78:AM89)</f>
        <v>7625613.8399999999</v>
      </c>
      <c r="BU77" s="18">
        <v>314</v>
      </c>
      <c r="BV77" s="17"/>
      <c r="BX77" s="21">
        <f t="shared" ref="BX77:DE77" si="55">SUM(BX78:BX89)</f>
        <v>6220792.6199999992</v>
      </c>
      <c r="BY77" s="21">
        <f t="shared" si="55"/>
        <v>4871139.0999999987</v>
      </c>
      <c r="BZ77" s="21">
        <f t="shared" si="55"/>
        <v>6220792.8399999999</v>
      </c>
      <c r="CA77" s="21">
        <f t="shared" si="55"/>
        <v>4805951.8500000006</v>
      </c>
      <c r="CB77" s="21">
        <f t="shared" si="55"/>
        <v>6229972.2199999988</v>
      </c>
      <c r="CC77" s="21">
        <f t="shared" si="55"/>
        <v>4553103.5199999996</v>
      </c>
      <c r="CD77" s="21">
        <f t="shared" si="55"/>
        <v>7141900.1199999992</v>
      </c>
      <c r="CE77" s="21">
        <f t="shared" si="55"/>
        <v>4358346.78</v>
      </c>
      <c r="CF77" s="21">
        <f t="shared" si="55"/>
        <v>6921792.8399999999</v>
      </c>
      <c r="CG77" s="21">
        <f t="shared" si="55"/>
        <v>4385273.2499999991</v>
      </c>
      <c r="CH77" s="21">
        <f t="shared" si="55"/>
        <v>6921792.8399999999</v>
      </c>
      <c r="CI77" s="21">
        <f t="shared" si="55"/>
        <v>3359272.66</v>
      </c>
      <c r="CJ77" s="21">
        <f t="shared" si="55"/>
        <v>7021812.3799999999</v>
      </c>
      <c r="CK77" s="21">
        <f t="shared" si="55"/>
        <v>4385046.78</v>
      </c>
      <c r="CL77" s="21">
        <f t="shared" si="55"/>
        <v>6780411.3799999999</v>
      </c>
      <c r="CM77" s="21">
        <f t="shared" si="55"/>
        <v>359556.15</v>
      </c>
      <c r="CN77" s="21">
        <f t="shared" si="55"/>
        <v>7139967.5300000003</v>
      </c>
      <c r="CO77" s="21">
        <f t="shared" si="55"/>
        <v>4615874.29</v>
      </c>
      <c r="CP77" s="21">
        <f t="shared" si="55"/>
        <v>6740410.96</v>
      </c>
      <c r="CQ77" s="21">
        <f t="shared" si="55"/>
        <v>359556.15</v>
      </c>
      <c r="CR77" s="21">
        <f t="shared" si="55"/>
        <v>7099967.1099999994</v>
      </c>
      <c r="CS77" s="21">
        <f t="shared" si="55"/>
        <v>4835747.8400000008</v>
      </c>
      <c r="CT77" s="21">
        <f t="shared" si="55"/>
        <v>6740410.96</v>
      </c>
      <c r="CU77" s="21">
        <f t="shared" si="55"/>
        <v>359556.15</v>
      </c>
      <c r="CV77" s="21">
        <f t="shared" si="55"/>
        <v>7099967.1099999994</v>
      </c>
      <c r="CW77" s="21">
        <f t="shared" si="55"/>
        <v>4900660.67</v>
      </c>
      <c r="CX77" s="21">
        <f t="shared" si="55"/>
        <v>6740412.6200000001</v>
      </c>
      <c r="CY77" s="21">
        <f t="shared" si="55"/>
        <v>359555.53</v>
      </c>
      <c r="CZ77" s="21">
        <f t="shared" si="55"/>
        <v>7099968.1500000004</v>
      </c>
      <c r="DA77" s="21">
        <f t="shared" si="55"/>
        <v>5066488.66</v>
      </c>
      <c r="DB77" s="21">
        <f t="shared" si="55"/>
        <v>6740412.6200000001</v>
      </c>
      <c r="DC77" s="21">
        <f t="shared" si="55"/>
        <v>359555.53</v>
      </c>
      <c r="DD77" s="21">
        <f t="shared" si="55"/>
        <v>7099968.1500000004</v>
      </c>
      <c r="DE77" s="21">
        <f t="shared" si="55"/>
        <v>5150254.47</v>
      </c>
      <c r="DJ77" s="18">
        <v>314</v>
      </c>
      <c r="DK77" s="23">
        <f t="shared" ref="DK77:DQ77" si="56">SUM(DK78:DK89)</f>
        <v>7625613.8399999999</v>
      </c>
      <c r="DL77" s="23">
        <f t="shared" si="56"/>
        <v>5351547.08</v>
      </c>
      <c r="DM77" s="23">
        <f t="shared" si="56"/>
        <v>7625613.8399999999</v>
      </c>
      <c r="DN77" s="23">
        <f t="shared" si="56"/>
        <v>5451449.0899999999</v>
      </c>
      <c r="DO77" s="23">
        <f t="shared" si="56"/>
        <v>7625613.8399999999</v>
      </c>
      <c r="DP77" s="23">
        <f t="shared" si="56"/>
        <v>5577770.1500000004</v>
      </c>
      <c r="DQ77" s="21">
        <f t="shared" si="56"/>
        <v>7625613.8399999999</v>
      </c>
      <c r="DR77" s="24"/>
      <c r="DS77" s="25">
        <f t="shared" si="44"/>
        <v>70.178574371660034</v>
      </c>
      <c r="DT77" s="25">
        <f t="shared" si="45"/>
        <v>71.488659200188394</v>
      </c>
      <c r="DU77" s="25">
        <f t="shared" si="46"/>
        <v>73.145195482387564</v>
      </c>
      <c r="DV77" s="24"/>
      <c r="DW77" s="25"/>
    </row>
    <row r="78" spans="1:127" s="13" customFormat="1" ht="15.95" customHeight="1" x14ac:dyDescent="0.2">
      <c r="B78" s="26"/>
      <c r="D78" s="26"/>
      <c r="H78" s="26"/>
      <c r="J78" s="26"/>
      <c r="K78" s="26"/>
      <c r="M78" s="19"/>
      <c r="N78" s="19">
        <v>314</v>
      </c>
      <c r="O78" s="19">
        <v>1</v>
      </c>
      <c r="Q78" s="14" t="s">
        <v>465</v>
      </c>
      <c r="R78" s="13" t="s">
        <v>466</v>
      </c>
      <c r="S78" s="13" t="s">
        <v>177</v>
      </c>
      <c r="T78" s="19" t="s">
        <v>467</v>
      </c>
      <c r="U78" s="13" t="s">
        <v>468</v>
      </c>
      <c r="V78" s="19"/>
      <c r="W78" s="19"/>
      <c r="X78" s="19"/>
      <c r="Y78" s="19"/>
      <c r="Z78" s="19"/>
      <c r="AA78" s="19"/>
      <c r="AB78" s="19" t="s">
        <v>159</v>
      </c>
      <c r="AC78" s="19"/>
      <c r="AD78" s="13" t="s">
        <v>160</v>
      </c>
      <c r="AG78" s="19"/>
      <c r="AI78" s="19"/>
      <c r="AJ78" s="20"/>
      <c r="AL78" s="19" t="s">
        <v>467</v>
      </c>
      <c r="AM78" s="24">
        <v>529091.34</v>
      </c>
      <c r="BU78" s="19" t="s">
        <v>467</v>
      </c>
      <c r="BX78" s="24"/>
      <c r="BY78" s="24"/>
      <c r="BZ78" s="27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>
        <v>0</v>
      </c>
      <c r="CX78" s="24">
        <v>517268.11000000004</v>
      </c>
      <c r="CY78" s="24">
        <v>12733.019999999999</v>
      </c>
      <c r="CZ78" s="24">
        <f>SUM(CX78:CY78)</f>
        <v>530001.13</v>
      </c>
      <c r="DA78" s="27">
        <v>279165.99</v>
      </c>
      <c r="DB78" s="24">
        <v>517268.11000000004</v>
      </c>
      <c r="DC78" s="24">
        <v>12733.019999999999</v>
      </c>
      <c r="DD78" s="24">
        <f>SUM(DB78:DC78)</f>
        <v>530001.13</v>
      </c>
      <c r="DE78" s="24">
        <v>332576.93</v>
      </c>
      <c r="DJ78" s="19" t="s">
        <v>467</v>
      </c>
      <c r="DK78" s="24">
        <v>529091.34</v>
      </c>
      <c r="DL78" s="24">
        <v>337808.98</v>
      </c>
      <c r="DM78" s="24">
        <v>529091.34</v>
      </c>
      <c r="DN78" s="24">
        <v>369659.41</v>
      </c>
      <c r="DO78" s="24">
        <v>529091.34</v>
      </c>
      <c r="DP78" s="28">
        <v>381907.65</v>
      </c>
      <c r="DQ78" s="24">
        <v>529091.34</v>
      </c>
      <c r="DR78" s="24"/>
      <c r="DS78" s="25">
        <f t="shared" si="44"/>
        <v>63.847006076493329</v>
      </c>
      <c r="DT78" s="25">
        <f t="shared" si="45"/>
        <v>69.866841895389925</v>
      </c>
      <c r="DU78" s="25">
        <f t="shared" si="46"/>
        <v>72.181799460183953</v>
      </c>
      <c r="DV78" s="24"/>
      <c r="DW78" s="25"/>
    </row>
    <row r="79" spans="1:127" s="13" customFormat="1" ht="15.95" customHeight="1" x14ac:dyDescent="0.2">
      <c r="A79" s="13" t="s">
        <v>143</v>
      </c>
      <c r="B79" s="26" t="s">
        <v>144</v>
      </c>
      <c r="C79" s="13" t="s">
        <v>145</v>
      </c>
      <c r="D79" s="26" t="s">
        <v>146</v>
      </c>
      <c r="E79" s="13" t="s">
        <v>147</v>
      </c>
      <c r="G79" s="13" t="s">
        <v>148</v>
      </c>
      <c r="H79" s="26" t="s">
        <v>149</v>
      </c>
      <c r="I79" s="13" t="s">
        <v>406</v>
      </c>
      <c r="J79" s="26" t="s">
        <v>455</v>
      </c>
      <c r="K79" s="26" t="s">
        <v>469</v>
      </c>
      <c r="L79" s="13" t="s">
        <v>470</v>
      </c>
      <c r="M79" s="19" t="s">
        <v>460</v>
      </c>
      <c r="N79" s="19">
        <v>314</v>
      </c>
      <c r="O79" s="19">
        <v>1</v>
      </c>
      <c r="Q79" s="14" t="s">
        <v>471</v>
      </c>
      <c r="R79" s="13" t="s">
        <v>472</v>
      </c>
      <c r="S79" s="13" t="s">
        <v>156</v>
      </c>
      <c r="T79" s="19" t="s">
        <v>473</v>
      </c>
      <c r="U79" s="13" t="s">
        <v>468</v>
      </c>
      <c r="V79" s="19"/>
      <c r="W79" s="19"/>
      <c r="X79" s="19"/>
      <c r="Y79" s="19"/>
      <c r="Z79" s="19"/>
      <c r="AA79" s="19"/>
      <c r="AB79" s="19" t="s">
        <v>165</v>
      </c>
      <c r="AC79" s="19"/>
      <c r="AD79" s="13" t="s">
        <v>160</v>
      </c>
      <c r="AG79" s="19"/>
      <c r="AI79" s="19"/>
      <c r="AJ79" s="20"/>
      <c r="AL79" s="19" t="s">
        <v>473</v>
      </c>
      <c r="AM79" s="24">
        <v>571363.19999999995</v>
      </c>
      <c r="BU79" s="19" t="s">
        <v>473</v>
      </c>
      <c r="BX79" s="24">
        <v>774502.53</v>
      </c>
      <c r="BY79" s="24">
        <v>518437.70999999996</v>
      </c>
      <c r="BZ79" s="27">
        <v>774503</v>
      </c>
      <c r="CA79" s="24">
        <v>623918.52</v>
      </c>
      <c r="CB79" s="24">
        <v>777607.33</v>
      </c>
      <c r="CC79" s="24">
        <v>541222.72</v>
      </c>
      <c r="CD79" s="24">
        <v>777607.33</v>
      </c>
      <c r="CE79" s="24">
        <v>528436.85</v>
      </c>
      <c r="CF79" s="24">
        <v>774503</v>
      </c>
      <c r="CG79" s="24">
        <v>599255.31000000006</v>
      </c>
      <c r="CH79" s="24">
        <v>774503</v>
      </c>
      <c r="CI79" s="24">
        <v>491189.21</v>
      </c>
      <c r="CJ79" s="24">
        <v>774503</v>
      </c>
      <c r="CK79" s="24">
        <v>508731.74</v>
      </c>
      <c r="CL79" s="24">
        <v>752489</v>
      </c>
      <c r="CM79" s="24">
        <v>32569.24</v>
      </c>
      <c r="CN79" s="24">
        <f>SUM(CL79:CM79)</f>
        <v>785058.24</v>
      </c>
      <c r="CO79" s="24">
        <v>551398.77</v>
      </c>
      <c r="CP79" s="24">
        <v>752488.82</v>
      </c>
      <c r="CQ79" s="24">
        <v>32569.24</v>
      </c>
      <c r="CR79" s="24">
        <f>SUM(CP79:CQ79)</f>
        <v>785058.05999999994</v>
      </c>
      <c r="CS79" s="24">
        <v>593169.32999999996</v>
      </c>
      <c r="CT79" s="24">
        <v>752488.82</v>
      </c>
      <c r="CU79" s="24">
        <v>32569.24</v>
      </c>
      <c r="CV79" s="24">
        <f>SUM(CT79:CU79)</f>
        <v>785058.05999999994</v>
      </c>
      <c r="CW79" s="24">
        <v>598699.55000000005</v>
      </c>
      <c r="CX79" s="24">
        <v>530164.15999999992</v>
      </c>
      <c r="CY79" s="24">
        <v>19835.599999999999</v>
      </c>
      <c r="CZ79" s="24">
        <f>SUM(CX79:CY79)</f>
        <v>549999.75999999989</v>
      </c>
      <c r="DA79" s="27">
        <v>392515.09</v>
      </c>
      <c r="DB79" s="24">
        <v>530164.15999999992</v>
      </c>
      <c r="DC79" s="24">
        <v>19835.599999999999</v>
      </c>
      <c r="DD79" s="24">
        <f>SUM(DB79:DC79)</f>
        <v>549999.75999999989</v>
      </c>
      <c r="DE79" s="24">
        <v>443100.61</v>
      </c>
      <c r="DJ79" s="19" t="s">
        <v>473</v>
      </c>
      <c r="DK79" s="24">
        <v>571363.19999999995</v>
      </c>
      <c r="DL79" s="24">
        <v>457951.22</v>
      </c>
      <c r="DM79" s="24">
        <v>571363.19999999995</v>
      </c>
      <c r="DN79" s="24">
        <v>471669.63</v>
      </c>
      <c r="DO79" s="24">
        <v>571363.19999999995</v>
      </c>
      <c r="DP79" s="28">
        <v>469148.09</v>
      </c>
      <c r="DQ79" s="24">
        <v>571363.19999999995</v>
      </c>
      <c r="DR79" s="24"/>
      <c r="DS79" s="25">
        <f t="shared" si="44"/>
        <v>80.15063273238458</v>
      </c>
      <c r="DT79" s="25">
        <f t="shared" si="45"/>
        <v>82.551629156375498</v>
      </c>
      <c r="DU79" s="25">
        <f t="shared" si="46"/>
        <v>82.110309169368989</v>
      </c>
      <c r="DV79" s="24"/>
      <c r="DW79" s="25"/>
    </row>
    <row r="80" spans="1:127" s="13" customFormat="1" ht="15.95" customHeight="1" x14ac:dyDescent="0.2">
      <c r="A80" s="13" t="s">
        <v>143</v>
      </c>
      <c r="B80" s="26" t="s">
        <v>144</v>
      </c>
      <c r="C80" s="13" t="s">
        <v>145</v>
      </c>
      <c r="D80" s="26" t="s">
        <v>146</v>
      </c>
      <c r="E80" s="13" t="s">
        <v>147</v>
      </c>
      <c r="G80" s="13" t="s">
        <v>148</v>
      </c>
      <c r="H80" s="26" t="s">
        <v>149</v>
      </c>
      <c r="I80" s="13" t="s">
        <v>406</v>
      </c>
      <c r="J80" s="26" t="s">
        <v>455</v>
      </c>
      <c r="K80" s="26" t="s">
        <v>469</v>
      </c>
      <c r="L80" s="13" t="s">
        <v>470</v>
      </c>
      <c r="M80" s="19" t="s">
        <v>460</v>
      </c>
      <c r="N80" s="19">
        <v>314</v>
      </c>
      <c r="O80" s="19">
        <v>1</v>
      </c>
      <c r="Q80" s="14" t="s">
        <v>474</v>
      </c>
      <c r="R80" s="13" t="s">
        <v>475</v>
      </c>
      <c r="S80" s="13" t="s">
        <v>163</v>
      </c>
      <c r="T80" s="19" t="s">
        <v>476</v>
      </c>
      <c r="U80" s="13" t="s">
        <v>477</v>
      </c>
      <c r="V80" s="19"/>
      <c r="W80" s="19"/>
      <c r="X80" s="19"/>
      <c r="Y80" s="19"/>
      <c r="Z80" s="19"/>
      <c r="AA80" s="19"/>
      <c r="AB80" s="19" t="s">
        <v>170</v>
      </c>
      <c r="AC80" s="19"/>
      <c r="AD80" s="13" t="s">
        <v>160</v>
      </c>
      <c r="AG80" s="19"/>
      <c r="AI80" s="19"/>
      <c r="AJ80" s="20"/>
      <c r="AL80" s="19" t="s">
        <v>476</v>
      </c>
      <c r="AM80" s="24">
        <v>796620</v>
      </c>
      <c r="BU80" s="19" t="s">
        <v>476</v>
      </c>
      <c r="BX80" s="24">
        <v>789531.25</v>
      </c>
      <c r="BY80" s="24">
        <v>519893.96</v>
      </c>
      <c r="BZ80" s="27">
        <v>789531</v>
      </c>
      <c r="CA80" s="24">
        <v>542829.17000000004</v>
      </c>
      <c r="CB80" s="24">
        <v>792636.05</v>
      </c>
      <c r="CC80" s="24">
        <v>538679.93000000005</v>
      </c>
      <c r="CD80" s="24">
        <v>792636.05</v>
      </c>
      <c r="CE80" s="24">
        <v>557313.78</v>
      </c>
      <c r="CF80" s="24">
        <v>789531</v>
      </c>
      <c r="CG80" s="24">
        <v>567094.57999999996</v>
      </c>
      <c r="CH80" s="24">
        <v>789531</v>
      </c>
      <c r="CI80" s="24">
        <v>423713.16</v>
      </c>
      <c r="CJ80" s="24">
        <v>789531</v>
      </c>
      <c r="CK80" s="24">
        <v>505697.92</v>
      </c>
      <c r="CL80" s="24">
        <v>767532</v>
      </c>
      <c r="CM80" s="24">
        <v>32599.71</v>
      </c>
      <c r="CN80" s="24">
        <f t="shared" si="47"/>
        <v>800131.71</v>
      </c>
      <c r="CO80" s="24">
        <v>553454.79</v>
      </c>
      <c r="CP80" s="24">
        <v>767531.83</v>
      </c>
      <c r="CQ80" s="24">
        <v>32599.71</v>
      </c>
      <c r="CR80" s="24">
        <f t="shared" si="48"/>
        <v>800131.53999999992</v>
      </c>
      <c r="CS80" s="24">
        <v>582502.02</v>
      </c>
      <c r="CT80" s="24">
        <v>767531.83</v>
      </c>
      <c r="CU80" s="24">
        <v>32599.71</v>
      </c>
      <c r="CV80" s="24">
        <f t="shared" si="49"/>
        <v>800131.53999999992</v>
      </c>
      <c r="CW80" s="24">
        <v>605062.31999999995</v>
      </c>
      <c r="CX80" s="24">
        <f>720000-32600</f>
        <v>687400</v>
      </c>
      <c r="CY80" s="24">
        <v>32599.71</v>
      </c>
      <c r="CZ80" s="24">
        <f t="shared" si="50"/>
        <v>719999.71</v>
      </c>
      <c r="DA80" s="27">
        <v>627727.46</v>
      </c>
      <c r="DB80" s="24">
        <f>720000-32600</f>
        <v>687400</v>
      </c>
      <c r="DC80" s="24">
        <v>32599.71</v>
      </c>
      <c r="DD80" s="24">
        <f t="shared" ref="DD80:DD89" si="57">SUM(DB80:DC80)</f>
        <v>719999.71</v>
      </c>
      <c r="DE80" s="24">
        <v>522293.88</v>
      </c>
      <c r="DJ80" s="19" t="s">
        <v>476</v>
      </c>
      <c r="DK80" s="24">
        <v>796620</v>
      </c>
      <c r="DL80" s="24">
        <v>596988.44999999995</v>
      </c>
      <c r="DM80" s="24">
        <v>796620</v>
      </c>
      <c r="DN80" s="24">
        <v>643120.78</v>
      </c>
      <c r="DO80" s="24">
        <v>796620</v>
      </c>
      <c r="DP80" s="28">
        <v>642784.38</v>
      </c>
      <c r="DQ80" s="24">
        <v>796620</v>
      </c>
      <c r="DR80" s="24"/>
      <c r="DS80" s="25">
        <f t="shared" si="44"/>
        <v>74.940178504180153</v>
      </c>
      <c r="DT80" s="25">
        <f t="shared" si="45"/>
        <v>80.731186764078231</v>
      </c>
      <c r="DU80" s="25">
        <f t="shared" si="46"/>
        <v>80.688958349024631</v>
      </c>
      <c r="DV80" s="24"/>
      <c r="DW80" s="25"/>
    </row>
    <row r="81" spans="1:127" s="13" customFormat="1" ht="15.95" customHeight="1" x14ac:dyDescent="0.2">
      <c r="A81" s="13" t="s">
        <v>143</v>
      </c>
      <c r="B81" s="26" t="s">
        <v>144</v>
      </c>
      <c r="C81" s="13" t="s">
        <v>145</v>
      </c>
      <c r="D81" s="26" t="s">
        <v>146</v>
      </c>
      <c r="E81" s="13" t="s">
        <v>147</v>
      </c>
      <c r="G81" s="13" t="s">
        <v>148</v>
      </c>
      <c r="H81" s="26" t="s">
        <v>149</v>
      </c>
      <c r="I81" s="13" t="s">
        <v>406</v>
      </c>
      <c r="J81" s="26" t="s">
        <v>455</v>
      </c>
      <c r="K81" s="26" t="s">
        <v>469</v>
      </c>
      <c r="L81" s="13" t="s">
        <v>470</v>
      </c>
      <c r="M81" s="19" t="s">
        <v>460</v>
      </c>
      <c r="N81" s="19">
        <v>314</v>
      </c>
      <c r="O81" s="19">
        <v>1</v>
      </c>
      <c r="Q81" s="14" t="s">
        <v>478</v>
      </c>
      <c r="R81" s="13" t="s">
        <v>325</v>
      </c>
      <c r="S81" s="13" t="s">
        <v>163</v>
      </c>
      <c r="T81" s="19" t="s">
        <v>479</v>
      </c>
      <c r="U81" s="13" t="s">
        <v>480</v>
      </c>
      <c r="V81" s="19"/>
      <c r="W81" s="19"/>
      <c r="X81" s="19"/>
      <c r="Y81" s="19"/>
      <c r="Z81" s="19"/>
      <c r="AA81" s="19"/>
      <c r="AB81" s="19" t="s">
        <v>170</v>
      </c>
      <c r="AC81" s="19"/>
      <c r="AD81" s="13" t="s">
        <v>160</v>
      </c>
      <c r="AG81" s="19"/>
      <c r="AI81" s="19"/>
      <c r="AJ81" s="20"/>
      <c r="AL81" s="19" t="s">
        <v>479</v>
      </c>
      <c r="AM81" s="24">
        <v>734400</v>
      </c>
      <c r="BU81" s="19" t="s">
        <v>479</v>
      </c>
      <c r="BX81" s="24"/>
      <c r="BY81" s="24"/>
      <c r="BZ81" s="24"/>
      <c r="CA81" s="24"/>
      <c r="CB81" s="24"/>
      <c r="CC81" s="24"/>
      <c r="CD81" s="24">
        <v>911927.9</v>
      </c>
      <c r="CE81" s="24">
        <v>699053.97</v>
      </c>
      <c r="CF81" s="24">
        <v>701000</v>
      </c>
      <c r="CG81" s="24">
        <v>515379.54</v>
      </c>
      <c r="CH81" s="24">
        <v>701000</v>
      </c>
      <c r="CI81" s="24">
        <v>479397.38</v>
      </c>
      <c r="CJ81" s="24">
        <v>701000</v>
      </c>
      <c r="CK81" s="24">
        <v>508641.66</v>
      </c>
      <c r="CL81" s="24">
        <v>665124</v>
      </c>
      <c r="CM81" s="24">
        <v>53637.1</v>
      </c>
      <c r="CN81" s="24">
        <f t="shared" si="47"/>
        <v>718761.1</v>
      </c>
      <c r="CO81" s="24">
        <v>526068.38</v>
      </c>
      <c r="CP81" s="24">
        <v>665124.41</v>
      </c>
      <c r="CQ81" s="24">
        <v>53637.1</v>
      </c>
      <c r="CR81" s="24">
        <f t="shared" si="48"/>
        <v>718761.51</v>
      </c>
      <c r="CS81" s="24">
        <v>526566.55000000005</v>
      </c>
      <c r="CT81" s="24">
        <v>665124.41</v>
      </c>
      <c r="CU81" s="24">
        <v>53637.1</v>
      </c>
      <c r="CV81" s="24">
        <f t="shared" si="49"/>
        <v>718761.51</v>
      </c>
      <c r="CW81" s="24">
        <v>509136.53</v>
      </c>
      <c r="CX81" s="24">
        <f>701000-53637</f>
        <v>647363</v>
      </c>
      <c r="CY81" s="24">
        <v>53637.1</v>
      </c>
      <c r="CZ81" s="24">
        <f t="shared" si="50"/>
        <v>701000.1</v>
      </c>
      <c r="DA81" s="27">
        <v>529404.80000000005</v>
      </c>
      <c r="DB81" s="24">
        <f>701000-53637</f>
        <v>647363</v>
      </c>
      <c r="DC81" s="24">
        <v>53637.1</v>
      </c>
      <c r="DD81" s="24">
        <f t="shared" si="57"/>
        <v>701000.1</v>
      </c>
      <c r="DE81" s="24">
        <v>565215.17000000004</v>
      </c>
      <c r="DJ81" s="19" t="s">
        <v>479</v>
      </c>
      <c r="DK81" s="24">
        <v>734400</v>
      </c>
      <c r="DL81" s="24">
        <v>598565.30000000005</v>
      </c>
      <c r="DM81" s="24">
        <v>734400</v>
      </c>
      <c r="DN81" s="24">
        <v>605806.98</v>
      </c>
      <c r="DO81" s="24">
        <v>734400</v>
      </c>
      <c r="DP81" s="28">
        <v>617447.19999999995</v>
      </c>
      <c r="DQ81" s="24">
        <v>734400</v>
      </c>
      <c r="DR81" s="24"/>
      <c r="DS81" s="25">
        <f t="shared" si="44"/>
        <v>81.503989651416134</v>
      </c>
      <c r="DT81" s="25">
        <f t="shared" si="45"/>
        <v>82.490057189542483</v>
      </c>
      <c r="DU81" s="25">
        <f t="shared" si="46"/>
        <v>84.075054466230924</v>
      </c>
      <c r="DV81" s="24"/>
      <c r="DW81" s="25"/>
    </row>
    <row r="82" spans="1:127" s="13" customFormat="1" ht="15.95" customHeight="1" x14ac:dyDescent="0.2">
      <c r="A82" s="13" t="s">
        <v>143</v>
      </c>
      <c r="B82" s="26" t="s">
        <v>144</v>
      </c>
      <c r="C82" s="13" t="s">
        <v>145</v>
      </c>
      <c r="D82" s="26" t="s">
        <v>146</v>
      </c>
      <c r="E82" s="13" t="s">
        <v>147</v>
      </c>
      <c r="G82" s="13" t="s">
        <v>148</v>
      </c>
      <c r="H82" s="26" t="s">
        <v>149</v>
      </c>
      <c r="I82" s="13" t="s">
        <v>406</v>
      </c>
      <c r="J82" s="26" t="s">
        <v>455</v>
      </c>
      <c r="K82" s="26" t="s">
        <v>469</v>
      </c>
      <c r="L82" s="13" t="s">
        <v>470</v>
      </c>
      <c r="M82" s="19" t="s">
        <v>460</v>
      </c>
      <c r="N82" s="19">
        <v>314</v>
      </c>
      <c r="O82" s="19">
        <v>1</v>
      </c>
      <c r="Q82" s="14" t="s">
        <v>481</v>
      </c>
      <c r="R82" s="13" t="s">
        <v>482</v>
      </c>
      <c r="S82" s="13" t="s">
        <v>177</v>
      </c>
      <c r="T82" s="19" t="s">
        <v>483</v>
      </c>
      <c r="U82" s="13" t="s">
        <v>484</v>
      </c>
      <c r="V82" s="19"/>
      <c r="W82" s="19"/>
      <c r="X82" s="19"/>
      <c r="Y82" s="19"/>
      <c r="Z82" s="19"/>
      <c r="AA82" s="19"/>
      <c r="AB82" s="19" t="s">
        <v>170</v>
      </c>
      <c r="AC82" s="19"/>
      <c r="AD82" s="13" t="s">
        <v>160</v>
      </c>
      <c r="AG82" s="19"/>
      <c r="AI82" s="19"/>
      <c r="AJ82" s="20"/>
      <c r="AL82" s="19" t="s">
        <v>483</v>
      </c>
      <c r="AM82" s="24">
        <v>775200</v>
      </c>
      <c r="BU82" s="19" t="s">
        <v>483</v>
      </c>
      <c r="BX82" s="24">
        <v>699756.45</v>
      </c>
      <c r="BY82" s="24">
        <v>623963.39</v>
      </c>
      <c r="BZ82" s="27">
        <v>699756.45</v>
      </c>
      <c r="CA82" s="24">
        <v>573986.49</v>
      </c>
      <c r="CB82" s="24">
        <v>700112.85</v>
      </c>
      <c r="CC82" s="24">
        <v>554373.69999999995</v>
      </c>
      <c r="CD82" s="24">
        <v>700112.85</v>
      </c>
      <c r="CE82" s="24">
        <v>572167.25</v>
      </c>
      <c r="CF82" s="24">
        <v>699756.45</v>
      </c>
      <c r="CG82" s="24">
        <v>545773.24</v>
      </c>
      <c r="CH82" s="24">
        <v>699756.45</v>
      </c>
      <c r="CI82" s="24">
        <v>490792.72</v>
      </c>
      <c r="CJ82" s="24">
        <v>699756.45</v>
      </c>
      <c r="CK82" s="24">
        <v>536836.76</v>
      </c>
      <c r="CL82" s="24">
        <v>669524.44999999995</v>
      </c>
      <c r="CM82" s="24">
        <v>44966.95</v>
      </c>
      <c r="CN82" s="24">
        <f t="shared" si="47"/>
        <v>714491.39999999991</v>
      </c>
      <c r="CO82" s="24">
        <v>554355.29</v>
      </c>
      <c r="CP82" s="24">
        <v>669524.47999999998</v>
      </c>
      <c r="CQ82" s="24">
        <v>44966.95</v>
      </c>
      <c r="CR82" s="24">
        <f t="shared" si="48"/>
        <v>714491.42999999993</v>
      </c>
      <c r="CS82" s="24">
        <v>579477.52</v>
      </c>
      <c r="CT82" s="24">
        <v>669524.47999999998</v>
      </c>
      <c r="CU82" s="24">
        <v>44966.95</v>
      </c>
      <c r="CV82" s="24">
        <f t="shared" si="49"/>
        <v>714491.42999999993</v>
      </c>
      <c r="CW82" s="24">
        <v>581085.82999999996</v>
      </c>
      <c r="CX82" s="24">
        <v>669524.47999999998</v>
      </c>
      <c r="CY82" s="24">
        <v>44966.95</v>
      </c>
      <c r="CZ82" s="24">
        <f t="shared" si="50"/>
        <v>714491.42999999993</v>
      </c>
      <c r="DA82" s="27">
        <v>575410.16</v>
      </c>
      <c r="DB82" s="24">
        <v>669524.47999999998</v>
      </c>
      <c r="DC82" s="24">
        <v>44966.95</v>
      </c>
      <c r="DD82" s="24">
        <f t="shared" si="57"/>
        <v>714491.42999999993</v>
      </c>
      <c r="DE82" s="24">
        <v>587026.26</v>
      </c>
      <c r="DJ82" s="19" t="s">
        <v>483</v>
      </c>
      <c r="DK82" s="24">
        <v>775200</v>
      </c>
      <c r="DL82" s="24">
        <v>571557.05000000005</v>
      </c>
      <c r="DM82" s="24">
        <v>775200</v>
      </c>
      <c r="DN82" s="24">
        <v>624853.55000000005</v>
      </c>
      <c r="DO82" s="24">
        <v>775200</v>
      </c>
      <c r="DP82" s="28">
        <v>648944.89</v>
      </c>
      <c r="DQ82" s="24">
        <v>775200</v>
      </c>
      <c r="DR82" s="24"/>
      <c r="DS82" s="25">
        <f t="shared" si="44"/>
        <v>73.730269607843141</v>
      </c>
      <c r="DT82" s="25">
        <f t="shared" si="45"/>
        <v>80.605463106295161</v>
      </c>
      <c r="DU82" s="25">
        <f t="shared" si="46"/>
        <v>83.713221104231167</v>
      </c>
      <c r="DV82" s="24"/>
      <c r="DW82" s="25"/>
    </row>
    <row r="83" spans="1:127" s="13" customFormat="1" ht="15.95" customHeight="1" x14ac:dyDescent="0.2">
      <c r="A83" s="13" t="s">
        <v>143</v>
      </c>
      <c r="B83" s="26" t="s">
        <v>144</v>
      </c>
      <c r="C83" s="13" t="s">
        <v>145</v>
      </c>
      <c r="D83" s="26" t="s">
        <v>146</v>
      </c>
      <c r="E83" s="13" t="s">
        <v>147</v>
      </c>
      <c r="G83" s="13" t="s">
        <v>148</v>
      </c>
      <c r="H83" s="26" t="s">
        <v>149</v>
      </c>
      <c r="I83" s="13" t="s">
        <v>406</v>
      </c>
      <c r="J83" s="26" t="s">
        <v>455</v>
      </c>
      <c r="K83" s="26" t="s">
        <v>469</v>
      </c>
      <c r="L83" s="13" t="s">
        <v>470</v>
      </c>
      <c r="M83" s="19" t="s">
        <v>460</v>
      </c>
      <c r="N83" s="19">
        <v>314</v>
      </c>
      <c r="O83" s="19">
        <v>1</v>
      </c>
      <c r="Q83" s="14" t="s">
        <v>485</v>
      </c>
      <c r="R83" s="13" t="s">
        <v>486</v>
      </c>
      <c r="S83" s="13" t="s">
        <v>177</v>
      </c>
      <c r="T83" s="19" t="s">
        <v>487</v>
      </c>
      <c r="U83" s="13" t="s">
        <v>488</v>
      </c>
      <c r="V83" s="19"/>
      <c r="W83" s="19"/>
      <c r="X83" s="19"/>
      <c r="Y83" s="19"/>
      <c r="Z83" s="19"/>
      <c r="AA83" s="19"/>
      <c r="AB83" s="19" t="s">
        <v>170</v>
      </c>
      <c r="AC83" s="19"/>
      <c r="AD83" s="13" t="s">
        <v>160</v>
      </c>
      <c r="AG83" s="19"/>
      <c r="AI83" s="19"/>
      <c r="AJ83" s="20"/>
      <c r="AL83" s="19" t="s">
        <v>487</v>
      </c>
      <c r="AM83" s="24">
        <v>622200</v>
      </c>
      <c r="BU83" s="19" t="s">
        <v>487</v>
      </c>
      <c r="BX83" s="24">
        <v>632132.21</v>
      </c>
      <c r="BY83" s="24">
        <v>448515.79</v>
      </c>
      <c r="BZ83" s="27">
        <v>632132.21</v>
      </c>
      <c r="CA83" s="24">
        <v>508341.86</v>
      </c>
      <c r="CB83" s="24">
        <v>632132.21</v>
      </c>
      <c r="CC83" s="24">
        <v>386918.59</v>
      </c>
      <c r="CD83" s="24">
        <v>632132.21</v>
      </c>
      <c r="CE83" s="24">
        <v>423195.79</v>
      </c>
      <c r="CF83" s="24">
        <v>632132.21</v>
      </c>
      <c r="CG83" s="24">
        <v>451056.09</v>
      </c>
      <c r="CH83" s="24">
        <v>632132.21</v>
      </c>
      <c r="CI83" s="24">
        <v>331400.02</v>
      </c>
      <c r="CJ83" s="24">
        <v>628099</v>
      </c>
      <c r="CK83" s="24">
        <v>455707</v>
      </c>
      <c r="CL83" s="24">
        <v>594527</v>
      </c>
      <c r="CM83" s="24">
        <v>50076.83</v>
      </c>
      <c r="CN83" s="24">
        <f t="shared" si="47"/>
        <v>644603.82999999996</v>
      </c>
      <c r="CO83" s="24">
        <v>492032.39</v>
      </c>
      <c r="CP83" s="24">
        <v>594526.88</v>
      </c>
      <c r="CQ83" s="24">
        <v>50076.83</v>
      </c>
      <c r="CR83" s="24">
        <f t="shared" si="48"/>
        <v>644603.71</v>
      </c>
      <c r="CS83" s="24">
        <v>490525.46</v>
      </c>
      <c r="CT83" s="24">
        <v>594526.88</v>
      </c>
      <c r="CU83" s="24">
        <v>50076.83</v>
      </c>
      <c r="CV83" s="24">
        <f t="shared" si="49"/>
        <v>644603.71</v>
      </c>
      <c r="CW83" s="24">
        <v>491077.91</v>
      </c>
      <c r="CX83" s="24">
        <f>601000-50077</f>
        <v>550923</v>
      </c>
      <c r="CY83" s="24">
        <v>50076.83</v>
      </c>
      <c r="CZ83" s="24">
        <f t="shared" si="50"/>
        <v>600999.82999999996</v>
      </c>
      <c r="DA83" s="27">
        <v>482404.36</v>
      </c>
      <c r="DB83" s="24">
        <f>601000-50077</f>
        <v>550923</v>
      </c>
      <c r="DC83" s="24">
        <v>50076.83</v>
      </c>
      <c r="DD83" s="24">
        <f t="shared" si="57"/>
        <v>600999.82999999996</v>
      </c>
      <c r="DE83" s="24">
        <v>502678.33</v>
      </c>
      <c r="DJ83" s="19" t="s">
        <v>487</v>
      </c>
      <c r="DK83" s="24">
        <v>622200</v>
      </c>
      <c r="DL83" s="24">
        <v>506545.2</v>
      </c>
      <c r="DM83" s="24">
        <v>622200</v>
      </c>
      <c r="DN83" s="24">
        <v>516462.54</v>
      </c>
      <c r="DO83" s="24">
        <v>622200</v>
      </c>
      <c r="DP83" s="28">
        <v>521402.2</v>
      </c>
      <c r="DQ83" s="24">
        <v>622200</v>
      </c>
      <c r="DR83" s="24"/>
      <c r="DS83" s="25">
        <f t="shared" si="44"/>
        <v>81.411957569913213</v>
      </c>
      <c r="DT83" s="25">
        <f t="shared" si="45"/>
        <v>83.00587270973962</v>
      </c>
      <c r="DU83" s="25">
        <f t="shared" si="46"/>
        <v>83.799774991964</v>
      </c>
      <c r="DV83" s="24"/>
      <c r="DW83" s="25"/>
    </row>
    <row r="84" spans="1:127" s="13" customFormat="1" ht="15.95" customHeight="1" x14ac:dyDescent="0.2">
      <c r="A84" s="13" t="s">
        <v>143</v>
      </c>
      <c r="B84" s="26" t="s">
        <v>144</v>
      </c>
      <c r="C84" s="13" t="s">
        <v>145</v>
      </c>
      <c r="D84" s="26" t="s">
        <v>146</v>
      </c>
      <c r="E84" s="13" t="s">
        <v>147</v>
      </c>
      <c r="G84" s="13" t="s">
        <v>148</v>
      </c>
      <c r="H84" s="26" t="s">
        <v>149</v>
      </c>
      <c r="I84" s="13" t="s">
        <v>406</v>
      </c>
      <c r="J84" s="26" t="s">
        <v>455</v>
      </c>
      <c r="K84" s="26" t="s">
        <v>469</v>
      </c>
      <c r="L84" s="13" t="s">
        <v>470</v>
      </c>
      <c r="M84" s="19" t="s">
        <v>460</v>
      </c>
      <c r="N84" s="19">
        <v>314</v>
      </c>
      <c r="O84" s="19">
        <v>1</v>
      </c>
      <c r="Q84" s="14" t="s">
        <v>489</v>
      </c>
      <c r="R84" s="13" t="s">
        <v>490</v>
      </c>
      <c r="S84" s="13" t="s">
        <v>177</v>
      </c>
      <c r="T84" s="19" t="s">
        <v>491</v>
      </c>
      <c r="U84" s="13" t="s">
        <v>492</v>
      </c>
      <c r="V84" s="19"/>
      <c r="W84" s="19"/>
      <c r="X84" s="19"/>
      <c r="Y84" s="19"/>
      <c r="Z84" s="19"/>
      <c r="AA84" s="19"/>
      <c r="AB84" s="19" t="s">
        <v>170</v>
      </c>
      <c r="AC84" s="19"/>
      <c r="AD84" s="13" t="s">
        <v>160</v>
      </c>
      <c r="AG84" s="19"/>
      <c r="AI84" s="19"/>
      <c r="AJ84" s="20"/>
      <c r="AL84" s="19" t="s">
        <v>491</v>
      </c>
      <c r="AM84" s="24">
        <v>622200</v>
      </c>
      <c r="BU84" s="19" t="s">
        <v>491</v>
      </c>
      <c r="BX84" s="24">
        <v>605947.16</v>
      </c>
      <c r="BY84" s="24">
        <v>366188.52999999997</v>
      </c>
      <c r="BZ84" s="27">
        <v>605947.16</v>
      </c>
      <c r="CA84" s="24">
        <v>429747.24</v>
      </c>
      <c r="CB84" s="24">
        <v>606659.96</v>
      </c>
      <c r="CC84" s="24">
        <v>370966.5</v>
      </c>
      <c r="CD84" s="24">
        <v>606659.96</v>
      </c>
      <c r="CE84" s="24">
        <v>376681.89</v>
      </c>
      <c r="CF84" s="24">
        <v>605947.16</v>
      </c>
      <c r="CG84" s="24">
        <v>345096.19</v>
      </c>
      <c r="CH84" s="24">
        <v>605947.16</v>
      </c>
      <c r="CI84" s="24">
        <v>302572.84999999998</v>
      </c>
      <c r="CJ84" s="24">
        <v>610000</v>
      </c>
      <c r="CK84" s="24">
        <v>452986.41</v>
      </c>
      <c r="CL84" s="24">
        <v>577422</v>
      </c>
      <c r="CM84" s="24">
        <v>48576.44</v>
      </c>
      <c r="CN84" s="24">
        <f t="shared" si="47"/>
        <v>625998.43999999994</v>
      </c>
      <c r="CO84" s="24">
        <v>473525.19</v>
      </c>
      <c r="CP84" s="24">
        <v>577421.75</v>
      </c>
      <c r="CQ84" s="24">
        <v>48576.44</v>
      </c>
      <c r="CR84" s="24">
        <f t="shared" si="48"/>
        <v>625998.18999999994</v>
      </c>
      <c r="CS84" s="24">
        <v>477990.04</v>
      </c>
      <c r="CT84" s="24">
        <v>577421.75</v>
      </c>
      <c r="CU84" s="24">
        <v>48576.44</v>
      </c>
      <c r="CV84" s="24">
        <f t="shared" si="49"/>
        <v>625998.18999999994</v>
      </c>
      <c r="CW84" s="24">
        <v>428349.33</v>
      </c>
      <c r="CX84" s="24">
        <f>601000-48576</f>
        <v>552424</v>
      </c>
      <c r="CY84" s="24">
        <v>48576.44</v>
      </c>
      <c r="CZ84" s="24">
        <f t="shared" si="50"/>
        <v>601000.43999999994</v>
      </c>
      <c r="DA84" s="27">
        <v>434502.68</v>
      </c>
      <c r="DB84" s="24">
        <f>601000-48576</f>
        <v>552424</v>
      </c>
      <c r="DC84" s="24">
        <v>48576.44</v>
      </c>
      <c r="DD84" s="24">
        <f t="shared" si="57"/>
        <v>601000.43999999994</v>
      </c>
      <c r="DE84" s="24">
        <v>487883.25</v>
      </c>
      <c r="DJ84" s="19" t="s">
        <v>491</v>
      </c>
      <c r="DK84" s="24">
        <v>622200</v>
      </c>
      <c r="DL84" s="24">
        <v>504372.11</v>
      </c>
      <c r="DM84" s="24">
        <v>622200</v>
      </c>
      <c r="DN84" s="24">
        <v>422831.13</v>
      </c>
      <c r="DO84" s="24">
        <v>622200</v>
      </c>
      <c r="DP84" s="28">
        <v>500378.47</v>
      </c>
      <c r="DQ84" s="24">
        <v>622200</v>
      </c>
      <c r="DR84" s="24"/>
      <c r="DS84" s="25">
        <f t="shared" si="44"/>
        <v>81.062698489231749</v>
      </c>
      <c r="DT84" s="25">
        <f t="shared" si="45"/>
        <v>67.957430086788818</v>
      </c>
      <c r="DU84" s="25">
        <f t="shared" si="46"/>
        <v>80.42084056573448</v>
      </c>
      <c r="DV84" s="24"/>
      <c r="DW84" s="25"/>
    </row>
    <row r="85" spans="1:127" s="13" customFormat="1" ht="15.95" customHeight="1" x14ac:dyDescent="0.2">
      <c r="A85" s="13" t="s">
        <v>143</v>
      </c>
      <c r="B85" s="26" t="s">
        <v>144</v>
      </c>
      <c r="C85" s="13" t="s">
        <v>145</v>
      </c>
      <c r="D85" s="26" t="s">
        <v>146</v>
      </c>
      <c r="E85" s="13" t="s">
        <v>147</v>
      </c>
      <c r="G85" s="13" t="s">
        <v>148</v>
      </c>
      <c r="H85" s="26" t="s">
        <v>149</v>
      </c>
      <c r="I85" s="13" t="s">
        <v>406</v>
      </c>
      <c r="J85" s="26" t="s">
        <v>455</v>
      </c>
      <c r="K85" s="26" t="s">
        <v>469</v>
      </c>
      <c r="L85" s="13" t="s">
        <v>470</v>
      </c>
      <c r="M85" s="19" t="s">
        <v>460</v>
      </c>
      <c r="N85" s="19">
        <v>314</v>
      </c>
      <c r="O85" s="19">
        <v>1</v>
      </c>
      <c r="Q85" s="14" t="s">
        <v>493</v>
      </c>
      <c r="R85" s="13" t="s">
        <v>494</v>
      </c>
      <c r="S85" s="13" t="s">
        <v>177</v>
      </c>
      <c r="T85" s="19" t="s">
        <v>495</v>
      </c>
      <c r="U85" s="13" t="s">
        <v>496</v>
      </c>
      <c r="V85" s="19"/>
      <c r="W85" s="19"/>
      <c r="X85" s="19"/>
      <c r="Y85" s="19"/>
      <c r="Z85" s="19"/>
      <c r="AA85" s="19"/>
      <c r="AB85" s="19" t="s">
        <v>159</v>
      </c>
      <c r="AC85" s="19"/>
      <c r="AD85" s="13" t="s">
        <v>160</v>
      </c>
      <c r="AG85" s="19"/>
      <c r="AI85" s="19"/>
      <c r="AJ85" s="20"/>
      <c r="AL85" s="19" t="s">
        <v>495</v>
      </c>
      <c r="AM85" s="24">
        <v>715020</v>
      </c>
      <c r="AS85" s="19" t="s">
        <v>497</v>
      </c>
      <c r="AT85" s="13" t="s">
        <v>498</v>
      </c>
      <c r="BU85" s="19" t="s">
        <v>495</v>
      </c>
      <c r="BX85" s="24">
        <v>674216.15</v>
      </c>
      <c r="BY85" s="24">
        <v>595495.81999999995</v>
      </c>
      <c r="BZ85" s="27">
        <v>674216.15</v>
      </c>
      <c r="CA85" s="24">
        <v>647477.13</v>
      </c>
      <c r="CB85" s="24">
        <v>674928.95</v>
      </c>
      <c r="CC85" s="24">
        <v>653069.46</v>
      </c>
      <c r="CD85" s="24">
        <v>674928.95</v>
      </c>
      <c r="CE85" s="24">
        <v>190816.45</v>
      </c>
      <c r="CF85" s="24">
        <v>674216.15</v>
      </c>
      <c r="CG85" s="24">
        <v>263834.63</v>
      </c>
      <c r="CH85" s="24">
        <v>674216.15</v>
      </c>
      <c r="CI85" s="24">
        <v>64273.96</v>
      </c>
      <c r="CJ85" s="24">
        <v>674216.15</v>
      </c>
      <c r="CK85" s="24">
        <v>268431.64</v>
      </c>
      <c r="CL85" s="24">
        <v>662991.15</v>
      </c>
      <c r="CM85" s="24">
        <v>16726.169999999998</v>
      </c>
      <c r="CN85" s="24">
        <f t="shared" si="47"/>
        <v>679717.32000000007</v>
      </c>
      <c r="CO85" s="24">
        <v>261926.99</v>
      </c>
      <c r="CP85" s="24">
        <v>662991.59</v>
      </c>
      <c r="CQ85" s="24">
        <v>16726.169999999998</v>
      </c>
      <c r="CR85" s="24">
        <f t="shared" si="48"/>
        <v>679717.76</v>
      </c>
      <c r="CS85" s="24">
        <v>297793.65999999997</v>
      </c>
      <c r="CT85" s="24">
        <v>662991.59</v>
      </c>
      <c r="CU85" s="24">
        <v>16726.169999999998</v>
      </c>
      <c r="CV85" s="24">
        <f t="shared" si="49"/>
        <v>679717.76</v>
      </c>
      <c r="CW85" s="24">
        <v>303182.98</v>
      </c>
      <c r="CX85" s="24">
        <v>662991.59</v>
      </c>
      <c r="CY85" s="24">
        <v>16726.169999999998</v>
      </c>
      <c r="CZ85" s="24">
        <f t="shared" si="50"/>
        <v>679717.76</v>
      </c>
      <c r="DA85" s="27">
        <v>330000.40999999997</v>
      </c>
      <c r="DB85" s="24">
        <v>662991.59</v>
      </c>
      <c r="DC85" s="24">
        <v>16726.169999999998</v>
      </c>
      <c r="DD85" s="24">
        <f t="shared" si="57"/>
        <v>679717.76</v>
      </c>
      <c r="DE85" s="24">
        <v>327814.13</v>
      </c>
      <c r="DJ85" s="19" t="s">
        <v>495</v>
      </c>
      <c r="DK85" s="24">
        <v>715020</v>
      </c>
      <c r="DL85" s="24">
        <v>347467.44</v>
      </c>
      <c r="DM85" s="24">
        <v>715020</v>
      </c>
      <c r="DN85" s="24">
        <v>320661.44</v>
      </c>
      <c r="DO85" s="24">
        <v>715020</v>
      </c>
      <c r="DP85" s="28">
        <v>348095.23</v>
      </c>
      <c r="DQ85" s="24">
        <v>715020</v>
      </c>
      <c r="DR85" s="24"/>
      <c r="DS85" s="25">
        <f t="shared" si="44"/>
        <v>48.595485440966684</v>
      </c>
      <c r="DT85" s="25">
        <f t="shared" si="45"/>
        <v>44.846499398618221</v>
      </c>
      <c r="DU85" s="25">
        <f t="shared" si="46"/>
        <v>48.683285782215876</v>
      </c>
      <c r="DV85" s="24"/>
      <c r="DW85" s="25"/>
    </row>
    <row r="86" spans="1:127" s="13" customFormat="1" ht="15.95" customHeight="1" x14ac:dyDescent="0.2">
      <c r="A86" s="13" t="s">
        <v>143</v>
      </c>
      <c r="B86" s="26" t="s">
        <v>144</v>
      </c>
      <c r="C86" s="13" t="s">
        <v>145</v>
      </c>
      <c r="D86" s="26" t="s">
        <v>146</v>
      </c>
      <c r="E86" s="13" t="s">
        <v>147</v>
      </c>
      <c r="G86" s="13" t="s">
        <v>148</v>
      </c>
      <c r="H86" s="26" t="s">
        <v>149</v>
      </c>
      <c r="I86" s="13" t="s">
        <v>406</v>
      </c>
      <c r="J86" s="26" t="s">
        <v>455</v>
      </c>
      <c r="K86" s="26" t="s">
        <v>469</v>
      </c>
      <c r="L86" s="13" t="s">
        <v>470</v>
      </c>
      <c r="M86" s="19" t="s">
        <v>460</v>
      </c>
      <c r="N86" s="19">
        <v>314</v>
      </c>
      <c r="O86" s="19">
        <v>1</v>
      </c>
      <c r="Q86" s="14" t="s">
        <v>499</v>
      </c>
      <c r="R86" s="13" t="s">
        <v>500</v>
      </c>
      <c r="S86" s="13" t="s">
        <v>177</v>
      </c>
      <c r="T86" s="19" t="s">
        <v>501</v>
      </c>
      <c r="U86" s="13" t="s">
        <v>496</v>
      </c>
      <c r="V86" s="19"/>
      <c r="W86" s="19"/>
      <c r="X86" s="19"/>
      <c r="Y86" s="19"/>
      <c r="Z86" s="19"/>
      <c r="AA86" s="19"/>
      <c r="AB86" s="19" t="s">
        <v>165</v>
      </c>
      <c r="AC86" s="19"/>
      <c r="AD86" s="13" t="s">
        <v>160</v>
      </c>
      <c r="AG86" s="19"/>
      <c r="AI86" s="19"/>
      <c r="AJ86" s="20"/>
      <c r="AL86" s="19" t="s">
        <v>501</v>
      </c>
      <c r="AM86" s="24">
        <v>742779.3</v>
      </c>
      <c r="AS86" s="19" t="s">
        <v>502</v>
      </c>
      <c r="AT86" s="13" t="s">
        <v>503</v>
      </c>
      <c r="BU86" s="19" t="s">
        <v>501</v>
      </c>
      <c r="BX86" s="24">
        <v>712526.93</v>
      </c>
      <c r="BY86" s="24">
        <v>687884.75</v>
      </c>
      <c r="BZ86" s="27">
        <v>712526.93</v>
      </c>
      <c r="CA86" s="24">
        <v>757261.16</v>
      </c>
      <c r="CB86" s="24">
        <v>712526.93</v>
      </c>
      <c r="CC86" s="24">
        <v>769442.77</v>
      </c>
      <c r="CD86" s="24">
        <v>712526.93</v>
      </c>
      <c r="CE86" s="24">
        <v>196836.02</v>
      </c>
      <c r="CF86" s="24">
        <v>712526.93</v>
      </c>
      <c r="CG86" s="24">
        <v>288576.84000000003</v>
      </c>
      <c r="CH86" s="24">
        <v>712526.93</v>
      </c>
      <c r="CI86" s="24">
        <v>66477.41</v>
      </c>
      <c r="CJ86" s="24">
        <v>712526.93</v>
      </c>
      <c r="CK86" s="24">
        <v>291967.87</v>
      </c>
      <c r="CL86" s="24">
        <v>681148.93</v>
      </c>
      <c r="CM86" s="24">
        <v>47067.44</v>
      </c>
      <c r="CN86" s="24">
        <f t="shared" si="47"/>
        <v>728216.37000000011</v>
      </c>
      <c r="CO86" s="24">
        <v>256510.25</v>
      </c>
      <c r="CP86" s="24">
        <v>681148.92</v>
      </c>
      <c r="CQ86" s="24">
        <v>47067.44</v>
      </c>
      <c r="CR86" s="24">
        <f t="shared" si="48"/>
        <v>728216.3600000001</v>
      </c>
      <c r="CS86" s="24">
        <v>301331.09999999998</v>
      </c>
      <c r="CT86" s="24">
        <v>681148.92</v>
      </c>
      <c r="CU86" s="24">
        <v>47067.44</v>
      </c>
      <c r="CV86" s="24">
        <f t="shared" si="49"/>
        <v>728216.3600000001</v>
      </c>
      <c r="CW86" s="24">
        <v>313704.53999999998</v>
      </c>
      <c r="CX86" s="24">
        <v>681148.92</v>
      </c>
      <c r="CY86" s="24">
        <v>47067.44</v>
      </c>
      <c r="CZ86" s="24">
        <f t="shared" si="50"/>
        <v>728216.3600000001</v>
      </c>
      <c r="DA86" s="27">
        <v>361457.86</v>
      </c>
      <c r="DB86" s="24">
        <v>681148.92</v>
      </c>
      <c r="DC86" s="24">
        <v>47067.44</v>
      </c>
      <c r="DD86" s="24">
        <f t="shared" si="57"/>
        <v>728216.3600000001</v>
      </c>
      <c r="DE86" s="24">
        <v>368850.95</v>
      </c>
      <c r="DJ86" s="19" t="s">
        <v>501</v>
      </c>
      <c r="DK86" s="24">
        <v>742779.3</v>
      </c>
      <c r="DL86" s="24">
        <v>376004.24</v>
      </c>
      <c r="DM86" s="24">
        <v>742779.3</v>
      </c>
      <c r="DN86" s="24">
        <v>374751.05</v>
      </c>
      <c r="DO86" s="24">
        <v>742779.3</v>
      </c>
      <c r="DP86" s="28">
        <v>369000.32</v>
      </c>
      <c r="DQ86" s="24">
        <v>742779.3</v>
      </c>
      <c r="DR86" s="24"/>
      <c r="DS86" s="25">
        <f t="shared" si="44"/>
        <v>50.62125990856233</v>
      </c>
      <c r="DT86" s="25">
        <f t="shared" si="45"/>
        <v>50.452543575191179</v>
      </c>
      <c r="DU86" s="25">
        <f t="shared" si="46"/>
        <v>49.67832571532351</v>
      </c>
      <c r="DV86" s="24"/>
      <c r="DW86" s="25"/>
    </row>
    <row r="87" spans="1:127" s="13" customFormat="1" ht="15.95" customHeight="1" x14ac:dyDescent="0.2">
      <c r="A87" s="13" t="s">
        <v>143</v>
      </c>
      <c r="B87" s="26" t="s">
        <v>144</v>
      </c>
      <c r="C87" s="13" t="s">
        <v>145</v>
      </c>
      <c r="D87" s="26" t="s">
        <v>146</v>
      </c>
      <c r="E87" s="13" t="s">
        <v>147</v>
      </c>
      <c r="G87" s="13" t="s">
        <v>148</v>
      </c>
      <c r="H87" s="26" t="s">
        <v>149</v>
      </c>
      <c r="I87" s="13" t="s">
        <v>406</v>
      </c>
      <c r="J87" s="26" t="s">
        <v>455</v>
      </c>
      <c r="K87" s="26" t="s">
        <v>469</v>
      </c>
      <c r="L87" s="13" t="s">
        <v>470</v>
      </c>
      <c r="M87" s="19" t="s">
        <v>460</v>
      </c>
      <c r="N87" s="19">
        <v>314</v>
      </c>
      <c r="O87" s="19">
        <v>1</v>
      </c>
      <c r="Q87" s="14" t="s">
        <v>504</v>
      </c>
      <c r="R87" s="13" t="s">
        <v>505</v>
      </c>
      <c r="S87" s="13" t="s">
        <v>177</v>
      </c>
      <c r="T87" s="19" t="s">
        <v>506</v>
      </c>
      <c r="U87" s="13" t="s">
        <v>507</v>
      </c>
      <c r="V87" s="19"/>
      <c r="W87" s="19"/>
      <c r="X87" s="19"/>
      <c r="Y87" s="19"/>
      <c r="Z87" s="19"/>
      <c r="AA87" s="19"/>
      <c r="AB87" s="19" t="s">
        <v>170</v>
      </c>
      <c r="AC87" s="19"/>
      <c r="AD87" s="13" t="s">
        <v>160</v>
      </c>
      <c r="AG87" s="19"/>
      <c r="AI87" s="19"/>
      <c r="AJ87" s="20"/>
      <c r="AL87" s="19" t="s">
        <v>506</v>
      </c>
      <c r="AM87" s="24">
        <v>817020</v>
      </c>
      <c r="AW87" s="19" t="s">
        <v>508</v>
      </c>
      <c r="AX87" s="13" t="s">
        <v>509</v>
      </c>
      <c r="BC87" s="14">
        <v>26341</v>
      </c>
      <c r="BD87" s="13" t="s">
        <v>510</v>
      </c>
      <c r="BU87" s="19" t="s">
        <v>506</v>
      </c>
      <c r="BX87" s="24">
        <v>867313.05</v>
      </c>
      <c r="BY87" s="24">
        <v>720444.08</v>
      </c>
      <c r="BZ87" s="27">
        <v>867313.05</v>
      </c>
      <c r="CA87" s="24">
        <v>352063.95</v>
      </c>
      <c r="CB87" s="24">
        <v>867907.05</v>
      </c>
      <c r="CC87" s="24">
        <v>299591.26</v>
      </c>
      <c r="CD87" s="24">
        <v>867907.05</v>
      </c>
      <c r="CE87" s="24">
        <v>399877.06</v>
      </c>
      <c r="CF87" s="24">
        <v>867313.05</v>
      </c>
      <c r="CG87" s="24">
        <v>396245.78</v>
      </c>
      <c r="CH87" s="24">
        <v>867313.05</v>
      </c>
      <c r="CI87" s="24">
        <v>417829.05</v>
      </c>
      <c r="CJ87" s="24">
        <v>867313.05</v>
      </c>
      <c r="CK87" s="24">
        <v>438316.27</v>
      </c>
      <c r="CL87" s="24">
        <v>847414.05</v>
      </c>
      <c r="CM87" s="24">
        <v>29537.14</v>
      </c>
      <c r="CN87" s="24">
        <f t="shared" si="47"/>
        <v>876951.19000000006</v>
      </c>
      <c r="CO87" s="24">
        <v>501543.08</v>
      </c>
      <c r="CP87" s="24">
        <v>847413.92</v>
      </c>
      <c r="CQ87" s="24">
        <v>29537.14</v>
      </c>
      <c r="CR87" s="24">
        <f t="shared" si="48"/>
        <v>876951.06</v>
      </c>
      <c r="CS87" s="24">
        <v>497024.85</v>
      </c>
      <c r="CT87" s="24">
        <v>847413.92</v>
      </c>
      <c r="CU87" s="24">
        <v>29537.14</v>
      </c>
      <c r="CV87" s="24">
        <f t="shared" si="49"/>
        <v>876951.06</v>
      </c>
      <c r="CW87" s="24">
        <v>552784.21</v>
      </c>
      <c r="CX87" s="24">
        <f>707624-29537</f>
        <v>678087</v>
      </c>
      <c r="CY87" s="24">
        <v>29537.14</v>
      </c>
      <c r="CZ87" s="24">
        <f t="shared" si="50"/>
        <v>707624.14</v>
      </c>
      <c r="DA87" s="27">
        <v>561441.28000000003</v>
      </c>
      <c r="DB87" s="24">
        <f>707624-29537</f>
        <v>678087</v>
      </c>
      <c r="DC87" s="24">
        <v>29537.14</v>
      </c>
      <c r="DD87" s="24">
        <f t="shared" si="57"/>
        <v>707624.14</v>
      </c>
      <c r="DE87" s="24">
        <v>522003.01</v>
      </c>
      <c r="DJ87" s="19" t="s">
        <v>506</v>
      </c>
      <c r="DK87" s="24">
        <v>817020</v>
      </c>
      <c r="DL87" s="24">
        <v>553267.39</v>
      </c>
      <c r="DM87" s="24">
        <v>817020</v>
      </c>
      <c r="DN87" s="24">
        <v>551325.78</v>
      </c>
      <c r="DO87" s="24">
        <v>817020</v>
      </c>
      <c r="DP87" s="28">
        <v>521879.6</v>
      </c>
      <c r="DQ87" s="24">
        <v>817020</v>
      </c>
      <c r="DR87" s="24"/>
      <c r="DS87" s="25">
        <f t="shared" si="44"/>
        <v>67.717729064159997</v>
      </c>
      <c r="DT87" s="25">
        <f t="shared" si="45"/>
        <v>67.480083718880806</v>
      </c>
      <c r="DU87" s="25">
        <f t="shared" si="46"/>
        <v>63.875988347898463</v>
      </c>
      <c r="DV87" s="24"/>
      <c r="DW87" s="25"/>
    </row>
    <row r="88" spans="1:127" s="13" customFormat="1" ht="15.95" customHeight="1" x14ac:dyDescent="0.2">
      <c r="A88" s="13" t="s">
        <v>143</v>
      </c>
      <c r="B88" s="26" t="s">
        <v>144</v>
      </c>
      <c r="C88" s="13" t="s">
        <v>145</v>
      </c>
      <c r="D88" s="26" t="s">
        <v>146</v>
      </c>
      <c r="E88" s="13" t="s">
        <v>147</v>
      </c>
      <c r="G88" s="13" t="s">
        <v>148</v>
      </c>
      <c r="H88" s="26" t="s">
        <v>149</v>
      </c>
      <c r="I88" s="13" t="s">
        <v>406</v>
      </c>
      <c r="J88" s="26" t="s">
        <v>455</v>
      </c>
      <c r="K88" s="26" t="s">
        <v>469</v>
      </c>
      <c r="L88" s="13" t="s">
        <v>470</v>
      </c>
      <c r="M88" s="19" t="s">
        <v>460</v>
      </c>
      <c r="N88" s="19">
        <v>314</v>
      </c>
      <c r="O88" s="19">
        <v>1</v>
      </c>
      <c r="P88" s="19" t="s">
        <v>264</v>
      </c>
      <c r="Q88" s="14" t="s">
        <v>511</v>
      </c>
      <c r="R88" s="13" t="s">
        <v>512</v>
      </c>
      <c r="S88" s="13" t="s">
        <v>267</v>
      </c>
      <c r="T88" s="19" t="s">
        <v>513</v>
      </c>
      <c r="U88" s="13" t="s">
        <v>514</v>
      </c>
      <c r="V88" s="19"/>
      <c r="W88" s="19"/>
      <c r="X88" s="19"/>
      <c r="Y88" s="19"/>
      <c r="Z88" s="19"/>
      <c r="AA88" s="19"/>
      <c r="AB88" s="19" t="s">
        <v>170</v>
      </c>
      <c r="AC88" s="19"/>
      <c r="AD88" s="13" t="s">
        <v>160</v>
      </c>
      <c r="AG88" s="19"/>
      <c r="AI88" s="19"/>
      <c r="AJ88" s="20"/>
      <c r="AL88" s="19" t="s">
        <v>513</v>
      </c>
      <c r="AM88" s="24">
        <v>188700</v>
      </c>
      <c r="BU88" s="19" t="s">
        <v>513</v>
      </c>
      <c r="BX88" s="24">
        <v>164746.79999999999</v>
      </c>
      <c r="BY88" s="24">
        <v>85719.72</v>
      </c>
      <c r="BZ88" s="27">
        <v>164746.79999999999</v>
      </c>
      <c r="CA88" s="24">
        <v>82824.63</v>
      </c>
      <c r="CB88" s="24">
        <v>165340.79999999999</v>
      </c>
      <c r="CC88" s="24">
        <v>94582.720000000001</v>
      </c>
      <c r="CD88" s="24">
        <v>165340.79999999999</v>
      </c>
      <c r="CE88" s="24">
        <v>106949.87</v>
      </c>
      <c r="CF88" s="24">
        <v>164746.79999999999</v>
      </c>
      <c r="CG88" s="24">
        <v>106906.38</v>
      </c>
      <c r="CH88" s="24">
        <v>164746.79999999999</v>
      </c>
      <c r="CI88" s="24">
        <v>65479.1</v>
      </c>
      <c r="CJ88" s="24">
        <v>164746.79999999999</v>
      </c>
      <c r="CK88" s="24">
        <v>117216.79</v>
      </c>
      <c r="CL88" s="24">
        <v>162118.79999999999</v>
      </c>
      <c r="CM88" s="24">
        <v>3799.13</v>
      </c>
      <c r="CN88" s="24">
        <f t="shared" si="47"/>
        <v>165917.93</v>
      </c>
      <c r="CO88" s="24">
        <v>116005.67</v>
      </c>
      <c r="CP88" s="24">
        <v>162118.35999999999</v>
      </c>
      <c r="CQ88" s="24">
        <v>3799.13</v>
      </c>
      <c r="CR88" s="24">
        <f t="shared" si="48"/>
        <v>165917.49</v>
      </c>
      <c r="CS88" s="24">
        <v>101523.74</v>
      </c>
      <c r="CT88" s="24">
        <v>162118.35999999999</v>
      </c>
      <c r="CU88" s="24">
        <v>3799.13</v>
      </c>
      <c r="CV88" s="24">
        <f t="shared" si="49"/>
        <v>165917.49</v>
      </c>
      <c r="CW88" s="24">
        <v>166453.85</v>
      </c>
      <c r="CX88" s="24">
        <v>162118.35999999999</v>
      </c>
      <c r="CY88" s="24">
        <v>3799.13</v>
      </c>
      <c r="CZ88" s="24">
        <f t="shared" si="50"/>
        <v>165917.49</v>
      </c>
      <c r="DA88" s="27">
        <v>135237.65</v>
      </c>
      <c r="DB88" s="24">
        <v>162118.35999999999</v>
      </c>
      <c r="DC88" s="24">
        <v>3799.13</v>
      </c>
      <c r="DD88" s="24">
        <f t="shared" si="57"/>
        <v>165917.49</v>
      </c>
      <c r="DE88" s="24">
        <v>137675.32999999999</v>
      </c>
      <c r="DJ88" s="19" t="s">
        <v>513</v>
      </c>
      <c r="DK88" s="24">
        <v>188700</v>
      </c>
      <c r="DL88" s="24">
        <v>108314.01</v>
      </c>
      <c r="DM88" s="24">
        <v>188700</v>
      </c>
      <c r="DN88" s="24">
        <v>122649.22</v>
      </c>
      <c r="DO88" s="24">
        <v>188700</v>
      </c>
      <c r="DP88" s="28">
        <v>111101.78</v>
      </c>
      <c r="DQ88" s="24">
        <v>188700</v>
      </c>
      <c r="DR88" s="24"/>
      <c r="DS88" s="25">
        <f t="shared" si="44"/>
        <v>57.400111287758349</v>
      </c>
      <c r="DT88" s="25">
        <f t="shared" si="45"/>
        <v>64.996936936936933</v>
      </c>
      <c r="DU88" s="25">
        <f t="shared" si="46"/>
        <v>58.877466878643347</v>
      </c>
      <c r="DV88" s="24"/>
      <c r="DW88" s="25"/>
    </row>
    <row r="89" spans="1:127" s="13" customFormat="1" ht="15.95" customHeight="1" x14ac:dyDescent="0.2">
      <c r="A89" s="13" t="s">
        <v>143</v>
      </c>
      <c r="B89" s="26" t="s">
        <v>144</v>
      </c>
      <c r="C89" s="13" t="s">
        <v>145</v>
      </c>
      <c r="D89" s="26" t="s">
        <v>146</v>
      </c>
      <c r="E89" s="13" t="s">
        <v>147</v>
      </c>
      <c r="G89" s="13" t="s">
        <v>148</v>
      </c>
      <c r="H89" s="26" t="s">
        <v>149</v>
      </c>
      <c r="I89" s="13" t="s">
        <v>406</v>
      </c>
      <c r="J89" s="26" t="s">
        <v>455</v>
      </c>
      <c r="K89" s="26" t="s">
        <v>469</v>
      </c>
      <c r="L89" s="13" t="s">
        <v>470</v>
      </c>
      <c r="M89" s="19" t="s">
        <v>460</v>
      </c>
      <c r="N89" s="19">
        <v>314</v>
      </c>
      <c r="O89" s="19">
        <v>1</v>
      </c>
      <c r="Q89" s="14" t="s">
        <v>515</v>
      </c>
      <c r="R89" s="13" t="s">
        <v>516</v>
      </c>
      <c r="S89" s="13" t="s">
        <v>163</v>
      </c>
      <c r="T89" s="19" t="s">
        <v>517</v>
      </c>
      <c r="U89" s="13" t="s">
        <v>518</v>
      </c>
      <c r="V89" s="19"/>
      <c r="W89" s="19"/>
      <c r="X89" s="19"/>
      <c r="Y89" s="19"/>
      <c r="Z89" s="19"/>
      <c r="AA89" s="19"/>
      <c r="AB89" s="19" t="s">
        <v>195</v>
      </c>
      <c r="AC89" s="19"/>
      <c r="AD89" s="13" t="s">
        <v>160</v>
      </c>
      <c r="AG89" s="19" t="s">
        <v>519</v>
      </c>
      <c r="AI89" s="19" t="s">
        <v>195</v>
      </c>
      <c r="AJ89" s="20"/>
      <c r="AL89" s="19" t="s">
        <v>517</v>
      </c>
      <c r="AM89" s="24">
        <v>511020</v>
      </c>
      <c r="BU89" s="19" t="s">
        <v>517</v>
      </c>
      <c r="BX89" s="24">
        <v>300120.09000000003</v>
      </c>
      <c r="BY89" s="24">
        <v>304595.34999999998</v>
      </c>
      <c r="BZ89" s="27">
        <v>300120.09000000003</v>
      </c>
      <c r="CA89" s="24">
        <v>287501.7</v>
      </c>
      <c r="CB89" s="24">
        <v>300120.09000000003</v>
      </c>
      <c r="CC89" s="24">
        <v>344255.87</v>
      </c>
      <c r="CD89" s="24">
        <v>300120.09000000003</v>
      </c>
      <c r="CE89" s="24">
        <v>307017.84999999998</v>
      </c>
      <c r="CF89" s="24">
        <v>300120.09000000003</v>
      </c>
      <c r="CG89" s="24">
        <v>306054.67</v>
      </c>
      <c r="CH89" s="24">
        <v>300120.09000000003</v>
      </c>
      <c r="CI89" s="24">
        <v>226147.8</v>
      </c>
      <c r="CJ89" s="24">
        <v>400120</v>
      </c>
      <c r="CK89" s="24">
        <v>300512.71999999997</v>
      </c>
      <c r="CL89" s="24">
        <v>400120</v>
      </c>
      <c r="CM89" s="24">
        <v>0</v>
      </c>
      <c r="CN89" s="24">
        <f t="shared" si="47"/>
        <v>400120</v>
      </c>
      <c r="CO89" s="24">
        <v>329053.49</v>
      </c>
      <c r="CP89" s="24">
        <v>360120</v>
      </c>
      <c r="CQ89" s="24">
        <v>0</v>
      </c>
      <c r="CR89" s="24">
        <f t="shared" si="48"/>
        <v>360120</v>
      </c>
      <c r="CS89" s="24">
        <v>387843.57</v>
      </c>
      <c r="CT89" s="24">
        <v>360120</v>
      </c>
      <c r="CU89" s="24">
        <v>0</v>
      </c>
      <c r="CV89" s="24">
        <f t="shared" si="49"/>
        <v>360120</v>
      </c>
      <c r="CW89" s="24">
        <v>351123.62</v>
      </c>
      <c r="CX89" s="24">
        <v>401000</v>
      </c>
      <c r="CY89" s="24">
        <v>0</v>
      </c>
      <c r="CZ89" s="24">
        <f t="shared" si="50"/>
        <v>401000</v>
      </c>
      <c r="DA89" s="27">
        <v>357220.92</v>
      </c>
      <c r="DB89" s="24">
        <v>401000</v>
      </c>
      <c r="DC89" s="24">
        <v>0</v>
      </c>
      <c r="DD89" s="24">
        <f t="shared" si="57"/>
        <v>401000</v>
      </c>
      <c r="DE89" s="24">
        <v>353136.62</v>
      </c>
      <c r="DJ89" s="19" t="s">
        <v>517</v>
      </c>
      <c r="DK89" s="24">
        <v>511020</v>
      </c>
      <c r="DL89" s="24">
        <v>392705.69</v>
      </c>
      <c r="DM89" s="24">
        <v>511020</v>
      </c>
      <c r="DN89" s="24">
        <v>427657.58</v>
      </c>
      <c r="DO89" s="24">
        <v>511020</v>
      </c>
      <c r="DP89" s="28">
        <v>445680.34</v>
      </c>
      <c r="DQ89" s="24">
        <v>511020</v>
      </c>
      <c r="DR89" s="24"/>
      <c r="DS89" s="25">
        <f t="shared" si="44"/>
        <v>76.847420844585329</v>
      </c>
      <c r="DT89" s="25">
        <f t="shared" si="45"/>
        <v>83.687053344291812</v>
      </c>
      <c r="DU89" s="25">
        <f t="shared" si="46"/>
        <v>87.213874212359599</v>
      </c>
      <c r="DV89" s="24"/>
      <c r="DW89" s="25"/>
    </row>
  </sheetData>
  <conditionalFormatting sqref="AB2:AB10 AB12:AB26">
    <cfRule type="cellIs" dxfId="123" priority="122" operator="equal">
      <formula>"C"</formula>
    </cfRule>
    <cfRule type="containsText" dxfId="122" priority="123" operator="containsText" text="C&#10;/GROUP">
      <formula>NOT(ISERROR(SEARCH("C/GROUP",AB2)))</formula>
    </cfRule>
    <cfRule type="containsText" dxfId="121" priority="124" operator="containsText" text="C&#10;/GROUP">
      <formula>NOT(ISERROR(SEARCH("C/GROUP",AB2)))</formula>
    </cfRule>
  </conditionalFormatting>
  <conditionalFormatting sqref="BE8">
    <cfRule type="duplicateValues" dxfId="120" priority="121"/>
  </conditionalFormatting>
  <conditionalFormatting sqref="BE8">
    <cfRule type="duplicateValues" dxfId="119" priority="120"/>
  </conditionalFormatting>
  <conditionalFormatting sqref="DA3:DA10 DA15:DA26 DA12:DA13">
    <cfRule type="duplicateValues" dxfId="118" priority="119"/>
  </conditionalFormatting>
  <conditionalFormatting sqref="DP2:DP10 DP12:DP26">
    <cfRule type="duplicateValues" dxfId="117" priority="118"/>
  </conditionalFormatting>
  <conditionalFormatting sqref="AB11">
    <cfRule type="cellIs" dxfId="116" priority="115" operator="equal">
      <formula>"C"</formula>
    </cfRule>
    <cfRule type="containsText" dxfId="115" priority="116" operator="containsText" text="C&#10;/GROUP">
      <formula>NOT(ISERROR(SEARCH("C/GROUP",AB11)))</formula>
    </cfRule>
    <cfRule type="containsText" dxfId="114" priority="117" operator="containsText" text="C&#10;/GROUP">
      <formula>NOT(ISERROR(SEARCH("C/GROUP",AB11)))</formula>
    </cfRule>
  </conditionalFormatting>
  <conditionalFormatting sqref="DA11">
    <cfRule type="duplicateValues" dxfId="113" priority="114"/>
  </conditionalFormatting>
  <conditionalFormatting sqref="T11">
    <cfRule type="duplicateValues" dxfId="112" priority="113"/>
  </conditionalFormatting>
  <conditionalFormatting sqref="BU11">
    <cfRule type="duplicateValues" dxfId="111" priority="112"/>
  </conditionalFormatting>
  <conditionalFormatting sqref="Q11">
    <cfRule type="duplicateValues" dxfId="110" priority="111"/>
  </conditionalFormatting>
  <conditionalFormatting sqref="Q11">
    <cfRule type="duplicateValues" dxfId="109" priority="110"/>
  </conditionalFormatting>
  <conditionalFormatting sqref="Q11">
    <cfRule type="duplicateValues" dxfId="108" priority="109"/>
  </conditionalFormatting>
  <conditionalFormatting sqref="DJ11">
    <cfRule type="duplicateValues" dxfId="107" priority="108"/>
  </conditionalFormatting>
  <conditionalFormatting sqref="DP11">
    <cfRule type="duplicateValues" dxfId="106" priority="107"/>
  </conditionalFormatting>
  <conditionalFormatting sqref="BY2:BY26">
    <cfRule type="duplicateValues" dxfId="105" priority="106"/>
  </conditionalFormatting>
  <conditionalFormatting sqref="CA2:CA26">
    <cfRule type="duplicateValues" dxfId="104" priority="105"/>
  </conditionalFormatting>
  <conditionalFormatting sqref="CC2:CC26">
    <cfRule type="duplicateValues" dxfId="103" priority="104"/>
  </conditionalFormatting>
  <conditionalFormatting sqref="CE2:CE26">
    <cfRule type="duplicateValues" dxfId="102" priority="103"/>
  </conditionalFormatting>
  <conditionalFormatting sqref="CG2:CG26">
    <cfRule type="duplicateValues" dxfId="101" priority="102"/>
  </conditionalFormatting>
  <conditionalFormatting sqref="CI2:CI26">
    <cfRule type="duplicateValues" dxfId="100" priority="101"/>
  </conditionalFormatting>
  <conditionalFormatting sqref="CK2:CK26">
    <cfRule type="duplicateValues" dxfId="99" priority="100"/>
  </conditionalFormatting>
  <conditionalFormatting sqref="CO2:CO26">
    <cfRule type="duplicateValues" dxfId="98" priority="99"/>
  </conditionalFormatting>
  <conditionalFormatting sqref="CS2:CS26">
    <cfRule type="duplicateValues" dxfId="97" priority="98"/>
  </conditionalFormatting>
  <conditionalFormatting sqref="CW2:CW26">
    <cfRule type="duplicateValues" dxfId="96" priority="97"/>
  </conditionalFormatting>
  <conditionalFormatting sqref="DA2:DA26">
    <cfRule type="duplicateValues" dxfId="95" priority="96"/>
  </conditionalFormatting>
  <conditionalFormatting sqref="DE2:DE26">
    <cfRule type="duplicateValues" dxfId="94" priority="95"/>
  </conditionalFormatting>
  <conditionalFormatting sqref="CC2:CC26">
    <cfRule type="duplicateValues" dxfId="93" priority="94"/>
  </conditionalFormatting>
  <conditionalFormatting sqref="Q2:Q10 Q12:Q26">
    <cfRule type="duplicateValues" dxfId="92" priority="93"/>
  </conditionalFormatting>
  <conditionalFormatting sqref="AL11">
    <cfRule type="duplicateValues" dxfId="91" priority="92"/>
  </conditionalFormatting>
  <conditionalFormatting sqref="T3:T10 T12:T13 T15:T26">
    <cfRule type="duplicateValues" dxfId="90" priority="91"/>
  </conditionalFormatting>
  <conditionalFormatting sqref="BU3:BU10 BU15:BU26 BU12:BU13">
    <cfRule type="duplicateValues" dxfId="89" priority="90"/>
  </conditionalFormatting>
  <conditionalFormatting sqref="DJ3:DJ10 DJ15:DJ26 DJ12:DJ13">
    <cfRule type="duplicateValues" dxfId="88" priority="89"/>
  </conditionalFormatting>
  <conditionalFormatting sqref="Q2:Q10 Q12:Q26">
    <cfRule type="duplicateValues" dxfId="87" priority="88"/>
  </conditionalFormatting>
  <conditionalFormatting sqref="Q2:Q10 Q12:Q26">
    <cfRule type="duplicateValues" dxfId="86" priority="87"/>
  </conditionalFormatting>
  <conditionalFormatting sqref="AL3:AL10 AL15:AL26 AL12:AL13">
    <cfRule type="duplicateValues" dxfId="85" priority="86"/>
  </conditionalFormatting>
  <conditionalFormatting sqref="AB1">
    <cfRule type="cellIs" dxfId="84" priority="83" operator="equal">
      <formula>"C"</formula>
    </cfRule>
    <cfRule type="containsText" dxfId="83" priority="84" operator="containsText" text="C&#10;/GROUP">
      <formula>NOT(ISERROR(SEARCH("C/GROUP",AB1)))</formula>
    </cfRule>
    <cfRule type="containsText" dxfId="82" priority="85" operator="containsText" text="C&#10;/GROUP">
      <formula>NOT(ISERROR(SEARCH("C/GROUP",AB1)))</formula>
    </cfRule>
  </conditionalFormatting>
  <conditionalFormatting sqref="DE1">
    <cfRule type="duplicateValues" dxfId="81" priority="82"/>
  </conditionalFormatting>
  <conditionalFormatting sqref="DA1">
    <cfRule type="duplicateValues" dxfId="80" priority="81"/>
  </conditionalFormatting>
  <conditionalFormatting sqref="DP1">
    <cfRule type="duplicateValues" dxfId="79" priority="80"/>
  </conditionalFormatting>
  <conditionalFormatting sqref="BY1">
    <cfRule type="duplicateValues" dxfId="78" priority="79"/>
  </conditionalFormatting>
  <conditionalFormatting sqref="CA1">
    <cfRule type="duplicateValues" dxfId="77" priority="78"/>
  </conditionalFormatting>
  <conditionalFormatting sqref="CC1">
    <cfRule type="duplicateValues" dxfId="76" priority="77"/>
  </conditionalFormatting>
  <conditionalFormatting sqref="CE1">
    <cfRule type="duplicateValues" dxfId="75" priority="76"/>
  </conditionalFormatting>
  <conditionalFormatting sqref="CG1">
    <cfRule type="duplicateValues" dxfId="74" priority="75"/>
  </conditionalFormatting>
  <conditionalFormatting sqref="CI1">
    <cfRule type="duplicateValues" dxfId="73" priority="74"/>
  </conditionalFormatting>
  <conditionalFormatting sqref="CK1">
    <cfRule type="duplicateValues" dxfId="72" priority="73"/>
  </conditionalFormatting>
  <conditionalFormatting sqref="CO1">
    <cfRule type="duplicateValues" dxfId="71" priority="72"/>
  </conditionalFormatting>
  <conditionalFormatting sqref="CS1">
    <cfRule type="duplicateValues" dxfId="70" priority="71"/>
  </conditionalFormatting>
  <conditionalFormatting sqref="CW1">
    <cfRule type="duplicateValues" dxfId="69" priority="70"/>
  </conditionalFormatting>
  <conditionalFormatting sqref="DA1">
    <cfRule type="duplicateValues" dxfId="68" priority="69"/>
  </conditionalFormatting>
  <conditionalFormatting sqref="DE1">
    <cfRule type="duplicateValues" dxfId="67" priority="68"/>
  </conditionalFormatting>
  <conditionalFormatting sqref="CC1">
    <cfRule type="duplicateValues" dxfId="66" priority="67"/>
  </conditionalFormatting>
  <conditionalFormatting sqref="Q1">
    <cfRule type="duplicateValues" dxfId="65" priority="66"/>
  </conditionalFormatting>
  <conditionalFormatting sqref="DR1">
    <cfRule type="duplicateValues" dxfId="64" priority="65"/>
  </conditionalFormatting>
  <conditionalFormatting sqref="T1">
    <cfRule type="duplicateValues" dxfId="63" priority="64"/>
  </conditionalFormatting>
  <conditionalFormatting sqref="BU1">
    <cfRule type="duplicateValues" dxfId="62" priority="63"/>
  </conditionalFormatting>
  <conditionalFormatting sqref="DJ1">
    <cfRule type="duplicateValues" dxfId="61" priority="62"/>
  </conditionalFormatting>
  <conditionalFormatting sqref="Q1">
    <cfRule type="duplicateValues" dxfId="60" priority="61"/>
  </conditionalFormatting>
  <conditionalFormatting sqref="Q1">
    <cfRule type="duplicateValues" dxfId="59" priority="60"/>
  </conditionalFormatting>
  <conditionalFormatting sqref="AL1">
    <cfRule type="duplicateValues" dxfId="58" priority="59"/>
  </conditionalFormatting>
  <conditionalFormatting sqref="AB28:AB62">
    <cfRule type="cellIs" dxfId="57" priority="56" operator="equal">
      <formula>"C"</formula>
    </cfRule>
    <cfRule type="containsText" dxfId="56" priority="57" operator="containsText" text="C&#10;/GROUP">
      <formula>NOT(ISERROR(SEARCH("C/GROUP",AB28)))</formula>
    </cfRule>
    <cfRule type="containsText" dxfId="55" priority="58" operator="containsText" text="C&#10;/GROUP">
      <formula>NOT(ISERROR(SEARCH("C/GROUP",AB28)))</formula>
    </cfRule>
  </conditionalFormatting>
  <conditionalFormatting sqref="AG52">
    <cfRule type="duplicateValues" dxfId="54" priority="55"/>
  </conditionalFormatting>
  <conditionalFormatting sqref="DA29:DA40 DA42:DA51 DA53:DA62">
    <cfRule type="duplicateValues" dxfId="53" priority="54"/>
  </conditionalFormatting>
  <conditionalFormatting sqref="DP28:DP62">
    <cfRule type="duplicateValues" dxfId="52" priority="53"/>
  </conditionalFormatting>
  <conditionalFormatting sqref="BY28:BY62">
    <cfRule type="duplicateValues" dxfId="51" priority="52"/>
  </conditionalFormatting>
  <conditionalFormatting sqref="CA28:CA62">
    <cfRule type="duplicateValues" dxfId="50" priority="51"/>
  </conditionalFormatting>
  <conditionalFormatting sqref="CC28:CC62">
    <cfRule type="duplicateValues" dxfId="49" priority="50"/>
  </conditionalFormatting>
  <conditionalFormatting sqref="CE28:CE62">
    <cfRule type="duplicateValues" dxfId="48" priority="49"/>
  </conditionalFormatting>
  <conditionalFormatting sqref="CG28:CG62">
    <cfRule type="duplicateValues" dxfId="47" priority="48"/>
  </conditionalFormatting>
  <conditionalFormatting sqref="CI28:CI62">
    <cfRule type="duplicateValues" dxfId="46" priority="47"/>
  </conditionalFormatting>
  <conditionalFormatting sqref="CK28:CK62">
    <cfRule type="duplicateValues" dxfId="45" priority="46"/>
  </conditionalFormatting>
  <conditionalFormatting sqref="CO28:CO62">
    <cfRule type="duplicateValues" dxfId="44" priority="45"/>
  </conditionalFormatting>
  <conditionalFormatting sqref="CS28:CS62">
    <cfRule type="duplicateValues" dxfId="43" priority="44"/>
  </conditionalFormatting>
  <conditionalFormatting sqref="CW28:CW62">
    <cfRule type="duplicateValues" dxfId="42" priority="43"/>
  </conditionalFormatting>
  <conditionalFormatting sqref="DA28:DA62">
    <cfRule type="duplicateValues" dxfId="41" priority="42"/>
  </conditionalFormatting>
  <conditionalFormatting sqref="DE28:DE62">
    <cfRule type="duplicateValues" dxfId="40" priority="41"/>
  </conditionalFormatting>
  <conditionalFormatting sqref="CC28:CC62">
    <cfRule type="duplicateValues" dxfId="39" priority="40"/>
  </conditionalFormatting>
  <conditionalFormatting sqref="Q28:Q62">
    <cfRule type="duplicateValues" dxfId="38" priority="39"/>
  </conditionalFormatting>
  <conditionalFormatting sqref="T28:T40 T42:T62">
    <cfRule type="duplicateValues" dxfId="37" priority="38"/>
  </conditionalFormatting>
  <conditionalFormatting sqref="BU28:BU40 BU42:BU62">
    <cfRule type="duplicateValues" dxfId="36" priority="37"/>
  </conditionalFormatting>
  <conditionalFormatting sqref="DJ28:DJ40 DJ42:DJ62">
    <cfRule type="duplicateValues" dxfId="35" priority="36"/>
  </conditionalFormatting>
  <conditionalFormatting sqref="Q28:Q62">
    <cfRule type="duplicateValues" dxfId="34" priority="35"/>
  </conditionalFormatting>
  <conditionalFormatting sqref="Q28:Q62">
    <cfRule type="duplicateValues" dxfId="33" priority="34"/>
  </conditionalFormatting>
  <conditionalFormatting sqref="AL28:AL40 AL42:AL62">
    <cfRule type="duplicateValues" dxfId="32" priority="33"/>
  </conditionalFormatting>
  <conditionalFormatting sqref="BC87">
    <cfRule type="duplicateValues" dxfId="31" priority="32"/>
  </conditionalFormatting>
  <conditionalFormatting sqref="AB64:AB89">
    <cfRule type="cellIs" dxfId="30" priority="29" operator="equal">
      <formula>"C"</formula>
    </cfRule>
    <cfRule type="containsText" dxfId="29" priority="30" operator="containsText" text="C&#10;/GROUP">
      <formula>NOT(ISERROR(SEARCH("C/GROUP",AB64)))</formula>
    </cfRule>
    <cfRule type="containsText" dxfId="28" priority="31" operator="containsText" text="C&#10;/GROUP">
      <formula>NOT(ISERROR(SEARCH("C/GROUP",AB64)))</formula>
    </cfRule>
  </conditionalFormatting>
  <conditionalFormatting sqref="BI66">
    <cfRule type="duplicateValues" dxfId="27" priority="28"/>
  </conditionalFormatting>
  <conditionalFormatting sqref="BI66">
    <cfRule type="duplicateValues" dxfId="26" priority="27"/>
  </conditionalFormatting>
  <conditionalFormatting sqref="BI66">
    <cfRule type="duplicateValues" dxfId="25" priority="26"/>
  </conditionalFormatting>
  <conditionalFormatting sqref="DA78:DA89 DA65:DA75">
    <cfRule type="duplicateValues" dxfId="24" priority="25"/>
  </conditionalFormatting>
  <conditionalFormatting sqref="DP64:DP89">
    <cfRule type="duplicateValues" dxfId="23" priority="24"/>
  </conditionalFormatting>
  <conditionalFormatting sqref="BY64:BY89">
    <cfRule type="duplicateValues" dxfId="22" priority="23"/>
  </conditionalFormatting>
  <conditionalFormatting sqref="CA64:CA89">
    <cfRule type="duplicateValues" dxfId="21" priority="22"/>
  </conditionalFormatting>
  <conditionalFormatting sqref="CC64:CC89">
    <cfRule type="duplicateValues" dxfId="20" priority="21"/>
  </conditionalFormatting>
  <conditionalFormatting sqref="CE64:CE89">
    <cfRule type="duplicateValues" dxfId="19" priority="20"/>
  </conditionalFormatting>
  <conditionalFormatting sqref="CG64:CG89">
    <cfRule type="duplicateValues" dxfId="18" priority="19"/>
  </conditionalFormatting>
  <conditionalFormatting sqref="CI64:CI89">
    <cfRule type="duplicateValues" dxfId="17" priority="18"/>
  </conditionalFormatting>
  <conditionalFormatting sqref="CK64:CK89">
    <cfRule type="duplicateValues" dxfId="16" priority="17"/>
  </conditionalFormatting>
  <conditionalFormatting sqref="CO64:CO89">
    <cfRule type="duplicateValues" dxfId="15" priority="16"/>
  </conditionalFormatting>
  <conditionalFormatting sqref="CS64:CS89">
    <cfRule type="duplicateValues" dxfId="14" priority="15"/>
  </conditionalFormatting>
  <conditionalFormatting sqref="CW64:CW89">
    <cfRule type="duplicateValues" dxfId="13" priority="14"/>
  </conditionalFormatting>
  <conditionalFormatting sqref="DA64:DA89">
    <cfRule type="duplicateValues" dxfId="12" priority="13"/>
  </conditionalFormatting>
  <conditionalFormatting sqref="DE64:DE89">
    <cfRule type="duplicateValues" dxfId="11" priority="12"/>
  </conditionalFormatting>
  <conditionalFormatting sqref="CC64:CC89">
    <cfRule type="duplicateValues" dxfId="10" priority="11"/>
  </conditionalFormatting>
  <conditionalFormatting sqref="Q64:Q89">
    <cfRule type="duplicateValues" dxfId="9" priority="10"/>
  </conditionalFormatting>
  <conditionalFormatting sqref="M65:M74">
    <cfRule type="duplicateValues" dxfId="8" priority="9"/>
  </conditionalFormatting>
  <conditionalFormatting sqref="M65:M74">
    <cfRule type="duplicateValues" dxfId="7" priority="8"/>
  </conditionalFormatting>
  <conditionalFormatting sqref="M65:M74">
    <cfRule type="duplicateValues" dxfId="6" priority="7"/>
  </conditionalFormatting>
  <conditionalFormatting sqref="T64:T89">
    <cfRule type="duplicateValues" dxfId="5" priority="6"/>
  </conditionalFormatting>
  <conditionalFormatting sqref="BU64:BU89">
    <cfRule type="duplicateValues" dxfId="4" priority="5"/>
  </conditionalFormatting>
  <conditionalFormatting sqref="DJ64:DJ89">
    <cfRule type="duplicateValues" dxfId="3" priority="4"/>
  </conditionalFormatting>
  <conditionalFormatting sqref="Q64:Q89">
    <cfRule type="duplicateValues" dxfId="2" priority="3"/>
  </conditionalFormatting>
  <conditionalFormatting sqref="Q64:Q89">
    <cfRule type="duplicateValues" dxfId="1" priority="2"/>
  </conditionalFormatting>
  <conditionalFormatting sqref="AL64:AL89">
    <cfRule type="duplicateValues" dxfId="0" priority="1"/>
  </conditionalFormatting>
  <pageMargins left="0.7" right="0.7" top="1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6"/>
  <sheetViews>
    <sheetView workbookViewId="0">
      <selection activeCell="H1" sqref="H1:I1048576"/>
    </sheetView>
  </sheetViews>
  <sheetFormatPr defaultColWidth="16.42578125" defaultRowHeight="15" x14ac:dyDescent="0.25"/>
  <cols>
    <col min="1" max="1" width="5.5703125" bestFit="1" customWidth="1"/>
    <col min="2" max="2" width="31.7109375" style="68" customWidth="1"/>
    <col min="3" max="3" width="15.85546875" bestFit="1" customWidth="1"/>
    <col min="4" max="4" width="13.5703125" bestFit="1" customWidth="1"/>
    <col min="5" max="5" width="10.85546875" style="69" bestFit="1" customWidth="1"/>
    <col min="6" max="6" width="13.42578125" bestFit="1" customWidth="1"/>
    <col min="7" max="7" width="11" style="70" customWidth="1"/>
  </cols>
  <sheetData>
    <row r="1" spans="1:7" s="67" customFormat="1" ht="16.5" x14ac:dyDescent="0.35">
      <c r="A1" s="93" t="s">
        <v>31</v>
      </c>
      <c r="B1" s="94" t="s">
        <v>32</v>
      </c>
      <c r="C1" s="95" t="s">
        <v>33</v>
      </c>
      <c r="D1" s="95" t="s">
        <v>34</v>
      </c>
      <c r="E1" s="96" t="s">
        <v>35</v>
      </c>
      <c r="F1" s="95" t="s">
        <v>36</v>
      </c>
      <c r="G1" s="97" t="s">
        <v>557</v>
      </c>
    </row>
    <row r="2" spans="1:7" ht="15.75" x14ac:dyDescent="0.3">
      <c r="A2" s="91">
        <v>3027</v>
      </c>
      <c r="B2" s="78" t="s">
        <v>0</v>
      </c>
      <c r="C2" s="80" t="s">
        <v>29</v>
      </c>
      <c r="D2" s="80" t="s">
        <v>39</v>
      </c>
      <c r="E2" s="81">
        <v>40909</v>
      </c>
      <c r="F2" s="103">
        <v>30000</v>
      </c>
      <c r="G2" s="92">
        <f>F2*9%</f>
        <v>2700</v>
      </c>
    </row>
    <row r="3" spans="1:7" ht="15.75" x14ac:dyDescent="0.3">
      <c r="A3" s="91">
        <v>3262</v>
      </c>
      <c r="B3" s="78" t="s">
        <v>3</v>
      </c>
      <c r="C3" s="80" t="s">
        <v>1</v>
      </c>
      <c r="D3" s="80" t="s">
        <v>39</v>
      </c>
      <c r="E3" s="81">
        <v>35765</v>
      </c>
      <c r="F3" s="103">
        <v>30001.5</v>
      </c>
      <c r="G3" s="92">
        <f>F3*9%</f>
        <v>2700.1349999999998</v>
      </c>
    </row>
    <row r="4" spans="1:7" ht="15.75" x14ac:dyDescent="0.3">
      <c r="A4" s="91">
        <v>3267</v>
      </c>
      <c r="B4" s="78" t="s">
        <v>5</v>
      </c>
      <c r="C4" s="80" t="s">
        <v>1</v>
      </c>
      <c r="D4" s="80" t="s">
        <v>39</v>
      </c>
      <c r="E4" s="81">
        <v>36251</v>
      </c>
      <c r="F4" s="103">
        <v>24937.5</v>
      </c>
      <c r="G4" s="92"/>
    </row>
    <row r="5" spans="1:7" ht="15.75" x14ac:dyDescent="0.3">
      <c r="A5" s="91">
        <v>1184</v>
      </c>
      <c r="B5" s="78" t="s">
        <v>7</v>
      </c>
      <c r="C5" s="80" t="s">
        <v>8</v>
      </c>
      <c r="D5" s="80" t="s">
        <v>39</v>
      </c>
      <c r="E5" s="81">
        <v>35683</v>
      </c>
      <c r="F5" s="103">
        <v>20610</v>
      </c>
      <c r="G5" s="92">
        <f>F5*9%+144.12</f>
        <v>1999.02</v>
      </c>
    </row>
    <row r="6" spans="1:7" ht="15.75" x14ac:dyDescent="0.3">
      <c r="A6" s="91">
        <v>3273</v>
      </c>
      <c r="B6" s="78" t="s">
        <v>10</v>
      </c>
      <c r="C6" s="80" t="s">
        <v>8</v>
      </c>
      <c r="D6" s="80" t="s">
        <v>39</v>
      </c>
      <c r="E6" s="81">
        <v>36731</v>
      </c>
      <c r="F6" s="103">
        <v>20610</v>
      </c>
      <c r="G6" s="92">
        <f>F6*9%</f>
        <v>1854.8999999999999</v>
      </c>
    </row>
    <row r="7" spans="1:7" ht="15.75" x14ac:dyDescent="0.3">
      <c r="A7" s="91">
        <v>3297</v>
      </c>
      <c r="B7" s="78" t="s">
        <v>12</v>
      </c>
      <c r="C7" s="80" t="s">
        <v>30</v>
      </c>
      <c r="D7" s="80" t="s">
        <v>39</v>
      </c>
      <c r="E7" s="81">
        <v>38504</v>
      </c>
      <c r="F7" s="103">
        <v>14040</v>
      </c>
      <c r="G7" s="92">
        <f>F7*9%</f>
        <v>1263.5999999999999</v>
      </c>
    </row>
    <row r="8" spans="1:7" ht="15.75" x14ac:dyDescent="0.3">
      <c r="A8" s="91">
        <v>3361</v>
      </c>
      <c r="B8" s="78" t="s">
        <v>37</v>
      </c>
      <c r="C8" s="80" t="s">
        <v>30</v>
      </c>
      <c r="D8" s="80" t="s">
        <v>39</v>
      </c>
      <c r="E8" s="81">
        <v>39142</v>
      </c>
      <c r="F8" s="103">
        <v>13218.75</v>
      </c>
      <c r="G8" s="92"/>
    </row>
    <row r="9" spans="1:7" ht="15.75" x14ac:dyDescent="0.3">
      <c r="A9" s="91">
        <v>3367</v>
      </c>
      <c r="B9" s="78" t="s">
        <v>15</v>
      </c>
      <c r="C9" s="80" t="s">
        <v>8</v>
      </c>
      <c r="D9" s="80" t="s">
        <v>39</v>
      </c>
      <c r="E9" s="81">
        <v>39418</v>
      </c>
      <c r="F9" s="103">
        <v>11576.25</v>
      </c>
      <c r="G9" s="92">
        <f>F9*9%</f>
        <v>1041.8625</v>
      </c>
    </row>
    <row r="10" spans="1:7" ht="15.75" x14ac:dyDescent="0.3">
      <c r="A10" s="91">
        <v>3395</v>
      </c>
      <c r="B10" s="78" t="s">
        <v>38</v>
      </c>
      <c r="C10" s="80" t="s">
        <v>8</v>
      </c>
      <c r="D10" s="80" t="s">
        <v>39</v>
      </c>
      <c r="E10" s="81">
        <v>40685</v>
      </c>
      <c r="F10" s="103">
        <v>10755</v>
      </c>
      <c r="G10" s="92">
        <f>F10*9%</f>
        <v>967.94999999999993</v>
      </c>
    </row>
    <row r="11" spans="1:7" ht="15.75" x14ac:dyDescent="0.3">
      <c r="A11" s="91">
        <v>3394</v>
      </c>
      <c r="B11" s="78" t="s">
        <v>40</v>
      </c>
      <c r="C11" s="80" t="s">
        <v>8</v>
      </c>
      <c r="D11" s="80" t="s">
        <v>39</v>
      </c>
      <c r="E11" s="81">
        <v>40253</v>
      </c>
      <c r="F11" s="103">
        <v>11576.25</v>
      </c>
      <c r="G11" s="92"/>
    </row>
    <row r="12" spans="1:7" ht="15.75" x14ac:dyDescent="0.3">
      <c r="A12" s="91">
        <v>3636</v>
      </c>
      <c r="B12" s="78" t="s">
        <v>19</v>
      </c>
      <c r="C12" s="80" t="s">
        <v>8</v>
      </c>
      <c r="D12" s="80" t="s">
        <v>39</v>
      </c>
      <c r="E12" s="81">
        <v>40622</v>
      </c>
      <c r="F12" s="103">
        <v>10755</v>
      </c>
      <c r="G12" s="92">
        <f>F12*9%</f>
        <v>967.94999999999993</v>
      </c>
    </row>
    <row r="13" spans="1:7" ht="15.75" x14ac:dyDescent="0.3">
      <c r="A13" s="91">
        <v>3661</v>
      </c>
      <c r="B13" s="78" t="s">
        <v>21</v>
      </c>
      <c r="C13" s="80" t="s">
        <v>22</v>
      </c>
      <c r="D13" s="80" t="s">
        <v>39</v>
      </c>
      <c r="E13" s="81">
        <v>41148</v>
      </c>
      <c r="F13" s="103">
        <v>10323.75</v>
      </c>
      <c r="G13" s="92">
        <f>F13*9%</f>
        <v>929.13749999999993</v>
      </c>
    </row>
    <row r="14" spans="1:7" ht="15.75" x14ac:dyDescent="0.3">
      <c r="A14" s="91">
        <v>3668</v>
      </c>
      <c r="B14" s="78" t="s">
        <v>24</v>
      </c>
      <c r="C14" s="80" t="s">
        <v>22</v>
      </c>
      <c r="D14" s="80" t="s">
        <v>39</v>
      </c>
      <c r="E14" s="81">
        <v>41396</v>
      </c>
      <c r="F14" s="103">
        <v>10323.75</v>
      </c>
      <c r="G14" s="92">
        <f>F14*9%</f>
        <v>929.13749999999993</v>
      </c>
    </row>
    <row r="15" spans="1:7" ht="15.75" x14ac:dyDescent="0.3">
      <c r="A15" s="98">
        <v>3652</v>
      </c>
      <c r="B15" s="99" t="s">
        <v>26</v>
      </c>
      <c r="C15" s="100" t="s">
        <v>27</v>
      </c>
      <c r="D15" s="100" t="s">
        <v>39</v>
      </c>
      <c r="E15" s="101">
        <v>41038</v>
      </c>
      <c r="F15" s="103">
        <v>4803.75</v>
      </c>
      <c r="G15" s="102">
        <f>F15*9%</f>
        <v>432.33749999999998</v>
      </c>
    </row>
    <row r="16" spans="1:7" ht="15.75" x14ac:dyDescent="0.3">
      <c r="A16" s="104">
        <v>3555</v>
      </c>
      <c r="B16" s="105" t="s">
        <v>558</v>
      </c>
      <c r="C16" s="106" t="s">
        <v>22</v>
      </c>
      <c r="D16" s="106" t="s">
        <v>39</v>
      </c>
      <c r="E16" s="107">
        <v>41253</v>
      </c>
      <c r="F16" s="103">
        <v>2450</v>
      </c>
      <c r="G16" s="108">
        <f>F16*9%</f>
        <v>220.5</v>
      </c>
    </row>
  </sheetData>
  <protectedRanges>
    <protectedRange algorithmName="SHA-512" hashValue="qC5wwZU5k3q7eSVjCxRNAhAU1dXJcWggXeuDydQlqJuld/FoOUmwUOWWsgmncJfLy1G/B4sm2QkDBAf+FMNr6A==" saltValue="a0O3KLlG33QiRmZJZQTqkA==" spinCount="100000" sqref="A1:G15" name="Range1"/>
  </protectedRanges>
  <dataValidations count="1">
    <dataValidation type="list" allowBlank="1" showInputMessage="1" showErrorMessage="1" sqref="B2:B16" xr:uid="{00000000-0002-0000-0B00-000000000000}">
      <formula1>$B$2:$B$16</formula1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N24"/>
  <sheetViews>
    <sheetView workbookViewId="0">
      <selection activeCell="A14" sqref="A14"/>
    </sheetView>
  </sheetViews>
  <sheetFormatPr defaultRowHeight="15" x14ac:dyDescent="0.25"/>
  <cols>
    <col min="1" max="1" width="25.140625" customWidth="1"/>
  </cols>
  <sheetData>
    <row r="4" spans="1:1" x14ac:dyDescent="0.25">
      <c r="A4" t="s">
        <v>554</v>
      </c>
    </row>
    <row r="5" spans="1:1" x14ac:dyDescent="0.25">
      <c r="A5" t="s">
        <v>554</v>
      </c>
    </row>
    <row r="10" spans="1:1" x14ac:dyDescent="0.25">
      <c r="A10" t="str">
        <f>LEFT(A4,FIND(" ",A4)-1)</f>
        <v>Sree_Sajib</v>
      </c>
    </row>
    <row r="11" spans="1:1" x14ac:dyDescent="0.25">
      <c r="A11" t="str">
        <f>LEFT(A5,FIND(" ",A5)-1)</f>
        <v>Sree_Sajib</v>
      </c>
    </row>
    <row r="12" spans="1:1" x14ac:dyDescent="0.25">
      <c r="A12" t="s">
        <v>555</v>
      </c>
    </row>
    <row r="13" spans="1:1" x14ac:dyDescent="0.25">
      <c r="A13" t="str">
        <f>MID(A4,FIND(" ",A4)+1,FIND(" ",A4,FIND(" ",A4)+1)-1-FIND(" ",A4))</f>
        <v>Sarker</v>
      </c>
    </row>
    <row r="14" spans="1:1" x14ac:dyDescent="0.25">
      <c r="A14" t="str">
        <f>MID(A5,FIND(" ",A5)+1,FIND(" ",A5,FIND(" ",A5)+1)-1-FIND(" ",A5))</f>
        <v>Sarker</v>
      </c>
    </row>
    <row r="16" spans="1:1" x14ac:dyDescent="0.25">
      <c r="A16" t="str">
        <f>RIGHT(A4,LEN(A4)-FIND(" ",A4,FIND(" ",A4)+1))</f>
        <v>ORIG</v>
      </c>
    </row>
    <row r="17" spans="1:14" x14ac:dyDescent="0.25">
      <c r="A17" t="str">
        <f>RIGHT(A5,LEN(A5)-FIND(" ",A5,FIND(" ",A5)+1))</f>
        <v>ORIG</v>
      </c>
    </row>
    <row r="24" spans="1:14" x14ac:dyDescent="0.25">
      <c r="N24" t="str">
        <f>RIGHT(A5,LEN(A5)-FIND(" ",A5,FIND(" ",A5)+1))</f>
        <v>ORIG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01"/>
  <sheetViews>
    <sheetView topLeftCell="A199" zoomScale="80" zoomScaleNormal="80" workbookViewId="0">
      <selection activeCell="I186" sqref="I186"/>
    </sheetView>
  </sheetViews>
  <sheetFormatPr defaultRowHeight="12.75" x14ac:dyDescent="0.2"/>
  <cols>
    <col min="1" max="1" width="6.140625" style="111" customWidth="1"/>
    <col min="2" max="2" width="10.7109375" style="111" customWidth="1"/>
    <col min="3" max="3" width="25.85546875" style="110" customWidth="1"/>
    <col min="4" max="14" width="18.140625" style="110" bestFit="1" customWidth="1"/>
    <col min="15" max="15" width="18.140625" style="110" customWidth="1"/>
    <col min="16" max="16" width="16.7109375" style="110" bestFit="1" customWidth="1"/>
    <col min="17" max="256" width="9.140625" style="110"/>
    <col min="257" max="257" width="6.140625" style="110" customWidth="1"/>
    <col min="258" max="258" width="10.28515625" style="110" customWidth="1"/>
    <col min="259" max="259" width="27.85546875" style="110" customWidth="1"/>
    <col min="260" max="270" width="18.140625" style="110" bestFit="1" customWidth="1"/>
    <col min="271" max="271" width="19.42578125" style="110" bestFit="1" customWidth="1"/>
    <col min="272" max="512" width="9.140625" style="110"/>
    <col min="513" max="513" width="6.140625" style="110" customWidth="1"/>
    <col min="514" max="514" width="10.28515625" style="110" customWidth="1"/>
    <col min="515" max="515" width="27.85546875" style="110" customWidth="1"/>
    <col min="516" max="526" width="18.140625" style="110" bestFit="1" customWidth="1"/>
    <col min="527" max="527" width="19.42578125" style="110" bestFit="1" customWidth="1"/>
    <col min="528" max="768" width="9.140625" style="110"/>
    <col min="769" max="769" width="6.140625" style="110" customWidth="1"/>
    <col min="770" max="770" width="10.28515625" style="110" customWidth="1"/>
    <col min="771" max="771" width="27.85546875" style="110" customWidth="1"/>
    <col min="772" max="782" width="18.140625" style="110" bestFit="1" customWidth="1"/>
    <col min="783" max="783" width="19.42578125" style="110" bestFit="1" customWidth="1"/>
    <col min="784" max="1024" width="9.140625" style="110"/>
    <col min="1025" max="1025" width="6.140625" style="110" customWidth="1"/>
    <col min="1026" max="1026" width="10.28515625" style="110" customWidth="1"/>
    <col min="1027" max="1027" width="27.85546875" style="110" customWidth="1"/>
    <col min="1028" max="1038" width="18.140625" style="110" bestFit="1" customWidth="1"/>
    <col min="1039" max="1039" width="19.42578125" style="110" bestFit="1" customWidth="1"/>
    <col min="1040" max="1280" width="9.140625" style="110"/>
    <col min="1281" max="1281" width="6.140625" style="110" customWidth="1"/>
    <col min="1282" max="1282" width="10.28515625" style="110" customWidth="1"/>
    <col min="1283" max="1283" width="27.85546875" style="110" customWidth="1"/>
    <col min="1284" max="1294" width="18.140625" style="110" bestFit="1" customWidth="1"/>
    <col min="1295" max="1295" width="19.42578125" style="110" bestFit="1" customWidth="1"/>
    <col min="1296" max="1536" width="9.140625" style="110"/>
    <col min="1537" max="1537" width="6.140625" style="110" customWidth="1"/>
    <col min="1538" max="1538" width="10.28515625" style="110" customWidth="1"/>
    <col min="1539" max="1539" width="27.85546875" style="110" customWidth="1"/>
    <col min="1540" max="1550" width="18.140625" style="110" bestFit="1" customWidth="1"/>
    <col min="1551" max="1551" width="19.42578125" style="110" bestFit="1" customWidth="1"/>
    <col min="1552" max="1792" width="9.140625" style="110"/>
    <col min="1793" max="1793" width="6.140625" style="110" customWidth="1"/>
    <col min="1794" max="1794" width="10.28515625" style="110" customWidth="1"/>
    <col min="1795" max="1795" width="27.85546875" style="110" customWidth="1"/>
    <col min="1796" max="1806" width="18.140625" style="110" bestFit="1" customWidth="1"/>
    <col min="1807" max="1807" width="19.42578125" style="110" bestFit="1" customWidth="1"/>
    <col min="1808" max="2048" width="9.140625" style="110"/>
    <col min="2049" max="2049" width="6.140625" style="110" customWidth="1"/>
    <col min="2050" max="2050" width="10.28515625" style="110" customWidth="1"/>
    <col min="2051" max="2051" width="27.85546875" style="110" customWidth="1"/>
    <col min="2052" max="2062" width="18.140625" style="110" bestFit="1" customWidth="1"/>
    <col min="2063" max="2063" width="19.42578125" style="110" bestFit="1" customWidth="1"/>
    <col min="2064" max="2304" width="9.140625" style="110"/>
    <col min="2305" max="2305" width="6.140625" style="110" customWidth="1"/>
    <col min="2306" max="2306" width="10.28515625" style="110" customWidth="1"/>
    <col min="2307" max="2307" width="27.85546875" style="110" customWidth="1"/>
    <col min="2308" max="2318" width="18.140625" style="110" bestFit="1" customWidth="1"/>
    <col min="2319" max="2319" width="19.42578125" style="110" bestFit="1" customWidth="1"/>
    <col min="2320" max="2560" width="9.140625" style="110"/>
    <col min="2561" max="2561" width="6.140625" style="110" customWidth="1"/>
    <col min="2562" max="2562" width="10.28515625" style="110" customWidth="1"/>
    <col min="2563" max="2563" width="27.85546875" style="110" customWidth="1"/>
    <col min="2564" max="2574" width="18.140625" style="110" bestFit="1" customWidth="1"/>
    <col min="2575" max="2575" width="19.42578125" style="110" bestFit="1" customWidth="1"/>
    <col min="2576" max="2816" width="9.140625" style="110"/>
    <col min="2817" max="2817" width="6.140625" style="110" customWidth="1"/>
    <col min="2818" max="2818" width="10.28515625" style="110" customWidth="1"/>
    <col min="2819" max="2819" width="27.85546875" style="110" customWidth="1"/>
    <col min="2820" max="2830" width="18.140625" style="110" bestFit="1" customWidth="1"/>
    <col min="2831" max="2831" width="19.42578125" style="110" bestFit="1" customWidth="1"/>
    <col min="2832" max="3072" width="9.140625" style="110"/>
    <col min="3073" max="3073" width="6.140625" style="110" customWidth="1"/>
    <col min="3074" max="3074" width="10.28515625" style="110" customWidth="1"/>
    <col min="3075" max="3075" width="27.85546875" style="110" customWidth="1"/>
    <col min="3076" max="3086" width="18.140625" style="110" bestFit="1" customWidth="1"/>
    <col min="3087" max="3087" width="19.42578125" style="110" bestFit="1" customWidth="1"/>
    <col min="3088" max="3328" width="9.140625" style="110"/>
    <col min="3329" max="3329" width="6.140625" style="110" customWidth="1"/>
    <col min="3330" max="3330" width="10.28515625" style="110" customWidth="1"/>
    <col min="3331" max="3331" width="27.85546875" style="110" customWidth="1"/>
    <col min="3332" max="3342" width="18.140625" style="110" bestFit="1" customWidth="1"/>
    <col min="3343" max="3343" width="19.42578125" style="110" bestFit="1" customWidth="1"/>
    <col min="3344" max="3584" width="9.140625" style="110"/>
    <col min="3585" max="3585" width="6.140625" style="110" customWidth="1"/>
    <col min="3586" max="3586" width="10.28515625" style="110" customWidth="1"/>
    <col min="3587" max="3587" width="27.85546875" style="110" customWidth="1"/>
    <col min="3588" max="3598" width="18.140625" style="110" bestFit="1" customWidth="1"/>
    <col min="3599" max="3599" width="19.42578125" style="110" bestFit="1" customWidth="1"/>
    <col min="3600" max="3840" width="9.140625" style="110"/>
    <col min="3841" max="3841" width="6.140625" style="110" customWidth="1"/>
    <col min="3842" max="3842" width="10.28515625" style="110" customWidth="1"/>
    <col min="3843" max="3843" width="27.85546875" style="110" customWidth="1"/>
    <col min="3844" max="3854" width="18.140625" style="110" bestFit="1" customWidth="1"/>
    <col min="3855" max="3855" width="19.42578125" style="110" bestFit="1" customWidth="1"/>
    <col min="3856" max="4096" width="9.140625" style="110"/>
    <col min="4097" max="4097" width="6.140625" style="110" customWidth="1"/>
    <col min="4098" max="4098" width="10.28515625" style="110" customWidth="1"/>
    <col min="4099" max="4099" width="27.85546875" style="110" customWidth="1"/>
    <col min="4100" max="4110" width="18.140625" style="110" bestFit="1" customWidth="1"/>
    <col min="4111" max="4111" width="19.42578125" style="110" bestFit="1" customWidth="1"/>
    <col min="4112" max="4352" width="9.140625" style="110"/>
    <col min="4353" max="4353" width="6.140625" style="110" customWidth="1"/>
    <col min="4354" max="4354" width="10.28515625" style="110" customWidth="1"/>
    <col min="4355" max="4355" width="27.85546875" style="110" customWidth="1"/>
    <col min="4356" max="4366" width="18.140625" style="110" bestFit="1" customWidth="1"/>
    <col min="4367" max="4367" width="19.42578125" style="110" bestFit="1" customWidth="1"/>
    <col min="4368" max="4608" width="9.140625" style="110"/>
    <col min="4609" max="4609" width="6.140625" style="110" customWidth="1"/>
    <col min="4610" max="4610" width="10.28515625" style="110" customWidth="1"/>
    <col min="4611" max="4611" width="27.85546875" style="110" customWidth="1"/>
    <col min="4612" max="4622" width="18.140625" style="110" bestFit="1" customWidth="1"/>
    <col min="4623" max="4623" width="19.42578125" style="110" bestFit="1" customWidth="1"/>
    <col min="4624" max="4864" width="9.140625" style="110"/>
    <col min="4865" max="4865" width="6.140625" style="110" customWidth="1"/>
    <col min="4866" max="4866" width="10.28515625" style="110" customWidth="1"/>
    <col min="4867" max="4867" width="27.85546875" style="110" customWidth="1"/>
    <col min="4868" max="4878" width="18.140625" style="110" bestFit="1" customWidth="1"/>
    <col min="4879" max="4879" width="19.42578125" style="110" bestFit="1" customWidth="1"/>
    <col min="4880" max="5120" width="9.140625" style="110"/>
    <col min="5121" max="5121" width="6.140625" style="110" customWidth="1"/>
    <col min="5122" max="5122" width="10.28515625" style="110" customWidth="1"/>
    <col min="5123" max="5123" width="27.85546875" style="110" customWidth="1"/>
    <col min="5124" max="5134" width="18.140625" style="110" bestFit="1" customWidth="1"/>
    <col min="5135" max="5135" width="19.42578125" style="110" bestFit="1" customWidth="1"/>
    <col min="5136" max="5376" width="9.140625" style="110"/>
    <col min="5377" max="5377" width="6.140625" style="110" customWidth="1"/>
    <col min="5378" max="5378" width="10.28515625" style="110" customWidth="1"/>
    <col min="5379" max="5379" width="27.85546875" style="110" customWidth="1"/>
    <col min="5380" max="5390" width="18.140625" style="110" bestFit="1" customWidth="1"/>
    <col min="5391" max="5391" width="19.42578125" style="110" bestFit="1" customWidth="1"/>
    <col min="5392" max="5632" width="9.140625" style="110"/>
    <col min="5633" max="5633" width="6.140625" style="110" customWidth="1"/>
    <col min="5634" max="5634" width="10.28515625" style="110" customWidth="1"/>
    <col min="5635" max="5635" width="27.85546875" style="110" customWidth="1"/>
    <col min="5636" max="5646" width="18.140625" style="110" bestFit="1" customWidth="1"/>
    <col min="5647" max="5647" width="19.42578125" style="110" bestFit="1" customWidth="1"/>
    <col min="5648" max="5888" width="9.140625" style="110"/>
    <col min="5889" max="5889" width="6.140625" style="110" customWidth="1"/>
    <col min="5890" max="5890" width="10.28515625" style="110" customWidth="1"/>
    <col min="5891" max="5891" width="27.85546875" style="110" customWidth="1"/>
    <col min="5892" max="5902" width="18.140625" style="110" bestFit="1" customWidth="1"/>
    <col min="5903" max="5903" width="19.42578125" style="110" bestFit="1" customWidth="1"/>
    <col min="5904" max="6144" width="9.140625" style="110"/>
    <col min="6145" max="6145" width="6.140625" style="110" customWidth="1"/>
    <col min="6146" max="6146" width="10.28515625" style="110" customWidth="1"/>
    <col min="6147" max="6147" width="27.85546875" style="110" customWidth="1"/>
    <col min="6148" max="6158" width="18.140625" style="110" bestFit="1" customWidth="1"/>
    <col min="6159" max="6159" width="19.42578125" style="110" bestFit="1" customWidth="1"/>
    <col min="6160" max="6400" width="9.140625" style="110"/>
    <col min="6401" max="6401" width="6.140625" style="110" customWidth="1"/>
    <col min="6402" max="6402" width="10.28515625" style="110" customWidth="1"/>
    <col min="6403" max="6403" width="27.85546875" style="110" customWidth="1"/>
    <col min="6404" max="6414" width="18.140625" style="110" bestFit="1" customWidth="1"/>
    <col min="6415" max="6415" width="19.42578125" style="110" bestFit="1" customWidth="1"/>
    <col min="6416" max="6656" width="9.140625" style="110"/>
    <col min="6657" max="6657" width="6.140625" style="110" customWidth="1"/>
    <col min="6658" max="6658" width="10.28515625" style="110" customWidth="1"/>
    <col min="6659" max="6659" width="27.85546875" style="110" customWidth="1"/>
    <col min="6660" max="6670" width="18.140625" style="110" bestFit="1" customWidth="1"/>
    <col min="6671" max="6671" width="19.42578125" style="110" bestFit="1" customWidth="1"/>
    <col min="6672" max="6912" width="9.140625" style="110"/>
    <col min="6913" max="6913" width="6.140625" style="110" customWidth="1"/>
    <col min="6914" max="6914" width="10.28515625" style="110" customWidth="1"/>
    <col min="6915" max="6915" width="27.85546875" style="110" customWidth="1"/>
    <col min="6916" max="6926" width="18.140625" style="110" bestFit="1" customWidth="1"/>
    <col min="6927" max="6927" width="19.42578125" style="110" bestFit="1" customWidth="1"/>
    <col min="6928" max="7168" width="9.140625" style="110"/>
    <col min="7169" max="7169" width="6.140625" style="110" customWidth="1"/>
    <col min="7170" max="7170" width="10.28515625" style="110" customWidth="1"/>
    <col min="7171" max="7171" width="27.85546875" style="110" customWidth="1"/>
    <col min="7172" max="7182" width="18.140625" style="110" bestFit="1" customWidth="1"/>
    <col min="7183" max="7183" width="19.42578125" style="110" bestFit="1" customWidth="1"/>
    <col min="7184" max="7424" width="9.140625" style="110"/>
    <col min="7425" max="7425" width="6.140625" style="110" customWidth="1"/>
    <col min="7426" max="7426" width="10.28515625" style="110" customWidth="1"/>
    <col min="7427" max="7427" width="27.85546875" style="110" customWidth="1"/>
    <col min="7428" max="7438" width="18.140625" style="110" bestFit="1" customWidth="1"/>
    <col min="7439" max="7439" width="19.42578125" style="110" bestFit="1" customWidth="1"/>
    <col min="7440" max="7680" width="9.140625" style="110"/>
    <col min="7681" max="7681" width="6.140625" style="110" customWidth="1"/>
    <col min="7682" max="7682" width="10.28515625" style="110" customWidth="1"/>
    <col min="7683" max="7683" width="27.85546875" style="110" customWidth="1"/>
    <col min="7684" max="7694" width="18.140625" style="110" bestFit="1" customWidth="1"/>
    <col min="7695" max="7695" width="19.42578125" style="110" bestFit="1" customWidth="1"/>
    <col min="7696" max="7936" width="9.140625" style="110"/>
    <col min="7937" max="7937" width="6.140625" style="110" customWidth="1"/>
    <col min="7938" max="7938" width="10.28515625" style="110" customWidth="1"/>
    <col min="7939" max="7939" width="27.85546875" style="110" customWidth="1"/>
    <col min="7940" max="7950" width="18.140625" style="110" bestFit="1" customWidth="1"/>
    <col min="7951" max="7951" width="19.42578125" style="110" bestFit="1" customWidth="1"/>
    <col min="7952" max="8192" width="9.140625" style="110"/>
    <col min="8193" max="8193" width="6.140625" style="110" customWidth="1"/>
    <col min="8194" max="8194" width="10.28515625" style="110" customWidth="1"/>
    <col min="8195" max="8195" width="27.85546875" style="110" customWidth="1"/>
    <col min="8196" max="8206" width="18.140625" style="110" bestFit="1" customWidth="1"/>
    <col min="8207" max="8207" width="19.42578125" style="110" bestFit="1" customWidth="1"/>
    <col min="8208" max="8448" width="9.140625" style="110"/>
    <col min="8449" max="8449" width="6.140625" style="110" customWidth="1"/>
    <col min="8450" max="8450" width="10.28515625" style="110" customWidth="1"/>
    <col min="8451" max="8451" width="27.85546875" style="110" customWidth="1"/>
    <col min="8452" max="8462" width="18.140625" style="110" bestFit="1" customWidth="1"/>
    <col min="8463" max="8463" width="19.42578125" style="110" bestFit="1" customWidth="1"/>
    <col min="8464" max="8704" width="9.140625" style="110"/>
    <col min="8705" max="8705" width="6.140625" style="110" customWidth="1"/>
    <col min="8706" max="8706" width="10.28515625" style="110" customWidth="1"/>
    <col min="8707" max="8707" width="27.85546875" style="110" customWidth="1"/>
    <col min="8708" max="8718" width="18.140625" style="110" bestFit="1" customWidth="1"/>
    <col min="8719" max="8719" width="19.42578125" style="110" bestFit="1" customWidth="1"/>
    <col min="8720" max="8960" width="9.140625" style="110"/>
    <col min="8961" max="8961" width="6.140625" style="110" customWidth="1"/>
    <col min="8962" max="8962" width="10.28515625" style="110" customWidth="1"/>
    <col min="8963" max="8963" width="27.85546875" style="110" customWidth="1"/>
    <col min="8964" max="8974" width="18.140625" style="110" bestFit="1" customWidth="1"/>
    <col min="8975" max="8975" width="19.42578125" style="110" bestFit="1" customWidth="1"/>
    <col min="8976" max="9216" width="9.140625" style="110"/>
    <col min="9217" max="9217" width="6.140625" style="110" customWidth="1"/>
    <col min="9218" max="9218" width="10.28515625" style="110" customWidth="1"/>
    <col min="9219" max="9219" width="27.85546875" style="110" customWidth="1"/>
    <col min="9220" max="9230" width="18.140625" style="110" bestFit="1" customWidth="1"/>
    <col min="9231" max="9231" width="19.42578125" style="110" bestFit="1" customWidth="1"/>
    <col min="9232" max="9472" width="9.140625" style="110"/>
    <col min="9473" max="9473" width="6.140625" style="110" customWidth="1"/>
    <col min="9474" max="9474" width="10.28515625" style="110" customWidth="1"/>
    <col min="9475" max="9475" width="27.85546875" style="110" customWidth="1"/>
    <col min="9476" max="9486" width="18.140625" style="110" bestFit="1" customWidth="1"/>
    <col min="9487" max="9487" width="19.42578125" style="110" bestFit="1" customWidth="1"/>
    <col min="9488" max="9728" width="9.140625" style="110"/>
    <col min="9729" max="9729" width="6.140625" style="110" customWidth="1"/>
    <col min="9730" max="9730" width="10.28515625" style="110" customWidth="1"/>
    <col min="9731" max="9731" width="27.85546875" style="110" customWidth="1"/>
    <col min="9732" max="9742" width="18.140625" style="110" bestFit="1" customWidth="1"/>
    <col min="9743" max="9743" width="19.42578125" style="110" bestFit="1" customWidth="1"/>
    <col min="9744" max="9984" width="9.140625" style="110"/>
    <col min="9985" max="9985" width="6.140625" style="110" customWidth="1"/>
    <col min="9986" max="9986" width="10.28515625" style="110" customWidth="1"/>
    <col min="9987" max="9987" width="27.85546875" style="110" customWidth="1"/>
    <col min="9988" max="9998" width="18.140625" style="110" bestFit="1" customWidth="1"/>
    <col min="9999" max="9999" width="19.42578125" style="110" bestFit="1" customWidth="1"/>
    <col min="10000" max="10240" width="9.140625" style="110"/>
    <col min="10241" max="10241" width="6.140625" style="110" customWidth="1"/>
    <col min="10242" max="10242" width="10.28515625" style="110" customWidth="1"/>
    <col min="10243" max="10243" width="27.85546875" style="110" customWidth="1"/>
    <col min="10244" max="10254" width="18.140625" style="110" bestFit="1" customWidth="1"/>
    <col min="10255" max="10255" width="19.42578125" style="110" bestFit="1" customWidth="1"/>
    <col min="10256" max="10496" width="9.140625" style="110"/>
    <col min="10497" max="10497" width="6.140625" style="110" customWidth="1"/>
    <col min="10498" max="10498" width="10.28515625" style="110" customWidth="1"/>
    <col min="10499" max="10499" width="27.85546875" style="110" customWidth="1"/>
    <col min="10500" max="10510" width="18.140625" style="110" bestFit="1" customWidth="1"/>
    <col min="10511" max="10511" width="19.42578125" style="110" bestFit="1" customWidth="1"/>
    <col min="10512" max="10752" width="9.140625" style="110"/>
    <col min="10753" max="10753" width="6.140625" style="110" customWidth="1"/>
    <col min="10754" max="10754" width="10.28515625" style="110" customWidth="1"/>
    <col min="10755" max="10755" width="27.85546875" style="110" customWidth="1"/>
    <col min="10756" max="10766" width="18.140625" style="110" bestFit="1" customWidth="1"/>
    <col min="10767" max="10767" width="19.42578125" style="110" bestFit="1" customWidth="1"/>
    <col min="10768" max="11008" width="9.140625" style="110"/>
    <col min="11009" max="11009" width="6.140625" style="110" customWidth="1"/>
    <col min="11010" max="11010" width="10.28515625" style="110" customWidth="1"/>
    <col min="11011" max="11011" width="27.85546875" style="110" customWidth="1"/>
    <col min="11012" max="11022" width="18.140625" style="110" bestFit="1" customWidth="1"/>
    <col min="11023" max="11023" width="19.42578125" style="110" bestFit="1" customWidth="1"/>
    <col min="11024" max="11264" width="9.140625" style="110"/>
    <col min="11265" max="11265" width="6.140625" style="110" customWidth="1"/>
    <col min="11266" max="11266" width="10.28515625" style="110" customWidth="1"/>
    <col min="11267" max="11267" width="27.85546875" style="110" customWidth="1"/>
    <col min="11268" max="11278" width="18.140625" style="110" bestFit="1" customWidth="1"/>
    <col min="11279" max="11279" width="19.42578125" style="110" bestFit="1" customWidth="1"/>
    <col min="11280" max="11520" width="9.140625" style="110"/>
    <col min="11521" max="11521" width="6.140625" style="110" customWidth="1"/>
    <col min="11522" max="11522" width="10.28515625" style="110" customWidth="1"/>
    <col min="11523" max="11523" width="27.85546875" style="110" customWidth="1"/>
    <col min="11524" max="11534" width="18.140625" style="110" bestFit="1" customWidth="1"/>
    <col min="11535" max="11535" width="19.42578125" style="110" bestFit="1" customWidth="1"/>
    <col min="11536" max="11776" width="9.140625" style="110"/>
    <col min="11777" max="11777" width="6.140625" style="110" customWidth="1"/>
    <col min="11778" max="11778" width="10.28515625" style="110" customWidth="1"/>
    <col min="11779" max="11779" width="27.85546875" style="110" customWidth="1"/>
    <col min="11780" max="11790" width="18.140625" style="110" bestFit="1" customWidth="1"/>
    <col min="11791" max="11791" width="19.42578125" style="110" bestFit="1" customWidth="1"/>
    <col min="11792" max="12032" width="9.140625" style="110"/>
    <col min="12033" max="12033" width="6.140625" style="110" customWidth="1"/>
    <col min="12034" max="12034" width="10.28515625" style="110" customWidth="1"/>
    <col min="12035" max="12035" width="27.85546875" style="110" customWidth="1"/>
    <col min="12036" max="12046" width="18.140625" style="110" bestFit="1" customWidth="1"/>
    <col min="12047" max="12047" width="19.42578125" style="110" bestFit="1" customWidth="1"/>
    <col min="12048" max="12288" width="9.140625" style="110"/>
    <col min="12289" max="12289" width="6.140625" style="110" customWidth="1"/>
    <col min="12290" max="12290" width="10.28515625" style="110" customWidth="1"/>
    <col min="12291" max="12291" width="27.85546875" style="110" customWidth="1"/>
    <col min="12292" max="12302" width="18.140625" style="110" bestFit="1" customWidth="1"/>
    <col min="12303" max="12303" width="19.42578125" style="110" bestFit="1" customWidth="1"/>
    <col min="12304" max="12544" width="9.140625" style="110"/>
    <col min="12545" max="12545" width="6.140625" style="110" customWidth="1"/>
    <col min="12546" max="12546" width="10.28515625" style="110" customWidth="1"/>
    <col min="12547" max="12547" width="27.85546875" style="110" customWidth="1"/>
    <col min="12548" max="12558" width="18.140625" style="110" bestFit="1" customWidth="1"/>
    <col min="12559" max="12559" width="19.42578125" style="110" bestFit="1" customWidth="1"/>
    <col min="12560" max="12800" width="9.140625" style="110"/>
    <col min="12801" max="12801" width="6.140625" style="110" customWidth="1"/>
    <col min="12802" max="12802" width="10.28515625" style="110" customWidth="1"/>
    <col min="12803" max="12803" width="27.85546875" style="110" customWidth="1"/>
    <col min="12804" max="12814" width="18.140625" style="110" bestFit="1" customWidth="1"/>
    <col min="12815" max="12815" width="19.42578125" style="110" bestFit="1" customWidth="1"/>
    <col min="12816" max="13056" width="9.140625" style="110"/>
    <col min="13057" max="13057" width="6.140625" style="110" customWidth="1"/>
    <col min="13058" max="13058" width="10.28515625" style="110" customWidth="1"/>
    <col min="13059" max="13059" width="27.85546875" style="110" customWidth="1"/>
    <col min="13060" max="13070" width="18.140625" style="110" bestFit="1" customWidth="1"/>
    <col min="13071" max="13071" width="19.42578125" style="110" bestFit="1" customWidth="1"/>
    <col min="13072" max="13312" width="9.140625" style="110"/>
    <col min="13313" max="13313" width="6.140625" style="110" customWidth="1"/>
    <col min="13314" max="13314" width="10.28515625" style="110" customWidth="1"/>
    <col min="13315" max="13315" width="27.85546875" style="110" customWidth="1"/>
    <col min="13316" max="13326" width="18.140625" style="110" bestFit="1" customWidth="1"/>
    <col min="13327" max="13327" width="19.42578125" style="110" bestFit="1" customWidth="1"/>
    <col min="13328" max="13568" width="9.140625" style="110"/>
    <col min="13569" max="13569" width="6.140625" style="110" customWidth="1"/>
    <col min="13570" max="13570" width="10.28515625" style="110" customWidth="1"/>
    <col min="13571" max="13571" width="27.85546875" style="110" customWidth="1"/>
    <col min="13572" max="13582" width="18.140625" style="110" bestFit="1" customWidth="1"/>
    <col min="13583" max="13583" width="19.42578125" style="110" bestFit="1" customWidth="1"/>
    <col min="13584" max="13824" width="9.140625" style="110"/>
    <col min="13825" max="13825" width="6.140625" style="110" customWidth="1"/>
    <col min="13826" max="13826" width="10.28515625" style="110" customWidth="1"/>
    <col min="13827" max="13827" width="27.85546875" style="110" customWidth="1"/>
    <col min="13828" max="13838" width="18.140625" style="110" bestFit="1" customWidth="1"/>
    <col min="13839" max="13839" width="19.42578125" style="110" bestFit="1" customWidth="1"/>
    <col min="13840" max="14080" width="9.140625" style="110"/>
    <col min="14081" max="14081" width="6.140625" style="110" customWidth="1"/>
    <col min="14082" max="14082" width="10.28515625" style="110" customWidth="1"/>
    <col min="14083" max="14083" width="27.85546875" style="110" customWidth="1"/>
    <col min="14084" max="14094" width="18.140625" style="110" bestFit="1" customWidth="1"/>
    <col min="14095" max="14095" width="19.42578125" style="110" bestFit="1" customWidth="1"/>
    <col min="14096" max="14336" width="9.140625" style="110"/>
    <col min="14337" max="14337" width="6.140625" style="110" customWidth="1"/>
    <col min="14338" max="14338" width="10.28515625" style="110" customWidth="1"/>
    <col min="14339" max="14339" width="27.85546875" style="110" customWidth="1"/>
    <col min="14340" max="14350" width="18.140625" style="110" bestFit="1" customWidth="1"/>
    <col min="14351" max="14351" width="19.42578125" style="110" bestFit="1" customWidth="1"/>
    <col min="14352" max="14592" width="9.140625" style="110"/>
    <col min="14593" max="14593" width="6.140625" style="110" customWidth="1"/>
    <col min="14594" max="14594" width="10.28515625" style="110" customWidth="1"/>
    <col min="14595" max="14595" width="27.85546875" style="110" customWidth="1"/>
    <col min="14596" max="14606" width="18.140625" style="110" bestFit="1" customWidth="1"/>
    <col min="14607" max="14607" width="19.42578125" style="110" bestFit="1" customWidth="1"/>
    <col min="14608" max="14848" width="9.140625" style="110"/>
    <col min="14849" max="14849" width="6.140625" style="110" customWidth="1"/>
    <col min="14850" max="14850" width="10.28515625" style="110" customWidth="1"/>
    <col min="14851" max="14851" width="27.85546875" style="110" customWidth="1"/>
    <col min="14852" max="14862" width="18.140625" style="110" bestFit="1" customWidth="1"/>
    <col min="14863" max="14863" width="19.42578125" style="110" bestFit="1" customWidth="1"/>
    <col min="14864" max="15104" width="9.140625" style="110"/>
    <col min="15105" max="15105" width="6.140625" style="110" customWidth="1"/>
    <col min="15106" max="15106" width="10.28515625" style="110" customWidth="1"/>
    <col min="15107" max="15107" width="27.85546875" style="110" customWidth="1"/>
    <col min="15108" max="15118" width="18.140625" style="110" bestFit="1" customWidth="1"/>
    <col min="15119" max="15119" width="19.42578125" style="110" bestFit="1" customWidth="1"/>
    <col min="15120" max="15360" width="9.140625" style="110"/>
    <col min="15361" max="15361" width="6.140625" style="110" customWidth="1"/>
    <col min="15362" max="15362" width="10.28515625" style="110" customWidth="1"/>
    <col min="15363" max="15363" width="27.85546875" style="110" customWidth="1"/>
    <col min="15364" max="15374" width="18.140625" style="110" bestFit="1" customWidth="1"/>
    <col min="15375" max="15375" width="19.42578125" style="110" bestFit="1" customWidth="1"/>
    <col min="15376" max="15616" width="9.140625" style="110"/>
    <col min="15617" max="15617" width="6.140625" style="110" customWidth="1"/>
    <col min="15618" max="15618" width="10.28515625" style="110" customWidth="1"/>
    <col min="15619" max="15619" width="27.85546875" style="110" customWidth="1"/>
    <col min="15620" max="15630" width="18.140625" style="110" bestFit="1" customWidth="1"/>
    <col min="15631" max="15631" width="19.42578125" style="110" bestFit="1" customWidth="1"/>
    <col min="15632" max="15872" width="9.140625" style="110"/>
    <col min="15873" max="15873" width="6.140625" style="110" customWidth="1"/>
    <col min="15874" max="15874" width="10.28515625" style="110" customWidth="1"/>
    <col min="15875" max="15875" width="27.85546875" style="110" customWidth="1"/>
    <col min="15876" max="15886" width="18.140625" style="110" bestFit="1" customWidth="1"/>
    <col min="15887" max="15887" width="19.42578125" style="110" bestFit="1" customWidth="1"/>
    <col min="15888" max="16128" width="9.140625" style="110"/>
    <col min="16129" max="16129" width="6.140625" style="110" customWidth="1"/>
    <col min="16130" max="16130" width="10.28515625" style="110" customWidth="1"/>
    <col min="16131" max="16131" width="27.85546875" style="110" customWidth="1"/>
    <col min="16132" max="16142" width="18.140625" style="110" bestFit="1" customWidth="1"/>
    <col min="16143" max="16143" width="19.42578125" style="110" bestFit="1" customWidth="1"/>
    <col min="16144" max="16384" width="9.140625" style="110"/>
  </cols>
  <sheetData>
    <row r="1" spans="1:16" s="111" customFormat="1" x14ac:dyDescent="0.25">
      <c r="A1" s="112" t="s">
        <v>560</v>
      </c>
      <c r="B1" s="112" t="s">
        <v>761</v>
      </c>
      <c r="C1" s="112" t="s">
        <v>561</v>
      </c>
      <c r="D1" s="112" t="s">
        <v>762</v>
      </c>
      <c r="E1" s="112" t="s">
        <v>763</v>
      </c>
      <c r="F1" s="112" t="s">
        <v>764</v>
      </c>
      <c r="G1" s="112" t="s">
        <v>765</v>
      </c>
      <c r="H1" s="112" t="s">
        <v>766</v>
      </c>
      <c r="I1" s="116" t="s">
        <v>767</v>
      </c>
      <c r="J1" s="112" t="s">
        <v>768</v>
      </c>
      <c r="K1" s="112" t="s">
        <v>769</v>
      </c>
      <c r="L1" s="112" t="s">
        <v>770</v>
      </c>
      <c r="M1" s="112" t="s">
        <v>771</v>
      </c>
      <c r="N1" s="112" t="s">
        <v>772</v>
      </c>
      <c r="O1" s="112" t="s">
        <v>773</v>
      </c>
      <c r="P1" s="109" t="s">
        <v>562</v>
      </c>
    </row>
    <row r="2" spans="1:16" x14ac:dyDescent="0.2">
      <c r="A2" s="111">
        <v>484</v>
      </c>
      <c r="B2" s="111">
        <v>81324</v>
      </c>
      <c r="C2" s="110" t="s">
        <v>719</v>
      </c>
      <c r="D2" s="114">
        <v>67887662.030000001</v>
      </c>
      <c r="E2" s="114">
        <v>65359918.200000003</v>
      </c>
      <c r="F2" s="114">
        <v>66163138.460000001</v>
      </c>
      <c r="G2" s="114">
        <v>65472249.520000003</v>
      </c>
      <c r="H2" s="114">
        <v>63193810.93</v>
      </c>
      <c r="I2" s="114">
        <v>62733386.640000001</v>
      </c>
      <c r="J2" s="114">
        <v>62522741.619999997</v>
      </c>
      <c r="K2" s="114">
        <v>63643914.68</v>
      </c>
      <c r="L2" s="114">
        <v>62642515.590000004</v>
      </c>
      <c r="M2" s="114">
        <v>65611984.039999999</v>
      </c>
      <c r="N2" s="114">
        <v>77721767.719999999</v>
      </c>
      <c r="O2" s="114">
        <f t="shared" ref="O2:O33" si="0">ROUND(N2*110%,2)</f>
        <v>85493944.489999995</v>
      </c>
      <c r="P2" s="115">
        <f>SUM(Table2[[#This Row],[JAN]:[DEC]])</f>
        <v>808447033.91999996</v>
      </c>
    </row>
    <row r="3" spans="1:16" x14ac:dyDescent="0.2">
      <c r="A3" s="111">
        <v>380</v>
      </c>
      <c r="B3" s="111">
        <v>81192</v>
      </c>
      <c r="C3" s="110" t="s">
        <v>690</v>
      </c>
      <c r="D3" s="114">
        <v>13027834.390000001</v>
      </c>
      <c r="E3" s="114">
        <v>42493634.579999998</v>
      </c>
      <c r="F3" s="114">
        <v>9647393.3300000001</v>
      </c>
      <c r="G3" s="114">
        <v>12053708.07</v>
      </c>
      <c r="H3" s="114">
        <v>18240686.68</v>
      </c>
      <c r="I3" s="114">
        <v>53945181.420000002</v>
      </c>
      <c r="J3" s="114">
        <v>11356885.199999999</v>
      </c>
      <c r="K3" s="114">
        <v>15829238.91</v>
      </c>
      <c r="L3" s="114">
        <v>49084282.270000003</v>
      </c>
      <c r="M3" s="114">
        <v>10208423.34</v>
      </c>
      <c r="N3" s="114">
        <v>35424643.899999999</v>
      </c>
      <c r="O3" s="114">
        <f t="shared" si="0"/>
        <v>38967108.289999999</v>
      </c>
      <c r="P3" s="115">
        <f>SUM(Table2[[#This Row],[JAN]:[DEC]])</f>
        <v>310279020.38000005</v>
      </c>
    </row>
    <row r="4" spans="1:16" x14ac:dyDescent="0.2">
      <c r="A4" s="111">
        <v>43</v>
      </c>
      <c r="B4" s="112">
        <v>11065</v>
      </c>
      <c r="C4" s="113" t="s">
        <v>580</v>
      </c>
      <c r="D4" s="114">
        <v>0</v>
      </c>
      <c r="E4" s="114">
        <v>0</v>
      </c>
      <c r="F4" s="114">
        <v>10631097.800000001</v>
      </c>
      <c r="G4" s="114">
        <v>34160067.520000003</v>
      </c>
      <c r="H4" s="114">
        <v>34136986.170000002</v>
      </c>
      <c r="I4" s="114">
        <v>34424470.380000003</v>
      </c>
      <c r="J4" s="114">
        <v>30467334</v>
      </c>
      <c r="K4" s="114">
        <v>30461930.710000001</v>
      </c>
      <c r="L4" s="114">
        <v>29709281.82</v>
      </c>
      <c r="M4" s="114">
        <v>27417455.84</v>
      </c>
      <c r="N4" s="114">
        <v>25676647.699999999</v>
      </c>
      <c r="O4" s="114">
        <f t="shared" si="0"/>
        <v>28244312.469999999</v>
      </c>
      <c r="P4" s="115">
        <f>SUM(Table2[[#This Row],[JAN]:[DEC]])</f>
        <v>285329584.40999997</v>
      </c>
    </row>
    <row r="5" spans="1:16" x14ac:dyDescent="0.2">
      <c r="A5" s="111">
        <v>487</v>
      </c>
      <c r="B5" s="111">
        <v>81327</v>
      </c>
      <c r="C5" s="110" t="s">
        <v>720</v>
      </c>
      <c r="D5" s="114">
        <v>13908148.539999999</v>
      </c>
      <c r="E5" s="114">
        <v>15422645.289999999</v>
      </c>
      <c r="F5" s="114">
        <v>16128315.09</v>
      </c>
      <c r="G5" s="114">
        <v>15413312.449999999</v>
      </c>
      <c r="H5" s="114">
        <v>15106139.859999999</v>
      </c>
      <c r="I5" s="114">
        <v>22134107.539999999</v>
      </c>
      <c r="J5" s="114">
        <v>28866888.489999998</v>
      </c>
      <c r="K5" s="114">
        <v>22726585.289999999</v>
      </c>
      <c r="L5" s="114">
        <v>20595393.670000002</v>
      </c>
      <c r="M5" s="114">
        <v>19307856.109999999</v>
      </c>
      <c r="N5" s="114">
        <v>19268698.109999999</v>
      </c>
      <c r="O5" s="114">
        <f t="shared" si="0"/>
        <v>21195567.920000002</v>
      </c>
      <c r="P5" s="115">
        <f>SUM(Table2[[#This Row],[JAN]:[DEC]])</f>
        <v>230073658.36000007</v>
      </c>
    </row>
    <row r="6" spans="1:16" x14ac:dyDescent="0.2">
      <c r="A6" s="111">
        <v>41</v>
      </c>
      <c r="B6" s="112">
        <v>11063</v>
      </c>
      <c r="C6" s="113" t="s">
        <v>578</v>
      </c>
      <c r="D6" s="114">
        <v>0</v>
      </c>
      <c r="E6" s="114">
        <v>0</v>
      </c>
      <c r="F6" s="114">
        <v>7967524.6900000004</v>
      </c>
      <c r="G6" s="114">
        <v>32415743.649999999</v>
      </c>
      <c r="H6" s="114">
        <v>25785511.890000001</v>
      </c>
      <c r="I6" s="114">
        <v>25575194.48</v>
      </c>
      <c r="J6" s="114">
        <v>23435176.780000001</v>
      </c>
      <c r="K6" s="114">
        <v>23347855.539999999</v>
      </c>
      <c r="L6" s="114">
        <v>20665543.469999999</v>
      </c>
      <c r="M6" s="114">
        <v>20927763.600000001</v>
      </c>
      <c r="N6" s="114">
        <v>19172236.309999999</v>
      </c>
      <c r="O6" s="114">
        <f t="shared" si="0"/>
        <v>21089459.940000001</v>
      </c>
      <c r="P6" s="115">
        <f>SUM(Table2[[#This Row],[JAN]:[DEC]])</f>
        <v>220382010.34999999</v>
      </c>
    </row>
    <row r="7" spans="1:16" x14ac:dyDescent="0.2">
      <c r="A7" s="111">
        <v>310</v>
      </c>
      <c r="B7" s="111">
        <v>81101</v>
      </c>
      <c r="C7" s="110" t="s">
        <v>661</v>
      </c>
      <c r="D7" s="114">
        <v>11805934.99</v>
      </c>
      <c r="E7" s="114">
        <v>11938863.34</v>
      </c>
      <c r="F7" s="114">
        <v>13186459.140000001</v>
      </c>
      <c r="G7" s="114">
        <v>14817961.43</v>
      </c>
      <c r="H7" s="114">
        <v>16462366.859999999</v>
      </c>
      <c r="I7" s="114">
        <v>16153777.560000001</v>
      </c>
      <c r="J7" s="114">
        <v>18779876.850000001</v>
      </c>
      <c r="K7" s="114">
        <v>18970982.859999999</v>
      </c>
      <c r="L7" s="114">
        <v>17084208.02</v>
      </c>
      <c r="M7" s="114">
        <v>19407401.640000001</v>
      </c>
      <c r="N7" s="114">
        <v>17604036.469999999</v>
      </c>
      <c r="O7" s="114">
        <f t="shared" si="0"/>
        <v>19364440.120000001</v>
      </c>
      <c r="P7" s="115">
        <f>SUM(Table2[[#This Row],[JAN]:[DEC]])</f>
        <v>195576309.28</v>
      </c>
    </row>
    <row r="8" spans="1:16" x14ac:dyDescent="0.2">
      <c r="A8" s="111">
        <v>578</v>
      </c>
      <c r="B8" s="111">
        <v>261005</v>
      </c>
      <c r="C8" s="110" t="s">
        <v>754</v>
      </c>
      <c r="D8" s="114">
        <v>8873380.7100000009</v>
      </c>
      <c r="E8" s="114">
        <v>19102666.949999999</v>
      </c>
      <c r="F8" s="114">
        <v>12648444.210000001</v>
      </c>
      <c r="G8" s="114">
        <v>8493775.5600000005</v>
      </c>
      <c r="H8" s="114">
        <v>16458759.5</v>
      </c>
      <c r="I8" s="114">
        <v>9687291.3800000008</v>
      </c>
      <c r="J8" s="114">
        <v>13706578.59</v>
      </c>
      <c r="K8" s="114">
        <v>13702425.470000001</v>
      </c>
      <c r="L8" s="114">
        <v>13124127.939999999</v>
      </c>
      <c r="M8" s="114">
        <v>23470712.100000001</v>
      </c>
      <c r="N8" s="114">
        <v>12991142.619999999</v>
      </c>
      <c r="O8" s="114">
        <f t="shared" si="0"/>
        <v>14290256.880000001</v>
      </c>
      <c r="P8" s="115">
        <f>SUM(Table2[[#This Row],[JAN]:[DEC]])</f>
        <v>166549561.91</v>
      </c>
    </row>
    <row r="9" spans="1:16" x14ac:dyDescent="0.2">
      <c r="A9" s="111">
        <v>72</v>
      </c>
      <c r="B9" s="111">
        <v>31015</v>
      </c>
      <c r="C9" s="110" t="s">
        <v>592</v>
      </c>
      <c r="D9" s="114">
        <v>7480257.5</v>
      </c>
      <c r="E9" s="114">
        <v>9305998.8100000005</v>
      </c>
      <c r="F9" s="114">
        <v>10337618.890000001</v>
      </c>
      <c r="G9" s="114">
        <v>8614933.5899999999</v>
      </c>
      <c r="H9" s="114">
        <v>7992886.3399999999</v>
      </c>
      <c r="I9" s="114">
        <v>9611930.8000000007</v>
      </c>
      <c r="J9" s="114">
        <v>11384324.25</v>
      </c>
      <c r="K9" s="114">
        <v>9523524.4399999995</v>
      </c>
      <c r="L9" s="114">
        <v>9972242.3800000008</v>
      </c>
      <c r="M9" s="114">
        <v>12227505.109999999</v>
      </c>
      <c r="N9" s="114">
        <v>11701768.4</v>
      </c>
      <c r="O9" s="114">
        <f t="shared" si="0"/>
        <v>12871945.24</v>
      </c>
      <c r="P9" s="115">
        <f>SUM(Table2[[#This Row],[JAN]:[DEC]])</f>
        <v>121024935.75</v>
      </c>
    </row>
    <row r="10" spans="1:16" x14ac:dyDescent="0.2">
      <c r="A10" s="111">
        <v>12</v>
      </c>
      <c r="B10" s="111">
        <v>11018</v>
      </c>
      <c r="C10" s="110" t="s">
        <v>568</v>
      </c>
      <c r="D10" s="114">
        <v>7194920.6500000004</v>
      </c>
      <c r="E10" s="114">
        <v>6792782.2800000003</v>
      </c>
      <c r="F10" s="114">
        <v>12069123.189999999</v>
      </c>
      <c r="G10" s="114">
        <v>6592468.0999999996</v>
      </c>
      <c r="H10" s="114">
        <v>11770403.460000001</v>
      </c>
      <c r="I10" s="114">
        <v>6938356.7699999996</v>
      </c>
      <c r="J10" s="114">
        <v>7106952.6799999997</v>
      </c>
      <c r="K10" s="114">
        <v>8434118.4000000004</v>
      </c>
      <c r="L10" s="114">
        <v>15528588.58</v>
      </c>
      <c r="M10" s="114">
        <v>8391198.8200000003</v>
      </c>
      <c r="N10" s="114">
        <v>8009855.5899999999</v>
      </c>
      <c r="O10" s="114">
        <f t="shared" si="0"/>
        <v>8810841.1500000004</v>
      </c>
      <c r="P10" s="115">
        <f>SUM(Table2[[#This Row],[JAN]:[DEC]])</f>
        <v>107639609.67000002</v>
      </c>
    </row>
    <row r="11" spans="1:16" x14ac:dyDescent="0.2">
      <c r="A11" s="111">
        <v>266</v>
      </c>
      <c r="B11" s="111">
        <v>81032</v>
      </c>
      <c r="C11" s="110" t="s">
        <v>642</v>
      </c>
      <c r="D11" s="114">
        <v>9875240.6699999999</v>
      </c>
      <c r="E11" s="114">
        <v>8202849.9900000002</v>
      </c>
      <c r="F11" s="114">
        <v>10332782.630000001</v>
      </c>
      <c r="G11" s="114">
        <v>9129563.7400000002</v>
      </c>
      <c r="H11" s="114">
        <v>8382824.21</v>
      </c>
      <c r="I11" s="114">
        <v>9557136.7799999993</v>
      </c>
      <c r="J11" s="114">
        <v>8772307.0500000007</v>
      </c>
      <c r="K11" s="114">
        <v>8520772.3800000008</v>
      </c>
      <c r="L11" s="114">
        <v>8194482.7999999998</v>
      </c>
      <c r="M11" s="114">
        <v>7793049.3899999997</v>
      </c>
      <c r="N11" s="114">
        <v>8759820.3800000008</v>
      </c>
      <c r="O11" s="114">
        <f t="shared" si="0"/>
        <v>9635802.4199999999</v>
      </c>
      <c r="P11" s="115">
        <f>SUM(Table2[[#This Row],[JAN]:[DEC]])</f>
        <v>107156632.44</v>
      </c>
    </row>
    <row r="12" spans="1:16" x14ac:dyDescent="0.2">
      <c r="A12" s="111">
        <v>525</v>
      </c>
      <c r="B12" s="111">
        <v>131017</v>
      </c>
      <c r="C12" s="110" t="s">
        <v>737</v>
      </c>
      <c r="D12" s="114">
        <v>9350706.9700000007</v>
      </c>
      <c r="E12" s="114">
        <v>8496022.4299999997</v>
      </c>
      <c r="F12" s="114">
        <v>9096382.3800000008</v>
      </c>
      <c r="G12" s="114">
        <v>8942687.9399999995</v>
      </c>
      <c r="H12" s="114">
        <v>8675804.8800000008</v>
      </c>
      <c r="I12" s="114">
        <v>8013010.0599999996</v>
      </c>
      <c r="J12" s="114">
        <v>8263872.4400000004</v>
      </c>
      <c r="K12" s="114">
        <v>8004584.8399999999</v>
      </c>
      <c r="L12" s="114">
        <v>7412279.8600000003</v>
      </c>
      <c r="M12" s="114">
        <v>8473947.2799999993</v>
      </c>
      <c r="N12" s="114">
        <v>9490666.6199999992</v>
      </c>
      <c r="O12" s="114">
        <f t="shared" si="0"/>
        <v>10439733.279999999</v>
      </c>
      <c r="P12" s="115">
        <f>SUM(Table2[[#This Row],[JAN]:[DEC]])</f>
        <v>104659698.98</v>
      </c>
    </row>
    <row r="13" spans="1:16" x14ac:dyDescent="0.2">
      <c r="A13" s="111">
        <v>309</v>
      </c>
      <c r="B13" s="111">
        <v>81100</v>
      </c>
      <c r="C13" s="110" t="s">
        <v>660</v>
      </c>
      <c r="D13" s="114">
        <v>8702340.8699999992</v>
      </c>
      <c r="E13" s="114">
        <v>8113540.6399999997</v>
      </c>
      <c r="F13" s="114">
        <v>8921230.6600000001</v>
      </c>
      <c r="G13" s="114">
        <v>9099657.1600000001</v>
      </c>
      <c r="H13" s="114">
        <v>8757530.4100000001</v>
      </c>
      <c r="I13" s="114">
        <v>7544147.0800000001</v>
      </c>
      <c r="J13" s="114">
        <v>8189122.7599999998</v>
      </c>
      <c r="K13" s="114">
        <v>8560829.9800000004</v>
      </c>
      <c r="L13" s="114">
        <v>8036540.6500000004</v>
      </c>
      <c r="M13" s="114">
        <v>9808856.2899999991</v>
      </c>
      <c r="N13" s="114">
        <v>8889879.8499999996</v>
      </c>
      <c r="O13" s="114">
        <f t="shared" si="0"/>
        <v>9778867.8399999999</v>
      </c>
      <c r="P13" s="115">
        <f>SUM(Table2[[#This Row],[JAN]:[DEC]])</f>
        <v>104402544.19</v>
      </c>
    </row>
    <row r="14" spans="1:16" x14ac:dyDescent="0.2">
      <c r="A14" s="111">
        <v>619</v>
      </c>
      <c r="B14" s="111">
        <v>261052</v>
      </c>
      <c r="C14" s="110" t="s">
        <v>760</v>
      </c>
      <c r="D14" s="114">
        <v>10862906.77</v>
      </c>
      <c r="E14" s="114">
        <v>8862027.5099999998</v>
      </c>
      <c r="F14" s="114">
        <v>9084556.5800000001</v>
      </c>
      <c r="G14" s="114">
        <v>7158224.3700000001</v>
      </c>
      <c r="H14" s="114">
        <v>5643920.8899999997</v>
      </c>
      <c r="I14" s="114">
        <v>6173000.7999999998</v>
      </c>
      <c r="J14" s="114">
        <v>8028223.9699999997</v>
      </c>
      <c r="K14" s="114">
        <v>8055943.9100000001</v>
      </c>
      <c r="L14" s="114">
        <v>8160386.5800000001</v>
      </c>
      <c r="M14" s="114">
        <v>9260874.2100000009</v>
      </c>
      <c r="N14" s="114">
        <v>10038910.35</v>
      </c>
      <c r="O14" s="114">
        <f t="shared" si="0"/>
        <v>11042801.390000001</v>
      </c>
      <c r="P14" s="115">
        <f>SUM(Table2[[#This Row],[JAN]:[DEC]])</f>
        <v>102371777.33</v>
      </c>
    </row>
    <row r="15" spans="1:16" x14ac:dyDescent="0.2">
      <c r="A15" s="111">
        <v>28</v>
      </c>
      <c r="B15" s="111">
        <v>11046</v>
      </c>
      <c r="C15" s="110" t="s">
        <v>574</v>
      </c>
      <c r="D15" s="114">
        <v>10259908.140000001</v>
      </c>
      <c r="E15" s="114">
        <v>10578241.300000001</v>
      </c>
      <c r="F15" s="114">
        <v>11323413.140000001</v>
      </c>
      <c r="G15" s="114">
        <v>11070038.939999999</v>
      </c>
      <c r="H15" s="114">
        <v>11625645.73</v>
      </c>
      <c r="I15" s="114">
        <v>13606912.99</v>
      </c>
      <c r="J15" s="114">
        <v>15284086.359999999</v>
      </c>
      <c r="K15" s="114">
        <v>14078346.34</v>
      </c>
      <c r="L15" s="114">
        <v>2344150.83</v>
      </c>
      <c r="M15" s="114">
        <v>43685.94</v>
      </c>
      <c r="N15" s="114">
        <v>610.86</v>
      </c>
      <c r="O15" s="114">
        <f t="shared" si="0"/>
        <v>671.95</v>
      </c>
      <c r="P15" s="115">
        <f>SUM(Table2[[#This Row],[JAN]:[DEC]])</f>
        <v>100215712.52</v>
      </c>
    </row>
    <row r="16" spans="1:16" x14ac:dyDescent="0.2">
      <c r="A16" s="111">
        <v>441</v>
      </c>
      <c r="B16" s="111">
        <v>81266</v>
      </c>
      <c r="C16" s="110" t="s">
        <v>705</v>
      </c>
      <c r="D16" s="114">
        <v>7320965.2199999997</v>
      </c>
      <c r="E16" s="114">
        <v>7040167.3700000001</v>
      </c>
      <c r="F16" s="114">
        <v>5713566.2599999998</v>
      </c>
      <c r="G16" s="114">
        <v>8634351.4900000002</v>
      </c>
      <c r="H16" s="114">
        <v>8654895.9600000009</v>
      </c>
      <c r="I16" s="114">
        <v>8533369.6999999993</v>
      </c>
      <c r="J16" s="114">
        <v>8063524.5599999996</v>
      </c>
      <c r="K16" s="114">
        <v>8780701.3300000001</v>
      </c>
      <c r="L16" s="114">
        <v>8490368.2799999993</v>
      </c>
      <c r="M16" s="114">
        <v>9333346.3900000006</v>
      </c>
      <c r="N16" s="114">
        <v>8819277.6400000006</v>
      </c>
      <c r="O16" s="114">
        <f t="shared" si="0"/>
        <v>9701205.4000000004</v>
      </c>
      <c r="P16" s="115">
        <f>SUM(Table2[[#This Row],[JAN]:[DEC]])</f>
        <v>99085739.600000009</v>
      </c>
    </row>
    <row r="17" spans="1:16" x14ac:dyDescent="0.2">
      <c r="A17" s="111">
        <v>201</v>
      </c>
      <c r="B17" s="111">
        <v>61037</v>
      </c>
      <c r="C17" s="110" t="s">
        <v>628</v>
      </c>
      <c r="D17" s="114">
        <v>5272214.18</v>
      </c>
      <c r="E17" s="114">
        <v>7260006.4400000004</v>
      </c>
      <c r="F17" s="114">
        <v>6777487.79</v>
      </c>
      <c r="G17" s="114">
        <v>4196987.1500000004</v>
      </c>
      <c r="H17" s="114">
        <v>4492793.5999999996</v>
      </c>
      <c r="I17" s="114">
        <v>9741653.6600000001</v>
      </c>
      <c r="J17" s="114">
        <v>10571462.16</v>
      </c>
      <c r="K17" s="114">
        <v>8234959.3600000003</v>
      </c>
      <c r="L17" s="114">
        <v>8490445.3499999996</v>
      </c>
      <c r="M17" s="114">
        <v>13613343.16</v>
      </c>
      <c r="N17" s="114">
        <v>9445794.6899999995</v>
      </c>
      <c r="O17" s="114">
        <f t="shared" si="0"/>
        <v>10390374.16</v>
      </c>
      <c r="P17" s="115">
        <f>SUM(Table2[[#This Row],[JAN]:[DEC]])</f>
        <v>98487521.700000003</v>
      </c>
    </row>
    <row r="18" spans="1:16" x14ac:dyDescent="0.2">
      <c r="A18" s="111">
        <v>494</v>
      </c>
      <c r="B18" s="111">
        <v>81334</v>
      </c>
      <c r="C18" s="110" t="s">
        <v>722</v>
      </c>
      <c r="D18" s="114">
        <v>9610680.1899999995</v>
      </c>
      <c r="E18" s="114">
        <v>5734601.9400000004</v>
      </c>
      <c r="F18" s="114">
        <v>6387572.2599999998</v>
      </c>
      <c r="G18" s="114">
        <v>7291795.9299999997</v>
      </c>
      <c r="H18" s="114">
        <v>7918476.9299999997</v>
      </c>
      <c r="I18" s="114">
        <v>7132168.3700000001</v>
      </c>
      <c r="J18" s="114">
        <v>6795194.5</v>
      </c>
      <c r="K18" s="114">
        <v>7448667.7800000003</v>
      </c>
      <c r="L18" s="114">
        <v>7792821.1500000004</v>
      </c>
      <c r="M18" s="114">
        <v>8377593.9400000004</v>
      </c>
      <c r="N18" s="114">
        <v>7666596.6799999997</v>
      </c>
      <c r="O18" s="114">
        <f t="shared" si="0"/>
        <v>8433256.3499999996</v>
      </c>
      <c r="P18" s="115">
        <f>SUM(Table2[[#This Row],[JAN]:[DEC]])</f>
        <v>90589426.019999981</v>
      </c>
    </row>
    <row r="19" spans="1:16" x14ac:dyDescent="0.2">
      <c r="A19" s="111">
        <v>377</v>
      </c>
      <c r="B19" s="111">
        <v>81189</v>
      </c>
      <c r="C19" s="110" t="s">
        <v>689</v>
      </c>
      <c r="D19" s="114">
        <v>7829147.6500000004</v>
      </c>
      <c r="E19" s="114">
        <v>6897823.2999999998</v>
      </c>
      <c r="F19" s="114">
        <v>7198915.5499999998</v>
      </c>
      <c r="G19" s="114">
        <v>6778147.9100000001</v>
      </c>
      <c r="H19" s="114">
        <v>5958417.4100000001</v>
      </c>
      <c r="I19" s="114">
        <v>7815263.8099999996</v>
      </c>
      <c r="J19" s="114">
        <v>6907492.3600000003</v>
      </c>
      <c r="K19" s="114">
        <v>7521997.7000000002</v>
      </c>
      <c r="L19" s="114">
        <v>7893387.8899999997</v>
      </c>
      <c r="M19" s="114">
        <v>8523911.7899999991</v>
      </c>
      <c r="N19" s="114">
        <v>8029763.0999999996</v>
      </c>
      <c r="O19" s="114">
        <f t="shared" si="0"/>
        <v>8832739.4100000001</v>
      </c>
      <c r="P19" s="115">
        <f>SUM(Table2[[#This Row],[JAN]:[DEC]])</f>
        <v>90187007.879999995</v>
      </c>
    </row>
    <row r="20" spans="1:16" x14ac:dyDescent="0.2">
      <c r="A20" s="111">
        <v>368</v>
      </c>
      <c r="B20" s="111">
        <v>81180</v>
      </c>
      <c r="C20" s="110" t="s">
        <v>684</v>
      </c>
      <c r="D20" s="114">
        <v>7312240.2800000003</v>
      </c>
      <c r="E20" s="114">
        <v>7985552.9900000002</v>
      </c>
      <c r="F20" s="114">
        <v>8460953.2200000007</v>
      </c>
      <c r="G20" s="114">
        <v>8082746.4500000002</v>
      </c>
      <c r="H20" s="114">
        <v>6791098.0499999998</v>
      </c>
      <c r="I20" s="114">
        <v>6077053.7300000004</v>
      </c>
      <c r="J20" s="114">
        <v>5890854.1799999997</v>
      </c>
      <c r="K20" s="114">
        <v>5879000.1399999997</v>
      </c>
      <c r="L20" s="114">
        <v>6250766.2800000003</v>
      </c>
      <c r="M20" s="114">
        <v>7425152.4400000004</v>
      </c>
      <c r="N20" s="114">
        <v>9031821.8300000001</v>
      </c>
      <c r="O20" s="114">
        <f t="shared" si="0"/>
        <v>9935004.0099999998</v>
      </c>
      <c r="P20" s="115">
        <f>SUM(Table2[[#This Row],[JAN]:[DEC]])</f>
        <v>89122243.600000009</v>
      </c>
    </row>
    <row r="21" spans="1:16" x14ac:dyDescent="0.2">
      <c r="A21" s="111">
        <v>279</v>
      </c>
      <c r="B21" s="111">
        <v>81049</v>
      </c>
      <c r="C21" s="110" t="s">
        <v>648</v>
      </c>
      <c r="D21" s="114">
        <v>5515826.8099999996</v>
      </c>
      <c r="E21" s="114">
        <v>5870894.04</v>
      </c>
      <c r="F21" s="114">
        <v>6318831.9199999999</v>
      </c>
      <c r="G21" s="114">
        <v>11839875.42</v>
      </c>
      <c r="H21" s="114">
        <v>5547813.1200000001</v>
      </c>
      <c r="I21" s="114">
        <v>6617013.7599999998</v>
      </c>
      <c r="J21" s="114">
        <v>8143465.3899999997</v>
      </c>
      <c r="K21" s="114">
        <v>7413353.0499999998</v>
      </c>
      <c r="L21" s="114">
        <v>14601337.85</v>
      </c>
      <c r="M21" s="114">
        <v>5375397.5499999998</v>
      </c>
      <c r="N21" s="114">
        <v>5473059.5800000001</v>
      </c>
      <c r="O21" s="114">
        <f t="shared" si="0"/>
        <v>6020365.54</v>
      </c>
      <c r="P21" s="115">
        <f>SUM(Table2[[#This Row],[JAN]:[DEC]])</f>
        <v>88737234.029999986</v>
      </c>
    </row>
    <row r="22" spans="1:16" x14ac:dyDescent="0.2">
      <c r="A22" s="111">
        <v>321</v>
      </c>
      <c r="B22" s="111">
        <v>81121</v>
      </c>
      <c r="C22" s="110" t="s">
        <v>664</v>
      </c>
      <c r="D22" s="114">
        <v>7437711.5199999996</v>
      </c>
      <c r="E22" s="114">
        <v>6816155.5</v>
      </c>
      <c r="F22" s="114">
        <v>7107256.6699999999</v>
      </c>
      <c r="G22" s="114">
        <v>7301827.8600000003</v>
      </c>
      <c r="H22" s="114">
        <v>7420155.3300000001</v>
      </c>
      <c r="I22" s="114">
        <v>6890413.0599999996</v>
      </c>
      <c r="J22" s="114">
        <v>7116995.7599999998</v>
      </c>
      <c r="K22" s="114">
        <v>7333641.04</v>
      </c>
      <c r="L22" s="114">
        <v>7261413.2300000004</v>
      </c>
      <c r="M22" s="114">
        <v>7981418.4500000002</v>
      </c>
      <c r="N22" s="114">
        <v>6866062.6900000004</v>
      </c>
      <c r="O22" s="114">
        <f t="shared" si="0"/>
        <v>7552668.96</v>
      </c>
      <c r="P22" s="115">
        <f>SUM(Table2[[#This Row],[JAN]:[DEC]])</f>
        <v>87085720.069999993</v>
      </c>
    </row>
    <row r="23" spans="1:16" x14ac:dyDescent="0.2">
      <c r="A23" s="111">
        <v>455</v>
      </c>
      <c r="B23" s="111">
        <v>81282</v>
      </c>
      <c r="C23" s="110" t="s">
        <v>710</v>
      </c>
      <c r="D23" s="114">
        <v>7212918.8600000003</v>
      </c>
      <c r="E23" s="114">
        <v>6900111.6699999999</v>
      </c>
      <c r="F23" s="114">
        <v>5902277.9100000001</v>
      </c>
      <c r="G23" s="114">
        <v>7330530.7400000002</v>
      </c>
      <c r="H23" s="114">
        <v>8102416.1399999997</v>
      </c>
      <c r="I23" s="114">
        <v>7199327.4900000002</v>
      </c>
      <c r="J23" s="114">
        <v>6808049.7300000004</v>
      </c>
      <c r="K23" s="114">
        <v>7185876.6299999999</v>
      </c>
      <c r="L23" s="114">
        <v>6726703.8099999996</v>
      </c>
      <c r="M23" s="114">
        <v>7394513.3099999996</v>
      </c>
      <c r="N23" s="114">
        <v>6603731.8399999999</v>
      </c>
      <c r="O23" s="114">
        <f t="shared" si="0"/>
        <v>7264105.0199999996</v>
      </c>
      <c r="P23" s="115">
        <f>SUM(Table2[[#This Row],[JAN]:[DEC]])</f>
        <v>84630563.150000006</v>
      </c>
    </row>
    <row r="24" spans="1:16" x14ac:dyDescent="0.2">
      <c r="A24" s="111">
        <v>505</v>
      </c>
      <c r="B24" s="111">
        <v>81348</v>
      </c>
      <c r="C24" s="110" t="s">
        <v>731</v>
      </c>
      <c r="D24" s="114">
        <v>6513335.6200000001</v>
      </c>
      <c r="E24" s="114">
        <v>6298274.4800000004</v>
      </c>
      <c r="F24" s="114">
        <v>6513477.5999999996</v>
      </c>
      <c r="G24" s="114">
        <v>6519169.0800000001</v>
      </c>
      <c r="H24" s="114">
        <v>6811859.0800000001</v>
      </c>
      <c r="I24" s="114">
        <v>6989365.2800000003</v>
      </c>
      <c r="J24" s="114">
        <v>6966839</v>
      </c>
      <c r="K24" s="114">
        <v>7353184.4100000001</v>
      </c>
      <c r="L24" s="114">
        <v>7699681.0599999996</v>
      </c>
      <c r="M24" s="114">
        <v>7900101.5899999999</v>
      </c>
      <c r="N24" s="114">
        <v>7126427.4500000002</v>
      </c>
      <c r="O24" s="114">
        <f t="shared" si="0"/>
        <v>7839070.2000000002</v>
      </c>
      <c r="P24" s="115">
        <f>SUM(Table2[[#This Row],[JAN]:[DEC]])</f>
        <v>84530784.850000009</v>
      </c>
    </row>
    <row r="25" spans="1:16" x14ac:dyDescent="0.2">
      <c r="A25" s="111">
        <v>189</v>
      </c>
      <c r="B25" s="111">
        <v>61021</v>
      </c>
      <c r="C25" s="110" t="s">
        <v>621</v>
      </c>
      <c r="D25" s="114">
        <v>2521785.62</v>
      </c>
      <c r="E25" s="114">
        <v>5786514.1799999997</v>
      </c>
      <c r="F25" s="114">
        <v>7839111.4400000004</v>
      </c>
      <c r="G25" s="114">
        <v>5787637.79</v>
      </c>
      <c r="H25" s="114">
        <v>6135552.5300000003</v>
      </c>
      <c r="I25" s="114">
        <v>7596025.5800000001</v>
      </c>
      <c r="J25" s="114">
        <v>6935476.9900000002</v>
      </c>
      <c r="K25" s="114">
        <v>6733346.04</v>
      </c>
      <c r="L25" s="114">
        <v>8083722.29</v>
      </c>
      <c r="M25" s="114">
        <v>8911111.7899999991</v>
      </c>
      <c r="N25" s="114">
        <v>8000168.8099999996</v>
      </c>
      <c r="O25" s="114">
        <f t="shared" si="0"/>
        <v>8800185.6899999995</v>
      </c>
      <c r="P25" s="115">
        <f>SUM(Table2[[#This Row],[JAN]:[DEC]])</f>
        <v>83130638.75</v>
      </c>
    </row>
    <row r="26" spans="1:16" x14ac:dyDescent="0.2">
      <c r="A26" s="111">
        <v>499</v>
      </c>
      <c r="B26" s="111">
        <v>81340</v>
      </c>
      <c r="C26" s="110" t="s">
        <v>725</v>
      </c>
      <c r="D26" s="114">
        <v>8508022.6600000001</v>
      </c>
      <c r="E26" s="114">
        <v>5823519.0700000003</v>
      </c>
      <c r="F26" s="114">
        <v>4810130.49</v>
      </c>
      <c r="G26" s="114">
        <v>4602168.1399999997</v>
      </c>
      <c r="H26" s="114">
        <v>8569623.7899999991</v>
      </c>
      <c r="I26" s="114">
        <v>7173983.3899999997</v>
      </c>
      <c r="J26" s="114">
        <v>5265634.8</v>
      </c>
      <c r="K26" s="114">
        <v>8270298.2300000004</v>
      </c>
      <c r="L26" s="114">
        <v>7093956.4500000002</v>
      </c>
      <c r="M26" s="114">
        <v>7176472.0899999999</v>
      </c>
      <c r="N26" s="114">
        <v>6682339.6799999997</v>
      </c>
      <c r="O26" s="114">
        <f t="shared" si="0"/>
        <v>7350573.6500000004</v>
      </c>
      <c r="P26" s="115">
        <f>SUM(Table2[[#This Row],[JAN]:[DEC]])</f>
        <v>81326722.439999998</v>
      </c>
    </row>
    <row r="27" spans="1:16" x14ac:dyDescent="0.2">
      <c r="A27" s="111">
        <v>270</v>
      </c>
      <c r="B27" s="111">
        <v>81038</v>
      </c>
      <c r="C27" s="110" t="s">
        <v>643</v>
      </c>
      <c r="D27" s="114">
        <v>5955894.6900000004</v>
      </c>
      <c r="E27" s="114">
        <v>5920054.7000000002</v>
      </c>
      <c r="F27" s="114">
        <v>6527072.6299999999</v>
      </c>
      <c r="G27" s="114">
        <v>6504517.3700000001</v>
      </c>
      <c r="H27" s="114">
        <v>6858733.6799999997</v>
      </c>
      <c r="I27" s="114">
        <v>7562935.2400000002</v>
      </c>
      <c r="J27" s="114">
        <v>6568020.5899999999</v>
      </c>
      <c r="K27" s="114">
        <v>6558984.3700000001</v>
      </c>
      <c r="L27" s="114">
        <v>6916500.6699999999</v>
      </c>
      <c r="M27" s="114">
        <v>6894726.6799999997</v>
      </c>
      <c r="N27" s="114">
        <v>6583512.1600000001</v>
      </c>
      <c r="O27" s="114">
        <f t="shared" si="0"/>
        <v>7241863.3799999999</v>
      </c>
      <c r="P27" s="115">
        <f>SUM(Table2[[#This Row],[JAN]:[DEC]])</f>
        <v>80092816.159999996</v>
      </c>
    </row>
    <row r="28" spans="1:16" x14ac:dyDescent="0.2">
      <c r="A28" s="111">
        <v>483</v>
      </c>
      <c r="B28" s="111">
        <v>81323</v>
      </c>
      <c r="C28" s="110" t="s">
        <v>718</v>
      </c>
      <c r="D28" s="114">
        <v>6290216.2699999996</v>
      </c>
      <c r="E28" s="114">
        <v>6748067.2000000002</v>
      </c>
      <c r="F28" s="114">
        <v>6344036.8200000003</v>
      </c>
      <c r="G28" s="114">
        <v>6386726.4699999997</v>
      </c>
      <c r="H28" s="114">
        <v>5138937.3600000003</v>
      </c>
      <c r="I28" s="114">
        <v>7392962.2999999998</v>
      </c>
      <c r="J28" s="114">
        <v>6298672.54</v>
      </c>
      <c r="K28" s="114">
        <v>6180702.8899999997</v>
      </c>
      <c r="L28" s="114">
        <v>6595691.9299999997</v>
      </c>
      <c r="M28" s="114">
        <v>6389086.3899999997</v>
      </c>
      <c r="N28" s="114">
        <v>6080525.8600000003</v>
      </c>
      <c r="O28" s="114">
        <f t="shared" si="0"/>
        <v>6688578.4500000002</v>
      </c>
      <c r="P28" s="115">
        <f>SUM(Table2[[#This Row],[JAN]:[DEC]])</f>
        <v>76534204.480000004</v>
      </c>
    </row>
    <row r="29" spans="1:16" x14ac:dyDescent="0.2">
      <c r="A29" s="111">
        <v>504</v>
      </c>
      <c r="B29" s="111">
        <v>81347</v>
      </c>
      <c r="C29" s="110" t="s">
        <v>730</v>
      </c>
      <c r="D29" s="114">
        <v>5367126.6900000004</v>
      </c>
      <c r="E29" s="114">
        <v>5317832.25</v>
      </c>
      <c r="F29" s="114">
        <v>5642461.2000000002</v>
      </c>
      <c r="G29" s="114">
        <v>5586721.4500000002</v>
      </c>
      <c r="H29" s="114">
        <v>6106939.7400000002</v>
      </c>
      <c r="I29" s="114">
        <v>6508995.9100000001</v>
      </c>
      <c r="J29" s="114">
        <v>6493508.21</v>
      </c>
      <c r="K29" s="114">
        <v>6880986.0999999996</v>
      </c>
      <c r="L29" s="114">
        <v>7120536.6399999997</v>
      </c>
      <c r="M29" s="114">
        <v>7014860.8399999999</v>
      </c>
      <c r="N29" s="114">
        <v>6432015.8799999999</v>
      </c>
      <c r="O29" s="114">
        <f t="shared" si="0"/>
        <v>7075217.4699999997</v>
      </c>
      <c r="P29" s="115">
        <f>SUM(Table2[[#This Row],[JAN]:[DEC]])</f>
        <v>75547202.379999995</v>
      </c>
    </row>
    <row r="30" spans="1:16" x14ac:dyDescent="0.2">
      <c r="A30" s="111">
        <v>71</v>
      </c>
      <c r="B30" s="111">
        <v>31014</v>
      </c>
      <c r="C30" s="110" t="s">
        <v>591</v>
      </c>
      <c r="D30" s="114">
        <v>5101538.97</v>
      </c>
      <c r="E30" s="114">
        <v>6391139.04</v>
      </c>
      <c r="F30" s="114">
        <v>6855234.8499999996</v>
      </c>
      <c r="G30" s="114">
        <v>5668350.9100000001</v>
      </c>
      <c r="H30" s="114">
        <v>4956160.2300000004</v>
      </c>
      <c r="I30" s="114">
        <v>5388618.2000000002</v>
      </c>
      <c r="J30" s="114">
        <v>6780051.1900000004</v>
      </c>
      <c r="K30" s="114">
        <v>5680434.6799999997</v>
      </c>
      <c r="L30" s="114">
        <v>6139121.0099999998</v>
      </c>
      <c r="M30" s="114">
        <v>7395711.1299999999</v>
      </c>
      <c r="N30" s="114">
        <v>7231359.04</v>
      </c>
      <c r="O30" s="114">
        <f t="shared" si="0"/>
        <v>7954494.9400000004</v>
      </c>
      <c r="P30" s="115">
        <f>SUM(Table2[[#This Row],[JAN]:[DEC]])</f>
        <v>75542214.189999998</v>
      </c>
    </row>
    <row r="31" spans="1:16" x14ac:dyDescent="0.2">
      <c r="A31" s="111">
        <v>81</v>
      </c>
      <c r="B31" s="111">
        <v>31028</v>
      </c>
      <c r="C31" s="110" t="s">
        <v>595</v>
      </c>
      <c r="D31" s="114">
        <v>4937381.75</v>
      </c>
      <c r="E31" s="114">
        <v>6276895.6299999999</v>
      </c>
      <c r="F31" s="114">
        <v>6422533.6900000004</v>
      </c>
      <c r="G31" s="114">
        <v>5322864.3899999997</v>
      </c>
      <c r="H31" s="114">
        <v>4953380.09</v>
      </c>
      <c r="I31" s="114">
        <v>5881405.6299999999</v>
      </c>
      <c r="J31" s="114">
        <v>7786540.4100000001</v>
      </c>
      <c r="K31" s="114">
        <v>5825977.1799999997</v>
      </c>
      <c r="L31" s="114">
        <v>5864299.3200000003</v>
      </c>
      <c r="M31" s="114">
        <v>6928135.6900000004</v>
      </c>
      <c r="N31" s="114">
        <v>7126131.6100000003</v>
      </c>
      <c r="O31" s="114">
        <f t="shared" si="0"/>
        <v>7838744.7699999996</v>
      </c>
      <c r="P31" s="115">
        <f>SUM(Table2[[#This Row],[JAN]:[DEC]])</f>
        <v>75164290.159999996</v>
      </c>
    </row>
    <row r="32" spans="1:16" x14ac:dyDescent="0.2">
      <c r="A32" s="111">
        <v>417</v>
      </c>
      <c r="B32" s="111">
        <v>81241</v>
      </c>
      <c r="C32" s="110" t="s">
        <v>694</v>
      </c>
      <c r="D32" s="114">
        <v>5466533.6299999999</v>
      </c>
      <c r="E32" s="114">
        <v>5168500.33</v>
      </c>
      <c r="F32" s="114">
        <v>5844651.8300000001</v>
      </c>
      <c r="G32" s="114">
        <v>5671664.6100000003</v>
      </c>
      <c r="H32" s="114">
        <v>5746899.5800000001</v>
      </c>
      <c r="I32" s="114">
        <v>5237497.21</v>
      </c>
      <c r="J32" s="114">
        <v>5871798.2000000002</v>
      </c>
      <c r="K32" s="114">
        <v>6243112.3099999996</v>
      </c>
      <c r="L32" s="114">
        <v>5910707.2699999996</v>
      </c>
      <c r="M32" s="114">
        <v>5902114.7999999998</v>
      </c>
      <c r="N32" s="114">
        <v>5523803.5099999998</v>
      </c>
      <c r="O32" s="114">
        <f t="shared" si="0"/>
        <v>6076183.8600000003</v>
      </c>
      <c r="P32" s="115">
        <f>SUM(Table2[[#This Row],[JAN]:[DEC]])</f>
        <v>68663467.140000015</v>
      </c>
    </row>
    <row r="33" spans="1:16" x14ac:dyDescent="0.2">
      <c r="A33" s="111">
        <v>182</v>
      </c>
      <c r="B33" s="111">
        <v>61012</v>
      </c>
      <c r="C33" s="110" t="s">
        <v>616</v>
      </c>
      <c r="D33" s="114">
        <v>5516153.2599999998</v>
      </c>
      <c r="E33" s="114">
        <v>5328458.0999999996</v>
      </c>
      <c r="F33" s="114">
        <v>5657480.6200000001</v>
      </c>
      <c r="G33" s="114">
        <v>5085356.59</v>
      </c>
      <c r="H33" s="114">
        <v>4969962.3</v>
      </c>
      <c r="I33" s="114">
        <v>5300362.1500000004</v>
      </c>
      <c r="J33" s="114">
        <v>5873299.4500000002</v>
      </c>
      <c r="K33" s="114">
        <v>5102666.6900000004</v>
      </c>
      <c r="L33" s="114">
        <v>4011509.81</v>
      </c>
      <c r="M33" s="114">
        <v>7594438.3399999999</v>
      </c>
      <c r="N33" s="114">
        <v>6504071.6699999999</v>
      </c>
      <c r="O33" s="114">
        <f t="shared" si="0"/>
        <v>7154478.8399999999</v>
      </c>
      <c r="P33" s="115">
        <f>SUM(Table2[[#This Row],[JAN]:[DEC]])</f>
        <v>68098237.820000008</v>
      </c>
    </row>
    <row r="34" spans="1:16" x14ac:dyDescent="0.2">
      <c r="A34" s="111">
        <v>367</v>
      </c>
      <c r="B34" s="111">
        <v>81179</v>
      </c>
      <c r="C34" s="110" t="s">
        <v>683</v>
      </c>
      <c r="D34" s="114">
        <v>5358493.62</v>
      </c>
      <c r="E34" s="114">
        <v>5892895.7999999998</v>
      </c>
      <c r="F34" s="114">
        <v>6212562.0999999996</v>
      </c>
      <c r="G34" s="114">
        <v>5704334.6100000003</v>
      </c>
      <c r="H34" s="114">
        <v>4606810.3099999996</v>
      </c>
      <c r="I34" s="114">
        <v>4001579.41</v>
      </c>
      <c r="J34" s="114">
        <v>3966286.96</v>
      </c>
      <c r="K34" s="114">
        <v>3941802.29</v>
      </c>
      <c r="L34" s="114">
        <v>4503703.1500000004</v>
      </c>
      <c r="M34" s="114">
        <v>5726447.8799999999</v>
      </c>
      <c r="N34" s="114">
        <v>7166724.2699999996</v>
      </c>
      <c r="O34" s="114">
        <f t="shared" ref="O34:O65" si="1">ROUND(N34*110%,2)</f>
        <v>7883396.7000000002</v>
      </c>
      <c r="P34" s="115">
        <f>SUM(Table2[[#This Row],[JAN]:[DEC]])</f>
        <v>64965037.099999994</v>
      </c>
    </row>
    <row r="35" spans="1:16" x14ac:dyDescent="0.2">
      <c r="A35" s="111">
        <v>144</v>
      </c>
      <c r="B35" s="111">
        <v>51028</v>
      </c>
      <c r="C35" s="110" t="s">
        <v>608</v>
      </c>
      <c r="D35" s="114">
        <v>3098258.63</v>
      </c>
      <c r="E35" s="114">
        <v>2966089.3</v>
      </c>
      <c r="F35" s="114">
        <v>3216725.12</v>
      </c>
      <c r="G35" s="114">
        <v>3523078.65</v>
      </c>
      <c r="H35" s="114">
        <v>3966450.24</v>
      </c>
      <c r="I35" s="114">
        <v>4089679.57</v>
      </c>
      <c r="J35" s="114">
        <v>5646213.1299999999</v>
      </c>
      <c r="K35" s="114">
        <v>4753975.26</v>
      </c>
      <c r="L35" s="114">
        <v>6840830.9500000002</v>
      </c>
      <c r="M35" s="114">
        <v>8636864.1099999994</v>
      </c>
      <c r="N35" s="114">
        <v>6902269.25</v>
      </c>
      <c r="O35" s="114">
        <f t="shared" si="1"/>
        <v>7592496.1799999997</v>
      </c>
      <c r="P35" s="115">
        <f>SUM(Table2[[#This Row],[JAN]:[DEC]])</f>
        <v>61232930.390000001</v>
      </c>
    </row>
    <row r="36" spans="1:16" x14ac:dyDescent="0.2">
      <c r="A36" s="111">
        <v>497</v>
      </c>
      <c r="B36" s="111">
        <v>81337</v>
      </c>
      <c r="C36" s="110" t="s">
        <v>723</v>
      </c>
      <c r="D36" s="114">
        <v>4371674.37</v>
      </c>
      <c r="E36" s="114">
        <v>4556545.07</v>
      </c>
      <c r="F36" s="114">
        <v>4660937.88</v>
      </c>
      <c r="G36" s="114">
        <v>4703983.6399999997</v>
      </c>
      <c r="H36" s="114">
        <v>4835170.71</v>
      </c>
      <c r="I36" s="114">
        <v>4758328.7</v>
      </c>
      <c r="J36" s="114">
        <v>4777286.6100000003</v>
      </c>
      <c r="K36" s="114">
        <v>4977336.22</v>
      </c>
      <c r="L36" s="114">
        <v>5094464.84</v>
      </c>
      <c r="M36" s="114">
        <v>5189815.92</v>
      </c>
      <c r="N36" s="114">
        <v>5145643.49</v>
      </c>
      <c r="O36" s="114">
        <f t="shared" si="1"/>
        <v>5660207.8399999999</v>
      </c>
      <c r="P36" s="115">
        <f>SUM(Table2[[#This Row],[JAN]:[DEC]])</f>
        <v>58731395.290000007</v>
      </c>
    </row>
    <row r="37" spans="1:16" x14ac:dyDescent="0.2">
      <c r="A37" s="111">
        <v>482</v>
      </c>
      <c r="B37" s="111">
        <v>81322</v>
      </c>
      <c r="C37" s="110" t="s">
        <v>717</v>
      </c>
      <c r="D37" s="114">
        <v>4721639.66</v>
      </c>
      <c r="E37" s="114">
        <v>4803326.21</v>
      </c>
      <c r="F37" s="114">
        <v>4835141.83</v>
      </c>
      <c r="G37" s="114">
        <v>4886344.1900000004</v>
      </c>
      <c r="H37" s="114">
        <v>4968889.8099999996</v>
      </c>
      <c r="I37" s="114">
        <v>4907156.17</v>
      </c>
      <c r="J37" s="114">
        <v>4704202</v>
      </c>
      <c r="K37" s="114">
        <v>4787650.84</v>
      </c>
      <c r="L37" s="114">
        <v>4856524.05</v>
      </c>
      <c r="M37" s="114">
        <v>5027637.5</v>
      </c>
      <c r="N37" s="114">
        <v>4829975.63</v>
      </c>
      <c r="O37" s="114">
        <f t="shared" si="1"/>
        <v>5312973.1900000004</v>
      </c>
      <c r="P37" s="115">
        <f>SUM(Table2[[#This Row],[JAN]:[DEC]])</f>
        <v>58641461.079999991</v>
      </c>
    </row>
    <row r="38" spans="1:16" x14ac:dyDescent="0.2">
      <c r="A38" s="111">
        <v>200</v>
      </c>
      <c r="B38" s="111">
        <v>61036</v>
      </c>
      <c r="C38" s="110" t="s">
        <v>627</v>
      </c>
      <c r="D38" s="114">
        <v>5350155.74</v>
      </c>
      <c r="E38" s="114">
        <v>3327997.26</v>
      </c>
      <c r="F38" s="114">
        <v>4194512.5</v>
      </c>
      <c r="G38" s="114">
        <v>3559297.62</v>
      </c>
      <c r="H38" s="114">
        <v>3205964.58</v>
      </c>
      <c r="I38" s="114">
        <v>2763051.66</v>
      </c>
      <c r="J38" s="114">
        <v>3166310.67</v>
      </c>
      <c r="K38" s="114">
        <v>3077416.57</v>
      </c>
      <c r="L38" s="114">
        <v>3847485.09</v>
      </c>
      <c r="M38" s="114">
        <v>4559373.82</v>
      </c>
      <c r="N38" s="114">
        <v>10164176.449999999</v>
      </c>
      <c r="O38" s="114">
        <f t="shared" si="1"/>
        <v>11180594.1</v>
      </c>
      <c r="P38" s="115">
        <f>SUM(Table2[[#This Row],[JAN]:[DEC]])</f>
        <v>58396336.06000001</v>
      </c>
    </row>
    <row r="39" spans="1:16" x14ac:dyDescent="0.2">
      <c r="A39" s="111">
        <v>183</v>
      </c>
      <c r="B39" s="111">
        <v>61014</v>
      </c>
      <c r="C39" s="110" t="s">
        <v>617</v>
      </c>
      <c r="D39" s="114">
        <v>5493596.9900000002</v>
      </c>
      <c r="E39" s="114">
        <v>3110873.93</v>
      </c>
      <c r="F39" s="114">
        <v>3721517.63</v>
      </c>
      <c r="G39" s="114">
        <v>3617886.92</v>
      </c>
      <c r="H39" s="114">
        <v>3008680.47</v>
      </c>
      <c r="I39" s="114">
        <v>3212212.28</v>
      </c>
      <c r="J39" s="114">
        <v>4005396.79</v>
      </c>
      <c r="K39" s="114">
        <v>3575564.97</v>
      </c>
      <c r="L39" s="114">
        <v>3862555.26</v>
      </c>
      <c r="M39" s="114">
        <v>4443957.8600000003</v>
      </c>
      <c r="N39" s="114">
        <v>9436260.9000000004</v>
      </c>
      <c r="O39" s="114">
        <f t="shared" si="1"/>
        <v>10379886.99</v>
      </c>
      <c r="P39" s="115">
        <f>SUM(Table2[[#This Row],[JAN]:[DEC]])</f>
        <v>57868390.990000002</v>
      </c>
    </row>
    <row r="40" spans="1:16" x14ac:dyDescent="0.2">
      <c r="A40" s="111">
        <v>537</v>
      </c>
      <c r="B40" s="111">
        <v>141004</v>
      </c>
      <c r="C40" s="110" t="s">
        <v>636</v>
      </c>
      <c r="D40" s="114">
        <v>3097495.57</v>
      </c>
      <c r="E40" s="114">
        <v>2915999.55</v>
      </c>
      <c r="F40" s="114">
        <v>3183010.83</v>
      </c>
      <c r="G40" s="114">
        <v>3373704.19</v>
      </c>
      <c r="H40" s="114">
        <v>4467963.53</v>
      </c>
      <c r="I40" s="114">
        <v>6862871.6200000001</v>
      </c>
      <c r="J40" s="114">
        <v>5409791.6699999999</v>
      </c>
      <c r="K40" s="114">
        <v>5576731.3099999996</v>
      </c>
      <c r="L40" s="114">
        <v>6123756.5300000003</v>
      </c>
      <c r="M40" s="114">
        <v>5959460.5099999998</v>
      </c>
      <c r="N40" s="114">
        <v>4669151.05</v>
      </c>
      <c r="O40" s="114">
        <f t="shared" si="1"/>
        <v>5136066.16</v>
      </c>
      <c r="P40" s="115">
        <f>SUM(Table2[[#This Row],[JAN]:[DEC]])</f>
        <v>56776002.519999996</v>
      </c>
    </row>
    <row r="41" spans="1:16" x14ac:dyDescent="0.2">
      <c r="A41" s="111">
        <v>561</v>
      </c>
      <c r="B41" s="111">
        <v>171002</v>
      </c>
      <c r="C41" s="110" t="s">
        <v>746</v>
      </c>
      <c r="D41" s="114">
        <v>1114912.25</v>
      </c>
      <c r="E41" s="114">
        <v>1293639.31</v>
      </c>
      <c r="F41" s="114">
        <v>2313798.27</v>
      </c>
      <c r="G41" s="114">
        <v>3336577.16</v>
      </c>
      <c r="H41" s="114">
        <v>4532690.4400000004</v>
      </c>
      <c r="I41" s="114">
        <v>26740535.010000002</v>
      </c>
      <c r="J41" s="114">
        <v>1409223.89</v>
      </c>
      <c r="K41" s="114">
        <v>4401515.58</v>
      </c>
      <c r="L41" s="114">
        <v>3008482.64</v>
      </c>
      <c r="M41" s="114">
        <v>3607719.72</v>
      </c>
      <c r="N41" s="114">
        <v>2329615.2400000002</v>
      </c>
      <c r="O41" s="114">
        <f t="shared" si="1"/>
        <v>2562576.7599999998</v>
      </c>
      <c r="P41" s="115">
        <f>SUM(Table2[[#This Row],[JAN]:[DEC]])</f>
        <v>56651286.269999996</v>
      </c>
    </row>
    <row r="42" spans="1:16" x14ac:dyDescent="0.2">
      <c r="A42" s="111">
        <v>46</v>
      </c>
      <c r="B42" s="112">
        <v>11069</v>
      </c>
      <c r="C42" s="113" t="s">
        <v>583</v>
      </c>
      <c r="D42" s="114">
        <v>0</v>
      </c>
      <c r="E42" s="114">
        <v>0</v>
      </c>
      <c r="F42" s="114">
        <v>0</v>
      </c>
      <c r="G42" s="114">
        <v>0</v>
      </c>
      <c r="H42" s="114">
        <v>0</v>
      </c>
      <c r="I42" s="114">
        <v>0</v>
      </c>
      <c r="J42" s="114">
        <v>0</v>
      </c>
      <c r="K42" s="114">
        <v>398514.12</v>
      </c>
      <c r="L42" s="114">
        <v>11865336.810000001</v>
      </c>
      <c r="M42" s="114">
        <v>15219384.550000001</v>
      </c>
      <c r="N42" s="114">
        <v>13418735.699999999</v>
      </c>
      <c r="O42" s="114">
        <f t="shared" si="1"/>
        <v>14760609.27</v>
      </c>
      <c r="P42" s="115">
        <f>SUM(Table2[[#This Row],[JAN]:[DEC]])</f>
        <v>55662580.450000003</v>
      </c>
    </row>
    <row r="43" spans="1:16" x14ac:dyDescent="0.2">
      <c r="A43" s="111">
        <v>134</v>
      </c>
      <c r="B43" s="111">
        <v>51017</v>
      </c>
      <c r="C43" s="110" t="s">
        <v>606</v>
      </c>
      <c r="D43" s="114">
        <v>1935705.34</v>
      </c>
      <c r="E43" s="114">
        <v>2021362.16</v>
      </c>
      <c r="F43" s="114">
        <v>2026460.56</v>
      </c>
      <c r="G43" s="114">
        <v>2444319.34</v>
      </c>
      <c r="H43" s="114">
        <v>2274582.27</v>
      </c>
      <c r="I43" s="114">
        <v>2630199.09</v>
      </c>
      <c r="J43" s="114">
        <v>7774533.2800000003</v>
      </c>
      <c r="K43" s="114">
        <v>7767475.0899999999</v>
      </c>
      <c r="L43" s="114">
        <v>5964962.9500000002</v>
      </c>
      <c r="M43" s="114">
        <v>6692433.0800000001</v>
      </c>
      <c r="N43" s="114">
        <v>5861217.6299999999</v>
      </c>
      <c r="O43" s="114">
        <f t="shared" si="1"/>
        <v>6447339.3899999997</v>
      </c>
      <c r="P43" s="115">
        <f>SUM(Table2[[#This Row],[JAN]:[DEC]])</f>
        <v>53840590.18</v>
      </c>
    </row>
    <row r="44" spans="1:16" x14ac:dyDescent="0.2">
      <c r="A44" s="111">
        <v>218</v>
      </c>
      <c r="B44" s="111">
        <v>61058</v>
      </c>
      <c r="C44" s="110" t="s">
        <v>635</v>
      </c>
      <c r="D44" s="114">
        <v>4165381.31</v>
      </c>
      <c r="E44" s="114">
        <v>3856085.02</v>
      </c>
      <c r="F44" s="114">
        <v>3295403.04</v>
      </c>
      <c r="G44" s="114">
        <v>4332752.5199999996</v>
      </c>
      <c r="H44" s="114">
        <v>4502852.88</v>
      </c>
      <c r="I44" s="114">
        <v>4669967.55</v>
      </c>
      <c r="J44" s="114">
        <v>4868177.68</v>
      </c>
      <c r="K44" s="114">
        <v>4505342.26</v>
      </c>
      <c r="L44" s="114">
        <v>4469399.78</v>
      </c>
      <c r="M44" s="114">
        <v>4869057.87</v>
      </c>
      <c r="N44" s="114">
        <v>4493603.42</v>
      </c>
      <c r="O44" s="114">
        <f t="shared" si="1"/>
        <v>4942963.76</v>
      </c>
      <c r="P44" s="115">
        <f>SUM(Table2[[#This Row],[JAN]:[DEC]])</f>
        <v>52970987.089999996</v>
      </c>
    </row>
    <row r="45" spans="1:16" x14ac:dyDescent="0.2">
      <c r="A45" s="111">
        <v>376</v>
      </c>
      <c r="B45" s="111">
        <v>81188</v>
      </c>
      <c r="C45" s="110" t="s">
        <v>688</v>
      </c>
      <c r="D45" s="114">
        <v>4893991.4800000004</v>
      </c>
      <c r="E45" s="114">
        <v>4012044.98</v>
      </c>
      <c r="F45" s="114">
        <v>3872106.13</v>
      </c>
      <c r="G45" s="114">
        <v>4068680.54</v>
      </c>
      <c r="H45" s="114">
        <v>4570569.92</v>
      </c>
      <c r="I45" s="114">
        <v>4497978.8499999996</v>
      </c>
      <c r="J45" s="114">
        <v>4081662.09</v>
      </c>
      <c r="K45" s="114">
        <v>4602293.4000000004</v>
      </c>
      <c r="L45" s="114">
        <v>4693663.8899999997</v>
      </c>
      <c r="M45" s="114">
        <v>5012706.87</v>
      </c>
      <c r="N45" s="114">
        <v>3703270.53</v>
      </c>
      <c r="O45" s="114">
        <f t="shared" si="1"/>
        <v>4073597.58</v>
      </c>
      <c r="P45" s="115">
        <f>SUM(Table2[[#This Row],[JAN]:[DEC]])</f>
        <v>52082566.259999998</v>
      </c>
    </row>
    <row r="46" spans="1:16" x14ac:dyDescent="0.2">
      <c r="A46" s="111">
        <v>411</v>
      </c>
      <c r="B46" s="111">
        <v>81235</v>
      </c>
      <c r="C46" s="110" t="s">
        <v>693</v>
      </c>
      <c r="D46" s="114">
        <v>3413349.24</v>
      </c>
      <c r="E46" s="114">
        <v>3407948.06</v>
      </c>
      <c r="F46" s="114">
        <v>3731088.22</v>
      </c>
      <c r="G46" s="114">
        <v>3516787.27</v>
      </c>
      <c r="H46" s="114">
        <v>3688570.69</v>
      </c>
      <c r="I46" s="114">
        <v>11176992.119999999</v>
      </c>
      <c r="J46" s="114">
        <v>3833941.37</v>
      </c>
      <c r="K46" s="114">
        <v>3778457.31</v>
      </c>
      <c r="L46" s="114">
        <v>3688424.6</v>
      </c>
      <c r="M46" s="114">
        <v>3812857.9</v>
      </c>
      <c r="N46" s="114">
        <v>3532279.69</v>
      </c>
      <c r="O46" s="114">
        <f t="shared" si="1"/>
        <v>3885507.66</v>
      </c>
      <c r="P46" s="115">
        <f>SUM(Table2[[#This Row],[JAN]:[DEC]])</f>
        <v>51466204.129999995</v>
      </c>
    </row>
    <row r="47" spans="1:16" x14ac:dyDescent="0.2">
      <c r="A47" s="111">
        <v>42</v>
      </c>
      <c r="B47" s="112">
        <v>11064</v>
      </c>
      <c r="C47" s="113" t="s">
        <v>579</v>
      </c>
      <c r="D47" s="114">
        <v>0</v>
      </c>
      <c r="E47" s="114">
        <v>4145.95</v>
      </c>
      <c r="F47" s="114">
        <v>7198443.4400000004</v>
      </c>
      <c r="G47" s="114">
        <v>5230023.57</v>
      </c>
      <c r="H47" s="114">
        <v>4287758.7</v>
      </c>
      <c r="I47" s="114">
        <v>4301786.91</v>
      </c>
      <c r="J47" s="114">
        <v>4911078.1900000004</v>
      </c>
      <c r="K47" s="114">
        <v>4669809.75</v>
      </c>
      <c r="L47" s="114">
        <v>4569913.41</v>
      </c>
      <c r="M47" s="114">
        <v>4927548.4000000004</v>
      </c>
      <c r="N47" s="114">
        <v>4697896.6399999997</v>
      </c>
      <c r="O47" s="114">
        <f t="shared" si="1"/>
        <v>5167686.3</v>
      </c>
      <c r="P47" s="115">
        <f>SUM(Table2[[#This Row],[JAN]:[DEC]])</f>
        <v>49966091.259999998</v>
      </c>
    </row>
    <row r="48" spans="1:16" x14ac:dyDescent="0.2">
      <c r="A48" s="111">
        <v>350</v>
      </c>
      <c r="B48" s="111">
        <v>81157</v>
      </c>
      <c r="C48" s="110" t="s">
        <v>675</v>
      </c>
      <c r="D48" s="114">
        <v>4151665.47</v>
      </c>
      <c r="E48" s="114">
        <v>3950503.9</v>
      </c>
      <c r="F48" s="114">
        <v>3996776.04</v>
      </c>
      <c r="G48" s="114">
        <v>3936127.12</v>
      </c>
      <c r="H48" s="114">
        <v>3925391.62</v>
      </c>
      <c r="I48" s="114">
        <v>3651459.16</v>
      </c>
      <c r="J48" s="114">
        <v>6144721.2699999996</v>
      </c>
      <c r="K48" s="114">
        <v>3396899.94</v>
      </c>
      <c r="L48" s="114">
        <v>3856451.46</v>
      </c>
      <c r="M48" s="114">
        <v>4094962.56</v>
      </c>
      <c r="N48" s="114">
        <v>3776355</v>
      </c>
      <c r="O48" s="114">
        <f t="shared" si="1"/>
        <v>4153990.5</v>
      </c>
      <c r="P48" s="115">
        <f>SUM(Table2[[#This Row],[JAN]:[DEC]])</f>
        <v>49035304.040000007</v>
      </c>
    </row>
    <row r="49" spans="1:16" x14ac:dyDescent="0.2">
      <c r="A49" s="111">
        <v>365</v>
      </c>
      <c r="B49" s="111">
        <v>81177</v>
      </c>
      <c r="C49" s="110" t="s">
        <v>682</v>
      </c>
      <c r="D49" s="114">
        <v>3586179.99</v>
      </c>
      <c r="E49" s="114">
        <v>3622852.25</v>
      </c>
      <c r="F49" s="114">
        <v>3784805.39</v>
      </c>
      <c r="G49" s="114">
        <v>3861102.31</v>
      </c>
      <c r="H49" s="114">
        <v>3635782.95</v>
      </c>
      <c r="I49" s="114">
        <v>4290487.5</v>
      </c>
      <c r="J49" s="114">
        <v>4711293.8499999996</v>
      </c>
      <c r="K49" s="114">
        <v>4332327.91</v>
      </c>
      <c r="L49" s="114">
        <v>3766179.09</v>
      </c>
      <c r="M49" s="114">
        <v>3988155.48</v>
      </c>
      <c r="N49" s="114">
        <v>3559310.89</v>
      </c>
      <c r="O49" s="114">
        <f t="shared" si="1"/>
        <v>3915241.98</v>
      </c>
      <c r="P49" s="115">
        <f>SUM(Table2[[#This Row],[JAN]:[DEC]])</f>
        <v>47053719.589999996</v>
      </c>
    </row>
    <row r="50" spans="1:16" x14ac:dyDescent="0.2">
      <c r="A50" s="111">
        <v>308</v>
      </c>
      <c r="B50" s="111">
        <v>81099</v>
      </c>
      <c r="C50" s="110" t="s">
        <v>659</v>
      </c>
      <c r="D50" s="114">
        <v>3635252.05</v>
      </c>
      <c r="E50" s="114">
        <v>3549461.86</v>
      </c>
      <c r="F50" s="114">
        <v>5861709.29</v>
      </c>
      <c r="G50" s="114">
        <v>3066906.89</v>
      </c>
      <c r="H50" s="114">
        <v>4170321.22</v>
      </c>
      <c r="I50" s="114">
        <v>3718397.54</v>
      </c>
      <c r="J50" s="114">
        <v>3246631.74</v>
      </c>
      <c r="K50" s="114">
        <v>3780124.34</v>
      </c>
      <c r="L50" s="114">
        <v>3782811.92</v>
      </c>
      <c r="M50" s="114">
        <v>4272928.12</v>
      </c>
      <c r="N50" s="114">
        <v>3620141.58</v>
      </c>
      <c r="O50" s="114">
        <f t="shared" si="1"/>
        <v>3982155.74</v>
      </c>
      <c r="P50" s="115">
        <f>SUM(Table2[[#This Row],[JAN]:[DEC]])</f>
        <v>46686842.289999992</v>
      </c>
    </row>
    <row r="51" spans="1:16" x14ac:dyDescent="0.2">
      <c r="A51" s="111">
        <v>331</v>
      </c>
      <c r="B51" s="111">
        <v>81133</v>
      </c>
      <c r="C51" s="110" t="s">
        <v>667</v>
      </c>
      <c r="D51" s="114">
        <v>3254115.81</v>
      </c>
      <c r="E51" s="114">
        <v>3189886.11</v>
      </c>
      <c r="F51" s="114">
        <v>3267291.77</v>
      </c>
      <c r="G51" s="114">
        <v>3404398.25</v>
      </c>
      <c r="H51" s="114">
        <v>3977777.79</v>
      </c>
      <c r="I51" s="114">
        <v>4061303.37</v>
      </c>
      <c r="J51" s="114">
        <v>3615277.09</v>
      </c>
      <c r="K51" s="114">
        <v>3955820.44</v>
      </c>
      <c r="L51" s="114">
        <v>3912016.6</v>
      </c>
      <c r="M51" s="114">
        <v>3920405.1</v>
      </c>
      <c r="N51" s="114">
        <v>3671938.6</v>
      </c>
      <c r="O51" s="114">
        <f t="shared" si="1"/>
        <v>4039132.46</v>
      </c>
      <c r="P51" s="115">
        <f>SUM(Table2[[#This Row],[JAN]:[DEC]])</f>
        <v>44269363.390000008</v>
      </c>
    </row>
    <row r="52" spans="1:16" x14ac:dyDescent="0.2">
      <c r="A52" s="111">
        <v>281</v>
      </c>
      <c r="B52" s="111">
        <v>81051</v>
      </c>
      <c r="C52" s="110" t="s">
        <v>650</v>
      </c>
      <c r="D52" s="114">
        <v>3624728.12</v>
      </c>
      <c r="E52" s="114">
        <v>3192091.2</v>
      </c>
      <c r="F52" s="114">
        <v>3436254.87</v>
      </c>
      <c r="G52" s="114">
        <v>3546335.54</v>
      </c>
      <c r="H52" s="114">
        <v>3628315.4</v>
      </c>
      <c r="I52" s="114">
        <v>3353760.36</v>
      </c>
      <c r="J52" s="114">
        <v>4172667.76</v>
      </c>
      <c r="K52" s="114">
        <v>7551035.1799999997</v>
      </c>
      <c r="L52" s="114">
        <v>2654041.42</v>
      </c>
      <c r="M52" s="114">
        <v>3071545.32</v>
      </c>
      <c r="N52" s="114">
        <v>2871930.85</v>
      </c>
      <c r="O52" s="114">
        <f t="shared" si="1"/>
        <v>3159123.94</v>
      </c>
      <c r="P52" s="115">
        <f>SUM(Table2[[#This Row],[JAN]:[DEC]])</f>
        <v>44261829.960000001</v>
      </c>
    </row>
    <row r="53" spans="1:16" x14ac:dyDescent="0.2">
      <c r="A53" s="111">
        <v>252</v>
      </c>
      <c r="B53" s="111">
        <v>81012</v>
      </c>
      <c r="C53" s="110" t="s">
        <v>640</v>
      </c>
      <c r="D53" s="114">
        <v>3622956.07</v>
      </c>
      <c r="E53" s="114">
        <v>3230997.92</v>
      </c>
      <c r="F53" s="114">
        <v>3282231.23</v>
      </c>
      <c r="G53" s="114">
        <v>3416254.42</v>
      </c>
      <c r="H53" s="114">
        <v>3717433.95</v>
      </c>
      <c r="I53" s="114">
        <v>3900529.15</v>
      </c>
      <c r="J53" s="114">
        <v>3587423.42</v>
      </c>
      <c r="K53" s="114">
        <v>3647782.82</v>
      </c>
      <c r="L53" s="114">
        <v>3767439.58</v>
      </c>
      <c r="M53" s="114">
        <v>3723020.19</v>
      </c>
      <c r="N53" s="114">
        <v>3410857.25</v>
      </c>
      <c r="O53" s="114">
        <f t="shared" si="1"/>
        <v>3751942.98</v>
      </c>
      <c r="P53" s="115">
        <f>SUM(Table2[[#This Row],[JAN]:[DEC]])</f>
        <v>43058868.979999989</v>
      </c>
    </row>
    <row r="54" spans="1:16" x14ac:dyDescent="0.2">
      <c r="A54" s="111">
        <v>347</v>
      </c>
      <c r="B54" s="111">
        <v>81152</v>
      </c>
      <c r="C54" s="110" t="s">
        <v>673</v>
      </c>
      <c r="D54" s="114">
        <v>3093022.76</v>
      </c>
      <c r="E54" s="114">
        <v>3153484</v>
      </c>
      <c r="F54" s="114">
        <v>3345864.33</v>
      </c>
      <c r="G54" s="114">
        <v>3304833.32</v>
      </c>
      <c r="H54" s="114">
        <v>3479533.19</v>
      </c>
      <c r="I54" s="114">
        <v>3654858.11</v>
      </c>
      <c r="J54" s="114">
        <v>3749555.44</v>
      </c>
      <c r="K54" s="114">
        <v>3897541.67</v>
      </c>
      <c r="L54" s="114">
        <v>3824271.06</v>
      </c>
      <c r="M54" s="114">
        <v>3874452.23</v>
      </c>
      <c r="N54" s="114">
        <v>3491571.29</v>
      </c>
      <c r="O54" s="114">
        <f t="shared" si="1"/>
        <v>3840728.42</v>
      </c>
      <c r="P54" s="115">
        <f>SUM(Table2[[#This Row],[JAN]:[DEC]])</f>
        <v>42709715.82</v>
      </c>
    </row>
    <row r="55" spans="1:16" x14ac:dyDescent="0.2">
      <c r="A55" s="111">
        <v>503</v>
      </c>
      <c r="B55" s="111">
        <v>81346</v>
      </c>
      <c r="C55" s="110" t="s">
        <v>729</v>
      </c>
      <c r="D55" s="114">
        <v>3787581.73</v>
      </c>
      <c r="E55" s="114">
        <v>3324173.32</v>
      </c>
      <c r="F55" s="114">
        <v>3180797.55</v>
      </c>
      <c r="G55" s="114">
        <v>3626395.19</v>
      </c>
      <c r="H55" s="114">
        <v>3655038.84</v>
      </c>
      <c r="I55" s="114">
        <v>3302060.16</v>
      </c>
      <c r="J55" s="114">
        <v>2997336.36</v>
      </c>
      <c r="K55" s="114">
        <v>3435641.07</v>
      </c>
      <c r="L55" s="114">
        <v>3521422.25</v>
      </c>
      <c r="M55" s="114">
        <v>3598209.22</v>
      </c>
      <c r="N55" s="114">
        <v>3454016.58</v>
      </c>
      <c r="O55" s="114">
        <f t="shared" si="1"/>
        <v>3799418.24</v>
      </c>
      <c r="P55" s="115">
        <f>SUM(Table2[[#This Row],[JAN]:[DEC]])</f>
        <v>41682090.509999998</v>
      </c>
    </row>
    <row r="56" spans="1:16" x14ac:dyDescent="0.2">
      <c r="A56" s="111">
        <v>213</v>
      </c>
      <c r="B56" s="111">
        <v>61051</v>
      </c>
      <c r="C56" s="110" t="s">
        <v>632</v>
      </c>
      <c r="D56" s="114">
        <v>2620886.27</v>
      </c>
      <c r="E56" s="114">
        <v>2657930.5299999998</v>
      </c>
      <c r="F56" s="114">
        <v>1704217.28</v>
      </c>
      <c r="G56" s="114">
        <v>3962568.47</v>
      </c>
      <c r="H56" s="114">
        <v>2233675.66</v>
      </c>
      <c r="I56" s="114">
        <v>4116723.31</v>
      </c>
      <c r="J56" s="114">
        <v>4576512.38</v>
      </c>
      <c r="K56" s="114">
        <v>4115552.42</v>
      </c>
      <c r="L56" s="114">
        <v>3686460.35</v>
      </c>
      <c r="M56" s="114">
        <v>3879794.46</v>
      </c>
      <c r="N56" s="114">
        <v>3450325.68</v>
      </c>
      <c r="O56" s="114">
        <f t="shared" si="1"/>
        <v>3795358.25</v>
      </c>
      <c r="P56" s="115">
        <f>SUM(Table2[[#This Row],[JAN]:[DEC]])</f>
        <v>40800005.060000002</v>
      </c>
    </row>
    <row r="57" spans="1:16" x14ac:dyDescent="0.2">
      <c r="A57" s="111">
        <v>8</v>
      </c>
      <c r="B57" s="111">
        <v>11011</v>
      </c>
      <c r="C57" s="110" t="s">
        <v>565</v>
      </c>
      <c r="D57" s="114">
        <v>3265586.54</v>
      </c>
      <c r="E57" s="114">
        <v>3171638.84</v>
      </c>
      <c r="F57" s="114">
        <v>3182664.66</v>
      </c>
      <c r="G57" s="114">
        <v>3423976.57</v>
      </c>
      <c r="H57" s="114">
        <v>3400473.58</v>
      </c>
      <c r="I57" s="114">
        <v>3290894.59</v>
      </c>
      <c r="J57" s="114">
        <v>3472071.38</v>
      </c>
      <c r="K57" s="114">
        <v>3690035.79</v>
      </c>
      <c r="L57" s="114">
        <v>3599434.4</v>
      </c>
      <c r="M57" s="114">
        <v>3659311.88</v>
      </c>
      <c r="N57" s="114">
        <v>3139901.89</v>
      </c>
      <c r="O57" s="114">
        <f t="shared" si="1"/>
        <v>3453892.08</v>
      </c>
      <c r="P57" s="115">
        <f>SUM(Table2[[#This Row],[JAN]:[DEC]])</f>
        <v>40749882.199999996</v>
      </c>
    </row>
    <row r="58" spans="1:16" x14ac:dyDescent="0.2">
      <c r="A58" s="111">
        <v>450</v>
      </c>
      <c r="B58" s="111">
        <v>81275</v>
      </c>
      <c r="C58" s="110" t="s">
        <v>708</v>
      </c>
      <c r="D58" s="114">
        <v>3227407.02</v>
      </c>
      <c r="E58" s="114">
        <v>3180631.79</v>
      </c>
      <c r="F58" s="114">
        <v>3182562.32</v>
      </c>
      <c r="G58" s="114">
        <v>3154311.46</v>
      </c>
      <c r="H58" s="114">
        <v>3366995.95</v>
      </c>
      <c r="I58" s="114">
        <v>3232430.98</v>
      </c>
      <c r="J58" s="114">
        <v>3251407.87</v>
      </c>
      <c r="K58" s="114">
        <v>3335024.54</v>
      </c>
      <c r="L58" s="114">
        <v>3331510.77</v>
      </c>
      <c r="M58" s="114">
        <v>3532170.96</v>
      </c>
      <c r="N58" s="114">
        <v>3360893.99</v>
      </c>
      <c r="O58" s="114">
        <f t="shared" si="1"/>
        <v>3696983.39</v>
      </c>
      <c r="P58" s="115">
        <f>SUM(Table2[[#This Row],[JAN]:[DEC]])</f>
        <v>39852331.039999999</v>
      </c>
    </row>
    <row r="59" spans="1:16" x14ac:dyDescent="0.2">
      <c r="A59" s="111">
        <v>14</v>
      </c>
      <c r="B59" s="111">
        <v>11021</v>
      </c>
      <c r="C59" s="110" t="s">
        <v>570</v>
      </c>
      <c r="D59" s="114">
        <v>3237279.48</v>
      </c>
      <c r="E59" s="114">
        <v>3419616.36</v>
      </c>
      <c r="F59" s="114">
        <v>3412069.51</v>
      </c>
      <c r="G59" s="114">
        <v>3292262.27</v>
      </c>
      <c r="H59" s="114">
        <v>3072505.53</v>
      </c>
      <c r="I59" s="114">
        <v>3097804.81</v>
      </c>
      <c r="J59" s="114">
        <v>3482788.51</v>
      </c>
      <c r="K59" s="114">
        <v>3200506.59</v>
      </c>
      <c r="L59" s="114">
        <v>3181964.56</v>
      </c>
      <c r="M59" s="114">
        <v>3097900.42</v>
      </c>
      <c r="N59" s="114">
        <v>3433615.23</v>
      </c>
      <c r="O59" s="114">
        <f t="shared" si="1"/>
        <v>3776976.75</v>
      </c>
      <c r="P59" s="115">
        <f>SUM(Table2[[#This Row],[JAN]:[DEC]])</f>
        <v>39705290.019999996</v>
      </c>
    </row>
    <row r="60" spans="1:16" x14ac:dyDescent="0.2">
      <c r="A60" s="111">
        <v>571</v>
      </c>
      <c r="B60" s="111">
        <v>171012</v>
      </c>
      <c r="C60" s="110" t="s">
        <v>752</v>
      </c>
      <c r="D60" s="114">
        <v>1724284.09</v>
      </c>
      <c r="E60" s="114">
        <v>2031737.63</v>
      </c>
      <c r="F60" s="114">
        <v>2474702.83</v>
      </c>
      <c r="G60" s="114">
        <v>3179925.37</v>
      </c>
      <c r="H60" s="114">
        <v>4800934.41</v>
      </c>
      <c r="I60" s="114">
        <v>3279426.45</v>
      </c>
      <c r="J60" s="114">
        <v>851889.11</v>
      </c>
      <c r="K60" s="114">
        <v>4346951.54</v>
      </c>
      <c r="L60" s="114">
        <v>4300488.22</v>
      </c>
      <c r="M60" s="114">
        <v>6027799.29</v>
      </c>
      <c r="N60" s="114">
        <v>2950606.98</v>
      </c>
      <c r="O60" s="114">
        <f t="shared" si="1"/>
        <v>3245667.68</v>
      </c>
      <c r="P60" s="115">
        <f>SUM(Table2[[#This Row],[JAN]:[DEC]])</f>
        <v>39214413.599999994</v>
      </c>
    </row>
    <row r="61" spans="1:16" x14ac:dyDescent="0.2">
      <c r="A61" s="111">
        <v>352</v>
      </c>
      <c r="B61" s="111">
        <v>81161</v>
      </c>
      <c r="C61" s="110" t="s">
        <v>677</v>
      </c>
      <c r="D61" s="114">
        <v>3177024.58</v>
      </c>
      <c r="E61" s="114">
        <v>3182831.33</v>
      </c>
      <c r="F61" s="114">
        <v>3153399.69</v>
      </c>
      <c r="G61" s="114">
        <v>3277587.42</v>
      </c>
      <c r="H61" s="114">
        <v>3383310.56</v>
      </c>
      <c r="I61" s="114">
        <v>3340930.42</v>
      </c>
      <c r="J61" s="114">
        <v>3173031.2</v>
      </c>
      <c r="K61" s="114">
        <v>3162841.91</v>
      </c>
      <c r="L61" s="114">
        <v>3224593.62</v>
      </c>
      <c r="M61" s="114">
        <v>3053652.17</v>
      </c>
      <c r="N61" s="114">
        <v>3281954.24</v>
      </c>
      <c r="O61" s="114">
        <f t="shared" si="1"/>
        <v>3610149.66</v>
      </c>
      <c r="P61" s="115">
        <f>SUM(Table2[[#This Row],[JAN]:[DEC]])</f>
        <v>39021306.799999997</v>
      </c>
    </row>
    <row r="62" spans="1:16" x14ac:dyDescent="0.2">
      <c r="A62" s="111">
        <v>489</v>
      </c>
      <c r="B62" s="111">
        <v>81329</v>
      </c>
      <c r="C62" s="110" t="s">
        <v>571</v>
      </c>
      <c r="D62" s="114">
        <v>2861945.82</v>
      </c>
      <c r="E62" s="114">
        <v>2887940.19</v>
      </c>
      <c r="F62" s="114">
        <v>3236099.09</v>
      </c>
      <c r="G62" s="114">
        <v>3047300.56</v>
      </c>
      <c r="H62" s="114">
        <v>3292417.24</v>
      </c>
      <c r="I62" s="114">
        <v>3329279.55</v>
      </c>
      <c r="J62" s="114">
        <v>3416069.94</v>
      </c>
      <c r="K62" s="114">
        <v>3606645.73</v>
      </c>
      <c r="L62" s="114">
        <v>3101368.66</v>
      </c>
      <c r="M62" s="114">
        <v>3274321.7</v>
      </c>
      <c r="N62" s="114">
        <v>3219038.85</v>
      </c>
      <c r="O62" s="114">
        <f t="shared" si="1"/>
        <v>3540942.74</v>
      </c>
      <c r="P62" s="115">
        <f>SUM(Table2[[#This Row],[JAN]:[DEC]])</f>
        <v>38813370.07</v>
      </c>
    </row>
    <row r="63" spans="1:16" x14ac:dyDescent="0.2">
      <c r="A63" s="111">
        <v>295</v>
      </c>
      <c r="B63" s="111">
        <v>81072</v>
      </c>
      <c r="C63" s="110" t="s">
        <v>654</v>
      </c>
      <c r="D63" s="114">
        <v>2735959.97</v>
      </c>
      <c r="E63" s="114">
        <v>2264655.58</v>
      </c>
      <c r="F63" s="114">
        <v>2315911.85</v>
      </c>
      <c r="G63" s="114">
        <v>2454872.56</v>
      </c>
      <c r="H63" s="114">
        <v>2658990.9</v>
      </c>
      <c r="I63" s="114">
        <v>2677490.14</v>
      </c>
      <c r="J63" s="114">
        <v>3002783.91</v>
      </c>
      <c r="K63" s="114">
        <v>3241454.34</v>
      </c>
      <c r="L63" s="114">
        <v>3782573.81</v>
      </c>
      <c r="M63" s="114">
        <v>4460560.13</v>
      </c>
      <c r="N63" s="114">
        <v>3954637.67</v>
      </c>
      <c r="O63" s="114">
        <f t="shared" si="1"/>
        <v>4350101.4400000004</v>
      </c>
      <c r="P63" s="115">
        <f>SUM(Table2[[#This Row],[JAN]:[DEC]])</f>
        <v>37899992.299999997</v>
      </c>
    </row>
    <row r="64" spans="1:16" x14ac:dyDescent="0.2">
      <c r="A64" s="111">
        <v>325</v>
      </c>
      <c r="B64" s="111">
        <v>81125</v>
      </c>
      <c r="C64" s="110" t="s">
        <v>666</v>
      </c>
      <c r="D64" s="114">
        <v>2619832.21</v>
      </c>
      <c r="E64" s="114">
        <v>3191600.4</v>
      </c>
      <c r="F64" s="114">
        <v>3321652.08</v>
      </c>
      <c r="G64" s="114">
        <v>3031791.36</v>
      </c>
      <c r="H64" s="114">
        <v>2883816.21</v>
      </c>
      <c r="I64" s="114">
        <v>2693610.94</v>
      </c>
      <c r="J64" s="114">
        <v>3444429.13</v>
      </c>
      <c r="K64" s="114">
        <v>2994550.53</v>
      </c>
      <c r="L64" s="114">
        <v>3062132.37</v>
      </c>
      <c r="M64" s="114">
        <v>3150643.14</v>
      </c>
      <c r="N64" s="114">
        <v>3107994.24</v>
      </c>
      <c r="O64" s="114">
        <f t="shared" si="1"/>
        <v>3418793.66</v>
      </c>
      <c r="P64" s="115">
        <f>SUM(Table2[[#This Row],[JAN]:[DEC]])</f>
        <v>36920846.269999996</v>
      </c>
    </row>
    <row r="65" spans="1:16" x14ac:dyDescent="0.2">
      <c r="A65" s="111">
        <v>373</v>
      </c>
      <c r="B65" s="111">
        <v>81185</v>
      </c>
      <c r="C65" s="110" t="s">
        <v>686</v>
      </c>
      <c r="D65" s="114">
        <v>3460254.31</v>
      </c>
      <c r="E65" s="114">
        <v>3668175.82</v>
      </c>
      <c r="F65" s="114">
        <v>2844642.87</v>
      </c>
      <c r="G65" s="114">
        <v>3111191.45</v>
      </c>
      <c r="H65" s="114">
        <v>2917104.15</v>
      </c>
      <c r="I65" s="114">
        <v>2471332</v>
      </c>
      <c r="J65" s="114">
        <v>2213976.4</v>
      </c>
      <c r="K65" s="114">
        <v>2682516.44</v>
      </c>
      <c r="L65" s="114">
        <v>2696789.92</v>
      </c>
      <c r="M65" s="114">
        <v>3046771.1</v>
      </c>
      <c r="N65" s="114">
        <v>3155518.78</v>
      </c>
      <c r="O65" s="114">
        <f t="shared" si="1"/>
        <v>3471070.66</v>
      </c>
      <c r="P65" s="115">
        <f>SUM(Table2[[#This Row],[JAN]:[DEC]])</f>
        <v>35739343.900000006</v>
      </c>
    </row>
    <row r="66" spans="1:16" x14ac:dyDescent="0.2">
      <c r="A66" s="111">
        <v>481</v>
      </c>
      <c r="B66" s="111">
        <v>81321</v>
      </c>
      <c r="C66" s="110" t="s">
        <v>716</v>
      </c>
      <c r="D66" s="114">
        <v>2516314.79</v>
      </c>
      <c r="E66" s="114">
        <v>2861738.37</v>
      </c>
      <c r="F66" s="114">
        <v>2931289.23</v>
      </c>
      <c r="G66" s="114">
        <v>3113785.71</v>
      </c>
      <c r="H66" s="114">
        <v>3262530.39</v>
      </c>
      <c r="I66" s="114">
        <v>2813626.94</v>
      </c>
      <c r="J66" s="114">
        <v>2588784.23</v>
      </c>
      <c r="K66" s="114">
        <v>2851691.34</v>
      </c>
      <c r="L66" s="114">
        <v>2790911.44</v>
      </c>
      <c r="M66" s="114">
        <v>3098024.38</v>
      </c>
      <c r="N66" s="114">
        <v>3095309.45</v>
      </c>
      <c r="O66" s="114">
        <f t="shared" ref="O66:O97" si="2">ROUND(N66*110%,2)</f>
        <v>3404840.4</v>
      </c>
      <c r="P66" s="115">
        <f>SUM(Table2[[#This Row],[JAN]:[DEC]])</f>
        <v>35328846.670000002</v>
      </c>
    </row>
    <row r="67" spans="1:16" x14ac:dyDescent="0.2">
      <c r="A67" s="111">
        <v>47</v>
      </c>
      <c r="B67" s="111">
        <v>21001</v>
      </c>
      <c r="C67" s="110" t="s">
        <v>584</v>
      </c>
      <c r="D67" s="114">
        <v>1844119.64</v>
      </c>
      <c r="E67" s="114">
        <v>1586230.75</v>
      </c>
      <c r="F67" s="114">
        <v>1607071.88</v>
      </c>
      <c r="G67" s="114">
        <v>3142244.31</v>
      </c>
      <c r="H67" s="114">
        <v>1587008.44</v>
      </c>
      <c r="I67" s="114">
        <v>1930227.04</v>
      </c>
      <c r="J67" s="114">
        <v>4052000.59</v>
      </c>
      <c r="K67" s="114">
        <v>2451801.21</v>
      </c>
      <c r="L67" s="114">
        <v>2842699.04</v>
      </c>
      <c r="M67" s="114">
        <v>3719065.24</v>
      </c>
      <c r="N67" s="114">
        <v>4660746.4000000004</v>
      </c>
      <c r="O67" s="114">
        <f t="shared" si="2"/>
        <v>5126821.04</v>
      </c>
      <c r="P67" s="115">
        <f>SUM(Table2[[#This Row],[JAN]:[DEC]])</f>
        <v>34550035.579999998</v>
      </c>
    </row>
    <row r="68" spans="1:16" x14ac:dyDescent="0.2">
      <c r="A68" s="111">
        <v>191</v>
      </c>
      <c r="B68" s="111">
        <v>61023</v>
      </c>
      <c r="C68" s="110" t="s">
        <v>623</v>
      </c>
      <c r="D68" s="114">
        <v>1821706.96</v>
      </c>
      <c r="E68" s="114">
        <v>1769368.41</v>
      </c>
      <c r="F68" s="114">
        <v>3812111.45</v>
      </c>
      <c r="G68" s="114">
        <v>2031108.46</v>
      </c>
      <c r="H68" s="114">
        <v>2179877.2200000002</v>
      </c>
      <c r="I68" s="114">
        <v>2964761.83</v>
      </c>
      <c r="J68" s="114">
        <v>2935649.02</v>
      </c>
      <c r="K68" s="114">
        <v>5094001.09</v>
      </c>
      <c r="L68" s="114">
        <v>2983006.07</v>
      </c>
      <c r="M68" s="114">
        <v>2887827.85</v>
      </c>
      <c r="N68" s="114">
        <v>2820090.84</v>
      </c>
      <c r="O68" s="114">
        <f t="shared" si="2"/>
        <v>3102099.92</v>
      </c>
      <c r="P68" s="115">
        <f>SUM(Table2[[#This Row],[JAN]:[DEC]])</f>
        <v>34401609.120000005</v>
      </c>
    </row>
    <row r="69" spans="1:16" x14ac:dyDescent="0.2">
      <c r="A69" s="111">
        <v>320</v>
      </c>
      <c r="B69" s="111">
        <v>81119</v>
      </c>
      <c r="C69" s="110" t="s">
        <v>663</v>
      </c>
      <c r="D69" s="114">
        <v>1767269.33</v>
      </c>
      <c r="E69" s="114">
        <v>1830971.5</v>
      </c>
      <c r="F69" s="114">
        <v>2020507.87</v>
      </c>
      <c r="G69" s="114">
        <v>1880297.02</v>
      </c>
      <c r="H69" s="114">
        <v>1838085.45</v>
      </c>
      <c r="I69" s="114">
        <v>2084594.48</v>
      </c>
      <c r="J69" s="114">
        <v>2876802.77</v>
      </c>
      <c r="K69" s="114">
        <v>2428828.9500000002</v>
      </c>
      <c r="L69" s="114">
        <v>11598795.720000001</v>
      </c>
      <c r="M69" s="114">
        <v>2331900.14</v>
      </c>
      <c r="N69" s="114">
        <v>1754706.58</v>
      </c>
      <c r="O69" s="114">
        <f t="shared" si="2"/>
        <v>1930177.24</v>
      </c>
      <c r="P69" s="115">
        <f>SUM(Table2[[#This Row],[JAN]:[DEC]])</f>
        <v>34342937.050000004</v>
      </c>
    </row>
    <row r="70" spans="1:16" x14ac:dyDescent="0.2">
      <c r="A70" s="111">
        <v>69</v>
      </c>
      <c r="B70" s="111">
        <v>31012</v>
      </c>
      <c r="C70" s="110" t="s">
        <v>590</v>
      </c>
      <c r="D70" s="114">
        <v>2271454.0099999998</v>
      </c>
      <c r="E70" s="114">
        <v>2825696.3</v>
      </c>
      <c r="F70" s="114">
        <v>2929395.97</v>
      </c>
      <c r="G70" s="114">
        <v>2515254.9500000002</v>
      </c>
      <c r="H70" s="114">
        <v>2335306.35</v>
      </c>
      <c r="I70" s="114">
        <v>2587315.75</v>
      </c>
      <c r="J70" s="114">
        <v>3384057.92</v>
      </c>
      <c r="K70" s="114">
        <v>2556003.71</v>
      </c>
      <c r="L70" s="114">
        <v>2561962.38</v>
      </c>
      <c r="M70" s="114">
        <v>2971942.63</v>
      </c>
      <c r="N70" s="114">
        <v>3141057.78</v>
      </c>
      <c r="O70" s="114">
        <f t="shared" si="2"/>
        <v>3455163.56</v>
      </c>
      <c r="P70" s="115">
        <f>SUM(Table2[[#This Row],[JAN]:[DEC]])</f>
        <v>33534611.309999999</v>
      </c>
    </row>
    <row r="71" spans="1:16" x14ac:dyDescent="0.2">
      <c r="A71" s="111">
        <v>510</v>
      </c>
      <c r="B71" s="112">
        <v>81354</v>
      </c>
      <c r="C71" s="113" t="s">
        <v>733</v>
      </c>
      <c r="D71" s="114">
        <v>80841.94</v>
      </c>
      <c r="E71" s="114">
        <v>4252880.17</v>
      </c>
      <c r="F71" s="114">
        <v>2872773.15</v>
      </c>
      <c r="G71" s="114">
        <v>2886430.76</v>
      </c>
      <c r="H71" s="114">
        <v>3020768.64</v>
      </c>
      <c r="I71" s="114">
        <v>2239308.29</v>
      </c>
      <c r="J71" s="114">
        <v>2576065.02</v>
      </c>
      <c r="K71" s="114">
        <v>2881230.6</v>
      </c>
      <c r="L71" s="114">
        <v>2614951.66</v>
      </c>
      <c r="M71" s="114">
        <v>3239890.67</v>
      </c>
      <c r="N71" s="114">
        <v>3135272.69</v>
      </c>
      <c r="O71" s="114">
        <f t="shared" si="2"/>
        <v>3448799.96</v>
      </c>
      <c r="P71" s="115">
        <f>SUM(Table2[[#This Row],[JAN]:[DEC]])</f>
        <v>33249213.550000001</v>
      </c>
    </row>
    <row r="72" spans="1:16" x14ac:dyDescent="0.2">
      <c r="A72" s="111">
        <v>195</v>
      </c>
      <c r="B72" s="111">
        <v>61029</v>
      </c>
      <c r="C72" s="110" t="s">
        <v>626</v>
      </c>
      <c r="D72" s="114">
        <v>2102775.17</v>
      </c>
      <c r="E72" s="114">
        <v>2822193.57</v>
      </c>
      <c r="F72" s="114">
        <v>2826296.35</v>
      </c>
      <c r="G72" s="114">
        <v>2695442.26</v>
      </c>
      <c r="H72" s="114">
        <v>2761512.46</v>
      </c>
      <c r="I72" s="114">
        <v>2811038.87</v>
      </c>
      <c r="J72" s="114">
        <v>2933806.94</v>
      </c>
      <c r="K72" s="114">
        <v>2371200.96</v>
      </c>
      <c r="L72" s="114">
        <v>2560430.0499999998</v>
      </c>
      <c r="M72" s="114">
        <v>3269014.85</v>
      </c>
      <c r="N72" s="114">
        <v>2866601.93</v>
      </c>
      <c r="O72" s="114">
        <f t="shared" si="2"/>
        <v>3153262.12</v>
      </c>
      <c r="P72" s="115">
        <f>SUM(Table2[[#This Row],[JAN]:[DEC]])</f>
        <v>33173575.530000005</v>
      </c>
    </row>
    <row r="73" spans="1:16" x14ac:dyDescent="0.2">
      <c r="A73" s="111">
        <v>300</v>
      </c>
      <c r="B73" s="111">
        <v>81080</v>
      </c>
      <c r="C73" s="110" t="s">
        <v>656</v>
      </c>
      <c r="D73" s="114">
        <v>2451160.73</v>
      </c>
      <c r="E73" s="114">
        <v>2330783.19</v>
      </c>
      <c r="F73" s="114">
        <v>3068283.87</v>
      </c>
      <c r="G73" s="114">
        <v>2504208.6800000002</v>
      </c>
      <c r="H73" s="114">
        <v>2591174.2400000002</v>
      </c>
      <c r="I73" s="114">
        <v>2399791.09</v>
      </c>
      <c r="J73" s="114">
        <v>2827846.31</v>
      </c>
      <c r="K73" s="114">
        <v>2807005.31</v>
      </c>
      <c r="L73" s="114">
        <v>2526150.0499999998</v>
      </c>
      <c r="M73" s="114">
        <v>2650632.0499999998</v>
      </c>
      <c r="N73" s="114">
        <v>3022301.71</v>
      </c>
      <c r="O73" s="114">
        <f t="shared" si="2"/>
        <v>3324531.88</v>
      </c>
      <c r="P73" s="115">
        <f>SUM(Table2[[#This Row],[JAN]:[DEC]])</f>
        <v>32503869.109999999</v>
      </c>
    </row>
    <row r="74" spans="1:16" x14ac:dyDescent="0.2">
      <c r="A74" s="111">
        <v>164</v>
      </c>
      <c r="B74" s="111">
        <v>51052</v>
      </c>
      <c r="C74" s="110" t="s">
        <v>612</v>
      </c>
      <c r="D74" s="114">
        <v>1783612.89</v>
      </c>
      <c r="E74" s="114">
        <v>1827764.69</v>
      </c>
      <c r="F74" s="114">
        <v>2504972.96</v>
      </c>
      <c r="G74" s="114">
        <v>2389406.38</v>
      </c>
      <c r="H74" s="114">
        <v>3349003.36</v>
      </c>
      <c r="I74" s="114">
        <v>2867327.18</v>
      </c>
      <c r="J74" s="114">
        <v>3514690.45</v>
      </c>
      <c r="K74" s="114">
        <v>3025410.69</v>
      </c>
      <c r="L74" s="114">
        <v>2763802.61</v>
      </c>
      <c r="M74" s="114">
        <v>3031679.98</v>
      </c>
      <c r="N74" s="114">
        <v>2589993.5099999998</v>
      </c>
      <c r="O74" s="114">
        <f t="shared" si="2"/>
        <v>2848992.86</v>
      </c>
      <c r="P74" s="115">
        <f>SUM(Table2[[#This Row],[JAN]:[DEC]])</f>
        <v>32496657.560000002</v>
      </c>
    </row>
    <row r="75" spans="1:16" x14ac:dyDescent="0.2">
      <c r="A75" s="111">
        <v>96</v>
      </c>
      <c r="B75" s="111">
        <v>41005</v>
      </c>
      <c r="C75" s="110" t="s">
        <v>604</v>
      </c>
      <c r="D75" s="114">
        <v>2749205.51</v>
      </c>
      <c r="E75" s="114">
        <v>2315093.59</v>
      </c>
      <c r="F75" s="114">
        <v>2070192.2</v>
      </c>
      <c r="G75" s="114">
        <v>1888688.6</v>
      </c>
      <c r="H75" s="114">
        <v>2313867.96</v>
      </c>
      <c r="I75" s="114">
        <v>3070014.03</v>
      </c>
      <c r="J75" s="114">
        <v>3102630.76</v>
      </c>
      <c r="K75" s="114">
        <v>2515722.9700000002</v>
      </c>
      <c r="L75" s="114">
        <v>3033418.84</v>
      </c>
      <c r="M75" s="114">
        <v>2982298.72</v>
      </c>
      <c r="N75" s="114">
        <v>2955716.35</v>
      </c>
      <c r="O75" s="114">
        <f t="shared" si="2"/>
        <v>3251287.99</v>
      </c>
      <c r="P75" s="115">
        <f>SUM(Table2[[#This Row],[JAN]:[DEC]])</f>
        <v>32248137.519999996</v>
      </c>
    </row>
    <row r="76" spans="1:16" x14ac:dyDescent="0.2">
      <c r="A76" s="111">
        <v>136</v>
      </c>
      <c r="B76" s="111">
        <v>51019</v>
      </c>
      <c r="C76" s="110" t="s">
        <v>607</v>
      </c>
      <c r="D76" s="114">
        <v>1532054.29</v>
      </c>
      <c r="E76" s="114">
        <v>1816600.36</v>
      </c>
      <c r="F76" s="114">
        <v>1910117.19</v>
      </c>
      <c r="G76" s="114">
        <v>1537902.52</v>
      </c>
      <c r="H76" s="114">
        <v>1339273.48</v>
      </c>
      <c r="I76" s="114">
        <v>1431983.34</v>
      </c>
      <c r="J76" s="114">
        <v>3965669.52</v>
      </c>
      <c r="K76" s="114">
        <v>2122996.0699999998</v>
      </c>
      <c r="L76" s="114">
        <v>2617925.65</v>
      </c>
      <c r="M76" s="114">
        <v>4166519.7</v>
      </c>
      <c r="N76" s="114">
        <v>4630386.28</v>
      </c>
      <c r="O76" s="114">
        <f t="shared" si="2"/>
        <v>5093424.91</v>
      </c>
      <c r="P76" s="115">
        <f>SUM(Table2[[#This Row],[JAN]:[DEC]])</f>
        <v>32164853.309999999</v>
      </c>
    </row>
    <row r="77" spans="1:16" x14ac:dyDescent="0.2">
      <c r="A77" s="111">
        <v>432</v>
      </c>
      <c r="B77" s="111">
        <v>81256</v>
      </c>
      <c r="C77" s="110" t="s">
        <v>700</v>
      </c>
      <c r="D77" s="114">
        <v>2754179.03</v>
      </c>
      <c r="E77" s="114">
        <v>2451108.66</v>
      </c>
      <c r="F77" s="114">
        <v>2695331.27</v>
      </c>
      <c r="G77" s="114">
        <v>2052908.92</v>
      </c>
      <c r="H77" s="114">
        <v>3424106.07</v>
      </c>
      <c r="I77" s="114">
        <v>2757998.07</v>
      </c>
      <c r="J77" s="114">
        <v>2654333.8199999998</v>
      </c>
      <c r="K77" s="114">
        <v>2696964.48</v>
      </c>
      <c r="L77" s="114">
        <v>2518707.27</v>
      </c>
      <c r="M77" s="114">
        <v>2761060.32</v>
      </c>
      <c r="N77" s="114">
        <v>2449121.3199999998</v>
      </c>
      <c r="O77" s="114">
        <f t="shared" si="2"/>
        <v>2694033.45</v>
      </c>
      <c r="P77" s="115">
        <f>SUM(Table2[[#This Row],[JAN]:[DEC]])</f>
        <v>31909852.68</v>
      </c>
    </row>
    <row r="78" spans="1:16" x14ac:dyDescent="0.2">
      <c r="A78" s="111">
        <v>24</v>
      </c>
      <c r="B78" s="111">
        <v>11041</v>
      </c>
      <c r="C78" s="110" t="s">
        <v>572</v>
      </c>
      <c r="D78" s="114">
        <v>3160005.12</v>
      </c>
      <c r="E78" s="114">
        <v>3050053.89</v>
      </c>
      <c r="F78" s="114">
        <v>3343705.01</v>
      </c>
      <c r="G78" s="114">
        <v>3567443.75</v>
      </c>
      <c r="H78" s="114">
        <v>3600703.32</v>
      </c>
      <c r="I78" s="114">
        <v>4119695.1</v>
      </c>
      <c r="J78" s="114">
        <v>4475589.7699999996</v>
      </c>
      <c r="K78" s="114">
        <v>4269559.34</v>
      </c>
      <c r="L78" s="114">
        <v>2210595.66</v>
      </c>
      <c r="M78" s="114">
        <v>96114.880000000005</v>
      </c>
      <c r="N78" s="114">
        <v>1174.46</v>
      </c>
      <c r="O78" s="114">
        <f t="shared" si="2"/>
        <v>1291.9100000000001</v>
      </c>
      <c r="P78" s="115">
        <f>SUM(Table2[[#This Row],[JAN]:[DEC]])</f>
        <v>31895932.210000001</v>
      </c>
    </row>
    <row r="79" spans="1:16" x14ac:dyDescent="0.2">
      <c r="A79" s="111">
        <v>186</v>
      </c>
      <c r="B79" s="111">
        <v>61018</v>
      </c>
      <c r="C79" s="110" t="s">
        <v>619</v>
      </c>
      <c r="D79" s="114">
        <v>1926941.95</v>
      </c>
      <c r="E79" s="114">
        <v>5103354.84</v>
      </c>
      <c r="F79" s="114">
        <v>2001638.22</v>
      </c>
      <c r="G79" s="114">
        <v>2013455.72</v>
      </c>
      <c r="H79" s="114">
        <v>1703495.06</v>
      </c>
      <c r="I79" s="114">
        <v>1669229.06</v>
      </c>
      <c r="J79" s="114">
        <v>1894371.36</v>
      </c>
      <c r="K79" s="114">
        <v>1787825.58</v>
      </c>
      <c r="L79" s="114">
        <v>2152972.59</v>
      </c>
      <c r="M79" s="114">
        <v>6237910.25</v>
      </c>
      <c r="N79" s="114">
        <v>2559467.31</v>
      </c>
      <c r="O79" s="114">
        <f t="shared" si="2"/>
        <v>2815414.04</v>
      </c>
      <c r="P79" s="115">
        <f>SUM(Table2[[#This Row],[JAN]:[DEC]])</f>
        <v>31866075.979999997</v>
      </c>
    </row>
    <row r="80" spans="1:16" x14ac:dyDescent="0.2">
      <c r="A80" s="111">
        <v>185</v>
      </c>
      <c r="B80" s="111">
        <v>61017</v>
      </c>
      <c r="C80" s="110" t="s">
        <v>618</v>
      </c>
      <c r="D80" s="114">
        <v>2255782.4500000002</v>
      </c>
      <c r="E80" s="114">
        <v>2162247.44</v>
      </c>
      <c r="F80" s="114">
        <v>2569978.2200000002</v>
      </c>
      <c r="G80" s="114">
        <v>2361980.66</v>
      </c>
      <c r="H80" s="114">
        <v>2572452.84</v>
      </c>
      <c r="I80" s="114">
        <v>2740978.92</v>
      </c>
      <c r="J80" s="114">
        <v>2904026.72</v>
      </c>
      <c r="K80" s="114">
        <v>3919195.48</v>
      </c>
      <c r="L80" s="114">
        <v>2073243.68</v>
      </c>
      <c r="M80" s="114">
        <v>2603911.41</v>
      </c>
      <c r="N80" s="114">
        <v>2358563.27</v>
      </c>
      <c r="O80" s="114">
        <f t="shared" si="2"/>
        <v>2594419.6</v>
      </c>
      <c r="P80" s="115">
        <f>SUM(Table2[[#This Row],[JAN]:[DEC]])</f>
        <v>31116780.690000001</v>
      </c>
    </row>
    <row r="81" spans="1:16" x14ac:dyDescent="0.2">
      <c r="A81" s="111">
        <v>551</v>
      </c>
      <c r="B81" s="111">
        <v>151013</v>
      </c>
      <c r="C81" s="110" t="s">
        <v>744</v>
      </c>
      <c r="D81" s="114">
        <v>2633848.35</v>
      </c>
      <c r="E81" s="114">
        <v>2687216.64</v>
      </c>
      <c r="F81" s="114">
        <v>2781488.73</v>
      </c>
      <c r="G81" s="114">
        <v>2465217.23</v>
      </c>
      <c r="H81" s="114">
        <v>2336442.02</v>
      </c>
      <c r="I81" s="114">
        <v>2135678.42</v>
      </c>
      <c r="J81" s="114">
        <v>2359677.89</v>
      </c>
      <c r="K81" s="114">
        <v>2221552.7400000002</v>
      </c>
      <c r="L81" s="114">
        <v>2288984.7599999998</v>
      </c>
      <c r="M81" s="114">
        <v>2326392.38</v>
      </c>
      <c r="N81" s="114">
        <v>3019133.59</v>
      </c>
      <c r="O81" s="114">
        <f t="shared" si="2"/>
        <v>3321046.95</v>
      </c>
      <c r="P81" s="115">
        <f>SUM(Table2[[#This Row],[JAN]:[DEC]])</f>
        <v>30576679.699999999</v>
      </c>
    </row>
    <row r="82" spans="1:16" x14ac:dyDescent="0.2">
      <c r="A82" s="111">
        <v>435</v>
      </c>
      <c r="B82" s="111">
        <v>81259</v>
      </c>
      <c r="C82" s="110" t="s">
        <v>702</v>
      </c>
      <c r="D82" s="114">
        <v>1537399.21</v>
      </c>
      <c r="E82" s="114">
        <v>2169914.65</v>
      </c>
      <c r="F82" s="114">
        <v>2163676.2999999998</v>
      </c>
      <c r="G82" s="114">
        <v>2100639.4300000002</v>
      </c>
      <c r="H82" s="114">
        <v>2128858.48</v>
      </c>
      <c r="I82" s="114">
        <v>3019300.65</v>
      </c>
      <c r="J82" s="114">
        <v>2973616.06</v>
      </c>
      <c r="K82" s="114">
        <v>3171034.9</v>
      </c>
      <c r="L82" s="114">
        <v>3521085.22</v>
      </c>
      <c r="M82" s="114">
        <v>2650182.12</v>
      </c>
      <c r="N82" s="114">
        <v>2386771.1</v>
      </c>
      <c r="O82" s="114">
        <f t="shared" si="2"/>
        <v>2625448.21</v>
      </c>
      <c r="P82" s="115">
        <f>SUM(Table2[[#This Row],[JAN]:[DEC]])</f>
        <v>30447926.330000002</v>
      </c>
    </row>
    <row r="83" spans="1:16" x14ac:dyDescent="0.2">
      <c r="A83" s="111">
        <v>478</v>
      </c>
      <c r="B83" s="111">
        <v>81318</v>
      </c>
      <c r="C83" s="110" t="s">
        <v>715</v>
      </c>
      <c r="D83" s="114">
        <v>2509610.2000000002</v>
      </c>
      <c r="E83" s="114">
        <v>2340733.92</v>
      </c>
      <c r="F83" s="114">
        <v>2375312.85</v>
      </c>
      <c r="G83" s="114">
        <v>2505044.2200000002</v>
      </c>
      <c r="H83" s="114">
        <v>2605919.61</v>
      </c>
      <c r="I83" s="114">
        <v>2482787.19</v>
      </c>
      <c r="J83" s="114">
        <v>2278940.4</v>
      </c>
      <c r="K83" s="114">
        <v>2480235.98</v>
      </c>
      <c r="L83" s="114">
        <v>2473469.17</v>
      </c>
      <c r="M83" s="114">
        <v>2555799.61</v>
      </c>
      <c r="N83" s="114">
        <v>2532105.42</v>
      </c>
      <c r="O83" s="114">
        <f t="shared" si="2"/>
        <v>2785315.96</v>
      </c>
      <c r="P83" s="115">
        <f>SUM(Table2[[#This Row],[JAN]:[DEC]])</f>
        <v>29925274.530000001</v>
      </c>
    </row>
    <row r="84" spans="1:16" x14ac:dyDescent="0.2">
      <c r="A84" s="111">
        <v>158</v>
      </c>
      <c r="B84" s="111">
        <v>51046</v>
      </c>
      <c r="C84" s="110" t="s">
        <v>610</v>
      </c>
      <c r="D84" s="114">
        <v>1968704.66</v>
      </c>
      <c r="E84" s="114">
        <v>2387028.7999999998</v>
      </c>
      <c r="F84" s="114">
        <v>2741451.71</v>
      </c>
      <c r="G84" s="114">
        <v>2217801.12</v>
      </c>
      <c r="H84" s="114">
        <v>2823148.63</v>
      </c>
      <c r="I84" s="114">
        <v>2449819.77</v>
      </c>
      <c r="J84" s="114">
        <v>2502665.36</v>
      </c>
      <c r="K84" s="114">
        <v>2069811.49</v>
      </c>
      <c r="L84" s="114">
        <v>2632340.41</v>
      </c>
      <c r="M84" s="114">
        <v>3070898.34</v>
      </c>
      <c r="N84" s="114">
        <v>2301544.84</v>
      </c>
      <c r="O84" s="114">
        <f t="shared" si="2"/>
        <v>2531699.3199999998</v>
      </c>
      <c r="P84" s="115">
        <f>SUM(Table2[[#This Row],[JAN]:[DEC]])</f>
        <v>29696914.449999996</v>
      </c>
    </row>
    <row r="85" spans="1:16" x14ac:dyDescent="0.2">
      <c r="A85" s="111">
        <v>302</v>
      </c>
      <c r="B85" s="111">
        <v>81089</v>
      </c>
      <c r="C85" s="110" t="s">
        <v>657</v>
      </c>
      <c r="D85" s="114">
        <v>2371401.39</v>
      </c>
      <c r="E85" s="114">
        <v>2210803.0699999998</v>
      </c>
      <c r="F85" s="114">
        <v>2363443.54</v>
      </c>
      <c r="G85" s="114">
        <v>2388353.37</v>
      </c>
      <c r="H85" s="114">
        <v>2465773.66</v>
      </c>
      <c r="I85" s="114">
        <v>2235012.52</v>
      </c>
      <c r="J85" s="114">
        <v>2448002.89</v>
      </c>
      <c r="K85" s="114">
        <v>2629682.11</v>
      </c>
      <c r="L85" s="114">
        <v>2500375.33</v>
      </c>
      <c r="M85" s="114">
        <v>2747466.72</v>
      </c>
      <c r="N85" s="114">
        <v>2445027.09</v>
      </c>
      <c r="O85" s="114">
        <f t="shared" si="2"/>
        <v>2689529.8</v>
      </c>
      <c r="P85" s="115">
        <f>SUM(Table2[[#This Row],[JAN]:[DEC]])</f>
        <v>29494871.490000002</v>
      </c>
    </row>
    <row r="86" spans="1:16" x14ac:dyDescent="0.2">
      <c r="A86" s="111">
        <v>370</v>
      </c>
      <c r="B86" s="111">
        <v>81182</v>
      </c>
      <c r="C86" s="110" t="s">
        <v>685</v>
      </c>
      <c r="D86" s="114">
        <v>2285667.04</v>
      </c>
      <c r="E86" s="114">
        <v>2005322.17</v>
      </c>
      <c r="F86" s="114">
        <v>2043721.41</v>
      </c>
      <c r="G86" s="114">
        <v>2234901.92</v>
      </c>
      <c r="H86" s="114">
        <v>2544488.8199999998</v>
      </c>
      <c r="I86" s="114">
        <v>2714226.61</v>
      </c>
      <c r="J86" s="114">
        <v>2620266.04</v>
      </c>
      <c r="K86" s="114">
        <v>2557342.84</v>
      </c>
      <c r="L86" s="114">
        <v>2617911.4500000002</v>
      </c>
      <c r="M86" s="114">
        <v>2664658.73</v>
      </c>
      <c r="N86" s="114">
        <v>2445926.5699999998</v>
      </c>
      <c r="O86" s="114">
        <f t="shared" si="2"/>
        <v>2690519.23</v>
      </c>
      <c r="P86" s="115">
        <f>SUM(Table2[[#This Row],[JAN]:[DEC]])</f>
        <v>29424952.829999998</v>
      </c>
    </row>
    <row r="87" spans="1:16" x14ac:dyDescent="0.2">
      <c r="A87" s="111">
        <v>421</v>
      </c>
      <c r="B87" s="111">
        <v>81245</v>
      </c>
      <c r="C87" s="110" t="s">
        <v>695</v>
      </c>
      <c r="D87" s="114">
        <v>2167185.84</v>
      </c>
      <c r="E87" s="114">
        <v>2386436.4900000002</v>
      </c>
      <c r="F87" s="114">
        <v>2171748.0499999998</v>
      </c>
      <c r="G87" s="114">
        <v>2288601.8199999998</v>
      </c>
      <c r="H87" s="114">
        <v>2284296.5099999998</v>
      </c>
      <c r="I87" s="114">
        <v>2521379.11</v>
      </c>
      <c r="J87" s="114">
        <v>2323963.7000000002</v>
      </c>
      <c r="K87" s="114">
        <v>2393663.5099999998</v>
      </c>
      <c r="L87" s="114">
        <v>2522971.64</v>
      </c>
      <c r="M87" s="114">
        <v>2033478.06</v>
      </c>
      <c r="N87" s="114">
        <v>2856521.85</v>
      </c>
      <c r="O87" s="114">
        <f t="shared" si="2"/>
        <v>3142174.04</v>
      </c>
      <c r="P87" s="115">
        <f>SUM(Table2[[#This Row],[JAN]:[DEC]])</f>
        <v>29092420.620000001</v>
      </c>
    </row>
    <row r="88" spans="1:16" x14ac:dyDescent="0.2">
      <c r="A88" s="111">
        <v>567</v>
      </c>
      <c r="B88" s="111">
        <v>171008</v>
      </c>
      <c r="C88" s="110" t="s">
        <v>749</v>
      </c>
      <c r="D88" s="114">
        <v>1742105.5</v>
      </c>
      <c r="E88" s="114">
        <v>1712453.49</v>
      </c>
      <c r="F88" s="114">
        <v>1886307.94</v>
      </c>
      <c r="G88" s="114">
        <v>2034298.38</v>
      </c>
      <c r="H88" s="114">
        <v>3358253.34</v>
      </c>
      <c r="I88" s="114">
        <v>2497228.65</v>
      </c>
      <c r="J88" s="114">
        <v>2309851.42</v>
      </c>
      <c r="K88" s="114">
        <v>1789008.87</v>
      </c>
      <c r="L88" s="114">
        <v>2910682.15</v>
      </c>
      <c r="M88" s="114">
        <v>3279765.08</v>
      </c>
      <c r="N88" s="114">
        <v>2577381.4900000002</v>
      </c>
      <c r="O88" s="114">
        <f t="shared" si="2"/>
        <v>2835119.64</v>
      </c>
      <c r="P88" s="115">
        <f>SUM(Table2[[#This Row],[JAN]:[DEC]])</f>
        <v>28932455.950000003</v>
      </c>
    </row>
    <row r="89" spans="1:16" x14ac:dyDescent="0.2">
      <c r="A89" s="111">
        <v>258</v>
      </c>
      <c r="B89" s="111">
        <v>81020</v>
      </c>
      <c r="C89" s="110" t="s">
        <v>641</v>
      </c>
      <c r="D89" s="114">
        <v>2122171.0099999998</v>
      </c>
      <c r="E89" s="114">
        <v>1968599.25</v>
      </c>
      <c r="F89" s="114">
        <v>1942971.02</v>
      </c>
      <c r="G89" s="114">
        <v>2061863.65</v>
      </c>
      <c r="H89" s="114">
        <v>2158455.87</v>
      </c>
      <c r="I89" s="114">
        <v>2451948.7799999998</v>
      </c>
      <c r="J89" s="114">
        <v>2761035.08</v>
      </c>
      <c r="K89" s="114">
        <v>2753410.58</v>
      </c>
      <c r="L89" s="114">
        <v>2846959.82</v>
      </c>
      <c r="M89" s="114">
        <v>2506861.17</v>
      </c>
      <c r="N89" s="114">
        <v>2147701.79</v>
      </c>
      <c r="O89" s="114">
        <f t="shared" si="2"/>
        <v>2362471.9700000002</v>
      </c>
      <c r="P89" s="115">
        <f>SUM(Table2[[#This Row],[JAN]:[DEC]])</f>
        <v>28084449.990000002</v>
      </c>
    </row>
    <row r="90" spans="1:16" x14ac:dyDescent="0.2">
      <c r="A90" s="111">
        <v>590</v>
      </c>
      <c r="B90" s="111">
        <v>261021</v>
      </c>
      <c r="C90" s="110" t="s">
        <v>756</v>
      </c>
      <c r="D90" s="114">
        <v>2524915.44</v>
      </c>
      <c r="E90" s="114">
        <v>1232231.25</v>
      </c>
      <c r="F90" s="114">
        <v>1350082.4</v>
      </c>
      <c r="G90" s="114">
        <v>3480099.28</v>
      </c>
      <c r="H90" s="114">
        <v>1725469.43</v>
      </c>
      <c r="I90" s="114">
        <v>3543375.54</v>
      </c>
      <c r="J90" s="114">
        <v>2227803.42</v>
      </c>
      <c r="K90" s="114">
        <v>3460835.74</v>
      </c>
      <c r="L90" s="114">
        <v>1736504.87</v>
      </c>
      <c r="M90" s="114">
        <v>3710179.65</v>
      </c>
      <c r="N90" s="114">
        <v>1341069.08</v>
      </c>
      <c r="O90" s="114">
        <f t="shared" si="2"/>
        <v>1475175.99</v>
      </c>
      <c r="P90" s="115">
        <f>SUM(Table2[[#This Row],[JAN]:[DEC]])</f>
        <v>27807742.09</v>
      </c>
    </row>
    <row r="91" spans="1:16" x14ac:dyDescent="0.2">
      <c r="A91" s="111">
        <v>304</v>
      </c>
      <c r="B91" s="111">
        <v>81092</v>
      </c>
      <c r="C91" s="110" t="s">
        <v>658</v>
      </c>
      <c r="D91" s="114">
        <v>2389058.33</v>
      </c>
      <c r="E91" s="114">
        <v>2107856.84</v>
      </c>
      <c r="F91" s="114">
        <v>2293193.29</v>
      </c>
      <c r="G91" s="114">
        <v>2358931.6800000002</v>
      </c>
      <c r="H91" s="114">
        <v>2363990.66</v>
      </c>
      <c r="I91" s="114">
        <v>2198444.12</v>
      </c>
      <c r="J91" s="114">
        <v>2147237.41</v>
      </c>
      <c r="K91" s="114">
        <v>2222218.73</v>
      </c>
      <c r="L91" s="114">
        <v>2380920.7000000002</v>
      </c>
      <c r="M91" s="114">
        <v>2251662.61</v>
      </c>
      <c r="N91" s="114">
        <v>2277193.16</v>
      </c>
      <c r="O91" s="114">
        <f t="shared" si="2"/>
        <v>2504912.48</v>
      </c>
      <c r="P91" s="115">
        <f>SUM(Table2[[#This Row],[JAN]:[DEC]])</f>
        <v>27495620.010000002</v>
      </c>
    </row>
    <row r="92" spans="1:16" x14ac:dyDescent="0.2">
      <c r="A92" s="111">
        <v>492</v>
      </c>
      <c r="B92" s="111">
        <v>81332</v>
      </c>
      <c r="C92" s="110" t="s">
        <v>721</v>
      </c>
      <c r="D92" s="114">
        <v>1689531.35</v>
      </c>
      <c r="E92" s="114">
        <v>1885582.63</v>
      </c>
      <c r="F92" s="114">
        <v>1900747.84</v>
      </c>
      <c r="G92" s="114">
        <v>1993587.92</v>
      </c>
      <c r="H92" s="114">
        <v>2254828.84</v>
      </c>
      <c r="I92" s="114">
        <v>2162295.63</v>
      </c>
      <c r="J92" s="114">
        <v>2236471.98</v>
      </c>
      <c r="K92" s="114">
        <v>2322518.0499999998</v>
      </c>
      <c r="L92" s="114">
        <v>2527042.6800000002</v>
      </c>
      <c r="M92" s="114">
        <v>2613005.15</v>
      </c>
      <c r="N92" s="114">
        <v>2651889.61</v>
      </c>
      <c r="O92" s="114">
        <f t="shared" si="2"/>
        <v>2917078.57</v>
      </c>
      <c r="P92" s="115">
        <f>SUM(Table2[[#This Row],[JAN]:[DEC]])</f>
        <v>27154580.25</v>
      </c>
    </row>
    <row r="93" spans="1:16" x14ac:dyDescent="0.2">
      <c r="A93" s="111">
        <v>249</v>
      </c>
      <c r="B93" s="111">
        <v>81008</v>
      </c>
      <c r="C93" s="110" t="s">
        <v>637</v>
      </c>
      <c r="D93" s="114">
        <v>2130809.66</v>
      </c>
      <c r="E93" s="114">
        <v>2096030.38</v>
      </c>
      <c r="F93" s="114">
        <v>2472735.46</v>
      </c>
      <c r="G93" s="114">
        <v>2526712.71</v>
      </c>
      <c r="H93" s="114">
        <v>2293882.34</v>
      </c>
      <c r="I93" s="114">
        <v>2047439.19</v>
      </c>
      <c r="J93" s="114">
        <v>2021743.54</v>
      </c>
      <c r="K93" s="114">
        <v>2110029.0099999998</v>
      </c>
      <c r="L93" s="114">
        <v>2263091.27</v>
      </c>
      <c r="M93" s="114">
        <v>2276965.1</v>
      </c>
      <c r="N93" s="114">
        <v>2192932.0099999998</v>
      </c>
      <c r="O93" s="114">
        <f t="shared" si="2"/>
        <v>2412225.21</v>
      </c>
      <c r="P93" s="115">
        <f>SUM(Table2[[#This Row],[JAN]:[DEC]])</f>
        <v>26844595.880000003</v>
      </c>
    </row>
    <row r="94" spans="1:16" x14ac:dyDescent="0.2">
      <c r="A94" s="111">
        <v>1</v>
      </c>
      <c r="B94" s="111">
        <v>11002</v>
      </c>
      <c r="C94" s="110" t="s">
        <v>563</v>
      </c>
      <c r="D94" s="114">
        <v>2147275.75</v>
      </c>
      <c r="E94" s="114">
        <v>2051947.9</v>
      </c>
      <c r="F94" s="114">
        <v>1901138.03</v>
      </c>
      <c r="G94" s="114">
        <v>2008166.37</v>
      </c>
      <c r="H94" s="114">
        <v>2074938.67</v>
      </c>
      <c r="I94" s="114">
        <v>2146504.2999999998</v>
      </c>
      <c r="J94" s="114">
        <v>2232287.38</v>
      </c>
      <c r="K94" s="114">
        <v>2349687.2799999998</v>
      </c>
      <c r="L94" s="114">
        <v>2385898.94</v>
      </c>
      <c r="M94" s="114">
        <v>2568167.61</v>
      </c>
      <c r="N94" s="114">
        <v>2271381.79</v>
      </c>
      <c r="O94" s="114">
        <f t="shared" si="2"/>
        <v>2498519.9700000002</v>
      </c>
      <c r="P94" s="115">
        <f>SUM(Table2[[#This Row],[JAN]:[DEC]])</f>
        <v>26635913.989999998</v>
      </c>
    </row>
    <row r="95" spans="1:16" x14ac:dyDescent="0.2">
      <c r="A95" s="111">
        <v>576</v>
      </c>
      <c r="B95" s="111">
        <v>261003</v>
      </c>
      <c r="C95" s="110" t="s">
        <v>753</v>
      </c>
      <c r="D95" s="114">
        <v>1326946.26</v>
      </c>
      <c r="E95" s="114">
        <v>1465366.47</v>
      </c>
      <c r="F95" s="114">
        <v>3146045.1</v>
      </c>
      <c r="G95" s="114">
        <v>1397628.47</v>
      </c>
      <c r="H95" s="114">
        <v>3701287.07</v>
      </c>
      <c r="I95" s="114">
        <v>1614851.72</v>
      </c>
      <c r="J95" s="114">
        <v>3595122.34</v>
      </c>
      <c r="K95" s="114">
        <v>1540147</v>
      </c>
      <c r="L95" s="114">
        <v>1774938.51</v>
      </c>
      <c r="M95" s="114">
        <v>4096726.51</v>
      </c>
      <c r="N95" s="114">
        <v>1377844.26</v>
      </c>
      <c r="O95" s="114">
        <f t="shared" si="2"/>
        <v>1515628.69</v>
      </c>
      <c r="P95" s="115">
        <f>SUM(Table2[[#This Row],[JAN]:[DEC]])</f>
        <v>26552532.400000006</v>
      </c>
    </row>
    <row r="96" spans="1:16" x14ac:dyDescent="0.2">
      <c r="A96" s="111">
        <v>364</v>
      </c>
      <c r="B96" s="111">
        <v>81175</v>
      </c>
      <c r="C96" s="110" t="s">
        <v>681</v>
      </c>
      <c r="D96" s="114">
        <v>2008073.74</v>
      </c>
      <c r="E96" s="114">
        <v>1978264.48</v>
      </c>
      <c r="F96" s="114">
        <v>2087337.84</v>
      </c>
      <c r="G96" s="114">
        <v>2104890.2000000002</v>
      </c>
      <c r="H96" s="114">
        <v>2121826.2000000002</v>
      </c>
      <c r="I96" s="114">
        <v>2135183.2999999998</v>
      </c>
      <c r="J96" s="114">
        <v>2329357.7999999998</v>
      </c>
      <c r="K96" s="114">
        <v>2202890.41</v>
      </c>
      <c r="L96" s="114">
        <v>2288714.62</v>
      </c>
      <c r="M96" s="114">
        <v>2320364.3199999998</v>
      </c>
      <c r="N96" s="114">
        <v>2107344.0699999998</v>
      </c>
      <c r="O96" s="114">
        <f t="shared" si="2"/>
        <v>2318078.48</v>
      </c>
      <c r="P96" s="115">
        <f>SUM(Table2[[#This Row],[JAN]:[DEC]])</f>
        <v>26002325.460000005</v>
      </c>
    </row>
    <row r="97" spans="1:16" x14ac:dyDescent="0.2">
      <c r="A97" s="111">
        <v>13</v>
      </c>
      <c r="B97" s="111">
        <v>11020</v>
      </c>
      <c r="C97" s="110" t="s">
        <v>569</v>
      </c>
      <c r="D97" s="114">
        <v>1404949.23</v>
      </c>
      <c r="E97" s="114">
        <v>1664622.29</v>
      </c>
      <c r="F97" s="114">
        <v>1761798.7</v>
      </c>
      <c r="G97" s="114">
        <v>1692140.03</v>
      </c>
      <c r="H97" s="114">
        <v>1632462.19</v>
      </c>
      <c r="I97" s="114">
        <v>2431815.15</v>
      </c>
      <c r="J97" s="114">
        <v>3217721.22</v>
      </c>
      <c r="K97" s="114">
        <v>2528234.96</v>
      </c>
      <c r="L97" s="114">
        <v>2491435.2799999998</v>
      </c>
      <c r="M97" s="114">
        <v>2425181.56</v>
      </c>
      <c r="N97" s="114">
        <v>2135633.36</v>
      </c>
      <c r="O97" s="114">
        <f t="shared" si="2"/>
        <v>2349196.7000000002</v>
      </c>
      <c r="P97" s="115">
        <f>SUM(Table2[[#This Row],[JAN]:[DEC]])</f>
        <v>25735190.669999998</v>
      </c>
    </row>
    <row r="98" spans="1:16" x14ac:dyDescent="0.2">
      <c r="A98" s="111">
        <v>251</v>
      </c>
      <c r="B98" s="111">
        <v>81011</v>
      </c>
      <c r="C98" s="110" t="s">
        <v>639</v>
      </c>
      <c r="D98" s="114">
        <v>2087375.83</v>
      </c>
      <c r="E98" s="114">
        <v>2106786.8199999998</v>
      </c>
      <c r="F98" s="114">
        <v>2331850.58</v>
      </c>
      <c r="G98" s="114">
        <v>2142030.77</v>
      </c>
      <c r="H98" s="114">
        <v>2238291.69</v>
      </c>
      <c r="I98" s="114">
        <v>2011730.52</v>
      </c>
      <c r="J98" s="114">
        <v>1975328.92</v>
      </c>
      <c r="K98" s="114">
        <v>2153968.23</v>
      </c>
      <c r="L98" s="114">
        <v>2020818.23</v>
      </c>
      <c r="M98" s="114">
        <v>2131096.0099999998</v>
      </c>
      <c r="N98" s="114">
        <v>2087244</v>
      </c>
      <c r="O98" s="114">
        <f t="shared" ref="O98:O129" si="3">ROUND(N98*110%,2)</f>
        <v>2295968.4</v>
      </c>
      <c r="P98" s="115">
        <f>SUM(Table2[[#This Row],[JAN]:[DEC]])</f>
        <v>25582490</v>
      </c>
    </row>
    <row r="99" spans="1:16" x14ac:dyDescent="0.2">
      <c r="A99" s="111">
        <v>44</v>
      </c>
      <c r="B99" s="112">
        <v>11066</v>
      </c>
      <c r="C99" s="113" t="s">
        <v>581</v>
      </c>
      <c r="D99" s="114">
        <v>0</v>
      </c>
      <c r="E99" s="114">
        <v>0</v>
      </c>
      <c r="F99" s="114">
        <v>1437803.96</v>
      </c>
      <c r="G99" s="114">
        <v>3095173.13</v>
      </c>
      <c r="H99" s="114">
        <v>2669265.12</v>
      </c>
      <c r="I99" s="114">
        <v>2459180.39</v>
      </c>
      <c r="J99" s="114">
        <v>2686784.82</v>
      </c>
      <c r="K99" s="114">
        <v>2738858.69</v>
      </c>
      <c r="L99" s="114">
        <v>2538865.25</v>
      </c>
      <c r="M99" s="114">
        <v>2770653.26</v>
      </c>
      <c r="N99" s="114">
        <v>2387112.2799999998</v>
      </c>
      <c r="O99" s="114">
        <f t="shared" si="3"/>
        <v>2625823.5099999998</v>
      </c>
      <c r="P99" s="115">
        <f>SUM(Table2[[#This Row],[JAN]:[DEC]])</f>
        <v>25409520.409999996</v>
      </c>
    </row>
    <row r="100" spans="1:16" x14ac:dyDescent="0.2">
      <c r="A100" s="111">
        <v>333</v>
      </c>
      <c r="B100" s="111">
        <v>81135</v>
      </c>
      <c r="C100" s="110" t="s">
        <v>669</v>
      </c>
      <c r="D100" s="114">
        <v>2012488.68</v>
      </c>
      <c r="E100" s="114">
        <v>1943774</v>
      </c>
      <c r="F100" s="114">
        <v>2189659.36</v>
      </c>
      <c r="G100" s="114">
        <v>2016088.6</v>
      </c>
      <c r="H100" s="114">
        <v>2103002.5699999998</v>
      </c>
      <c r="I100" s="114">
        <v>2182549.4</v>
      </c>
      <c r="J100" s="114">
        <v>1989416.57</v>
      </c>
      <c r="K100" s="114">
        <v>2097747.5</v>
      </c>
      <c r="L100" s="114">
        <v>2144618.61</v>
      </c>
      <c r="M100" s="114">
        <v>2198132.92</v>
      </c>
      <c r="N100" s="114">
        <v>2117847.94</v>
      </c>
      <c r="O100" s="114">
        <f t="shared" si="3"/>
        <v>2329632.73</v>
      </c>
      <c r="P100" s="115">
        <f>SUM(Table2[[#This Row],[JAN]:[DEC]])</f>
        <v>25324958.880000003</v>
      </c>
    </row>
    <row r="101" spans="1:16" x14ac:dyDescent="0.2">
      <c r="A101" s="111">
        <v>440</v>
      </c>
      <c r="B101" s="111">
        <v>81265</v>
      </c>
      <c r="C101" s="110" t="s">
        <v>704</v>
      </c>
      <c r="D101" s="114">
        <v>1920274.46</v>
      </c>
      <c r="E101" s="114">
        <v>1854102.92</v>
      </c>
      <c r="F101" s="114">
        <v>1962661.99</v>
      </c>
      <c r="G101" s="114">
        <v>2160170.94</v>
      </c>
      <c r="H101" s="114">
        <v>2155580.2200000002</v>
      </c>
      <c r="I101" s="114">
        <v>2078503.7</v>
      </c>
      <c r="J101" s="114">
        <v>2008567.34</v>
      </c>
      <c r="K101" s="114">
        <v>2134736.67</v>
      </c>
      <c r="L101" s="114">
        <v>2147946.0099999998</v>
      </c>
      <c r="M101" s="114">
        <v>2335185.14</v>
      </c>
      <c r="N101" s="114">
        <v>2096405.42</v>
      </c>
      <c r="O101" s="114">
        <f t="shared" si="3"/>
        <v>2306045.96</v>
      </c>
      <c r="P101" s="115">
        <f>SUM(Table2[[#This Row],[JAN]:[DEC]])</f>
        <v>25160180.770000003</v>
      </c>
    </row>
    <row r="102" spans="1:16" x14ac:dyDescent="0.2">
      <c r="A102" s="111">
        <v>296</v>
      </c>
      <c r="B102" s="111">
        <v>81074</v>
      </c>
      <c r="C102" s="110" t="s">
        <v>655</v>
      </c>
      <c r="D102" s="114">
        <v>1994750.72</v>
      </c>
      <c r="E102" s="114">
        <v>1921583.68</v>
      </c>
      <c r="F102" s="114">
        <v>2895732.96</v>
      </c>
      <c r="G102" s="114">
        <v>1748225.2</v>
      </c>
      <c r="H102" s="114">
        <v>1974726.03</v>
      </c>
      <c r="I102" s="114">
        <v>2020656.25</v>
      </c>
      <c r="J102" s="114">
        <v>1879093.2</v>
      </c>
      <c r="K102" s="114">
        <v>1995761.34</v>
      </c>
      <c r="L102" s="114">
        <v>2094586.26</v>
      </c>
      <c r="M102" s="114">
        <v>2207849.2999999998</v>
      </c>
      <c r="N102" s="114">
        <v>1973157.68</v>
      </c>
      <c r="O102" s="114">
        <f t="shared" si="3"/>
        <v>2170473.4500000002</v>
      </c>
      <c r="P102" s="115">
        <f>SUM(Table2[[#This Row],[JAN]:[DEC]])</f>
        <v>24876596.069999997</v>
      </c>
    </row>
    <row r="103" spans="1:16" x14ac:dyDescent="0.2">
      <c r="A103" s="111">
        <v>83</v>
      </c>
      <c r="B103" s="111">
        <v>31030</v>
      </c>
      <c r="C103" s="110" t="s">
        <v>596</v>
      </c>
      <c r="D103" s="114">
        <v>1460995.06</v>
      </c>
      <c r="E103" s="114">
        <v>1916773.62</v>
      </c>
      <c r="F103" s="114">
        <v>1821032.41</v>
      </c>
      <c r="G103" s="114">
        <v>1722817.23</v>
      </c>
      <c r="H103" s="114">
        <v>1642586.3</v>
      </c>
      <c r="I103" s="114">
        <v>2151584.6</v>
      </c>
      <c r="J103" s="114">
        <v>2777063.61</v>
      </c>
      <c r="K103" s="114">
        <v>2003938.91</v>
      </c>
      <c r="L103" s="114">
        <v>2125516.21</v>
      </c>
      <c r="M103" s="114">
        <v>2486214.84</v>
      </c>
      <c r="N103" s="114">
        <v>2174344.46</v>
      </c>
      <c r="O103" s="114">
        <f t="shared" si="3"/>
        <v>2391778.91</v>
      </c>
      <c r="P103" s="115">
        <f>SUM(Table2[[#This Row],[JAN]:[DEC]])</f>
        <v>24674646.16</v>
      </c>
    </row>
    <row r="104" spans="1:16" x14ac:dyDescent="0.2">
      <c r="A104" s="111">
        <v>513</v>
      </c>
      <c r="B104" s="112">
        <v>81358</v>
      </c>
      <c r="C104" s="113" t="s">
        <v>734</v>
      </c>
      <c r="D104" s="114">
        <v>0</v>
      </c>
      <c r="E104" s="114">
        <v>0</v>
      </c>
      <c r="F104" s="114">
        <v>0</v>
      </c>
      <c r="G104" s="114">
        <v>0</v>
      </c>
      <c r="H104" s="114">
        <v>0</v>
      </c>
      <c r="I104" s="114">
        <v>390978.07</v>
      </c>
      <c r="J104" s="114">
        <v>5107311.8</v>
      </c>
      <c r="K104" s="114">
        <v>3622713.46</v>
      </c>
      <c r="L104" s="114">
        <v>3244906.97</v>
      </c>
      <c r="M104" s="114">
        <v>3069534.15</v>
      </c>
      <c r="N104" s="114">
        <v>4304418.34</v>
      </c>
      <c r="O104" s="114">
        <f t="shared" si="3"/>
        <v>4734860.17</v>
      </c>
      <c r="P104" s="115">
        <f>SUM(Table2[[#This Row],[JAN]:[DEC]])</f>
        <v>24474722.960000001</v>
      </c>
    </row>
    <row r="105" spans="1:16" x14ac:dyDescent="0.2">
      <c r="A105" s="111">
        <v>188</v>
      </c>
      <c r="B105" s="111">
        <v>61020</v>
      </c>
      <c r="C105" s="110" t="s">
        <v>620</v>
      </c>
      <c r="D105" s="114">
        <v>1837316.65</v>
      </c>
      <c r="E105" s="114">
        <v>1748803.65</v>
      </c>
      <c r="F105" s="114">
        <v>2433563.21</v>
      </c>
      <c r="G105" s="114">
        <v>1420641.51</v>
      </c>
      <c r="H105" s="114">
        <v>1737094.42</v>
      </c>
      <c r="I105" s="114">
        <v>1755112.56</v>
      </c>
      <c r="J105" s="114">
        <v>1726110.59</v>
      </c>
      <c r="K105" s="114">
        <v>2330631.38</v>
      </c>
      <c r="L105" s="114">
        <v>2065332.57</v>
      </c>
      <c r="M105" s="114">
        <v>2349954.85</v>
      </c>
      <c r="N105" s="114">
        <v>2241470.77</v>
      </c>
      <c r="O105" s="114">
        <f t="shared" si="3"/>
        <v>2465617.85</v>
      </c>
      <c r="P105" s="115">
        <f>SUM(Table2[[#This Row],[JAN]:[DEC]])</f>
        <v>24111650.010000002</v>
      </c>
    </row>
    <row r="106" spans="1:16" x14ac:dyDescent="0.2">
      <c r="A106" s="111">
        <v>356</v>
      </c>
      <c r="B106" s="111">
        <v>81166</v>
      </c>
      <c r="C106" s="110" t="s">
        <v>678</v>
      </c>
      <c r="D106" s="114">
        <v>2014494.97</v>
      </c>
      <c r="E106" s="114">
        <v>1903149.94</v>
      </c>
      <c r="F106" s="114">
        <v>1874444.2</v>
      </c>
      <c r="G106" s="114">
        <v>2023033.72</v>
      </c>
      <c r="H106" s="114">
        <v>2128959.4700000002</v>
      </c>
      <c r="I106" s="114">
        <v>2051564.98</v>
      </c>
      <c r="J106" s="114">
        <v>2019646.55</v>
      </c>
      <c r="K106" s="114">
        <v>2079605.66</v>
      </c>
      <c r="L106" s="114">
        <v>2095221.16</v>
      </c>
      <c r="M106" s="114">
        <v>2267915.98</v>
      </c>
      <c r="N106" s="114">
        <v>1580062.61</v>
      </c>
      <c r="O106" s="114">
        <f t="shared" si="3"/>
        <v>1738068.87</v>
      </c>
      <c r="P106" s="115">
        <f>SUM(Table2[[#This Row],[JAN]:[DEC]])</f>
        <v>23776168.110000003</v>
      </c>
    </row>
    <row r="107" spans="1:16" x14ac:dyDescent="0.2">
      <c r="A107" s="111">
        <v>294</v>
      </c>
      <c r="B107" s="111">
        <v>81070</v>
      </c>
      <c r="C107" s="110" t="s">
        <v>653</v>
      </c>
      <c r="D107" s="114">
        <v>1774295.16</v>
      </c>
      <c r="E107" s="114">
        <v>3555228.85</v>
      </c>
      <c r="F107" s="114">
        <v>1203149.79</v>
      </c>
      <c r="G107" s="114">
        <v>1421205.32</v>
      </c>
      <c r="H107" s="114">
        <v>1649242.36</v>
      </c>
      <c r="I107" s="114">
        <v>1775842.86</v>
      </c>
      <c r="J107" s="114">
        <v>1830577.4</v>
      </c>
      <c r="K107" s="114">
        <v>3910737.88</v>
      </c>
      <c r="L107" s="114">
        <v>1212534.52</v>
      </c>
      <c r="M107" s="114">
        <v>1614749.75</v>
      </c>
      <c r="N107" s="114">
        <v>1586067.88</v>
      </c>
      <c r="O107" s="114">
        <f t="shared" si="3"/>
        <v>1744674.67</v>
      </c>
      <c r="P107" s="115">
        <f>SUM(Table2[[#This Row],[JAN]:[DEC]])</f>
        <v>23278306.439999998</v>
      </c>
    </row>
    <row r="108" spans="1:16" x14ac:dyDescent="0.2">
      <c r="A108" s="111">
        <v>500</v>
      </c>
      <c r="B108" s="111">
        <v>81341</v>
      </c>
      <c r="C108" s="110" t="s">
        <v>726</v>
      </c>
      <c r="D108" s="114">
        <v>1944713.95</v>
      </c>
      <c r="E108" s="114">
        <v>1921054.08</v>
      </c>
      <c r="F108" s="114">
        <v>1920485.97</v>
      </c>
      <c r="G108" s="114">
        <v>1914094.27</v>
      </c>
      <c r="H108" s="114">
        <v>1876322.52</v>
      </c>
      <c r="I108" s="114">
        <v>1791426.18</v>
      </c>
      <c r="J108" s="114">
        <v>1844693.31</v>
      </c>
      <c r="K108" s="114">
        <v>1854916.85</v>
      </c>
      <c r="L108" s="114">
        <v>1887152.32</v>
      </c>
      <c r="M108" s="114">
        <v>2033238.47</v>
      </c>
      <c r="N108" s="114">
        <v>1985961.03</v>
      </c>
      <c r="O108" s="114">
        <f t="shared" si="3"/>
        <v>2184557.13</v>
      </c>
      <c r="P108" s="115">
        <f>SUM(Table2[[#This Row],[JAN]:[DEC]])</f>
        <v>23158616.079999998</v>
      </c>
    </row>
    <row r="109" spans="1:16" x14ac:dyDescent="0.2">
      <c r="A109" s="111">
        <v>79</v>
      </c>
      <c r="B109" s="111">
        <v>31026</v>
      </c>
      <c r="C109" s="110" t="s">
        <v>594</v>
      </c>
      <c r="D109" s="114">
        <v>1960231.46</v>
      </c>
      <c r="E109" s="114">
        <v>1977111.2</v>
      </c>
      <c r="F109" s="114">
        <v>1850907.06</v>
      </c>
      <c r="G109" s="114">
        <v>1877810.12</v>
      </c>
      <c r="H109" s="114">
        <v>2232004.7999999998</v>
      </c>
      <c r="I109" s="114">
        <v>2131461.5099999998</v>
      </c>
      <c r="J109" s="114">
        <v>2186783.84</v>
      </c>
      <c r="K109" s="114">
        <v>1785697.59</v>
      </c>
      <c r="L109" s="114">
        <v>1842282.8</v>
      </c>
      <c r="M109" s="114">
        <v>1783442.16</v>
      </c>
      <c r="N109" s="114">
        <v>1633591.85</v>
      </c>
      <c r="O109" s="114">
        <f t="shared" si="3"/>
        <v>1796951.04</v>
      </c>
      <c r="P109" s="115">
        <f>SUM(Table2[[#This Row],[JAN]:[DEC]])</f>
        <v>23058275.43</v>
      </c>
    </row>
    <row r="110" spans="1:16" x14ac:dyDescent="0.2">
      <c r="A110" s="111">
        <v>210</v>
      </c>
      <c r="B110" s="111">
        <v>61048</v>
      </c>
      <c r="C110" s="110" t="s">
        <v>631</v>
      </c>
      <c r="D110" s="114">
        <v>1970486.87</v>
      </c>
      <c r="E110" s="114">
        <v>1357651.13</v>
      </c>
      <c r="F110" s="114">
        <v>1582912.31</v>
      </c>
      <c r="G110" s="114">
        <v>1615324.05</v>
      </c>
      <c r="H110" s="114">
        <v>1141848.54</v>
      </c>
      <c r="I110" s="114">
        <v>1306298.4099999999</v>
      </c>
      <c r="J110" s="114">
        <v>1704527.32</v>
      </c>
      <c r="K110" s="114">
        <v>1427124.25</v>
      </c>
      <c r="L110" s="114">
        <v>1515680.35</v>
      </c>
      <c r="M110" s="114">
        <v>1864529.58</v>
      </c>
      <c r="N110" s="114">
        <v>3508536.27</v>
      </c>
      <c r="O110" s="114">
        <f t="shared" si="3"/>
        <v>3859389.9</v>
      </c>
      <c r="P110" s="115">
        <f>SUM(Table2[[#This Row],[JAN]:[DEC]])</f>
        <v>22854308.98</v>
      </c>
    </row>
    <row r="111" spans="1:16" x14ac:dyDescent="0.2">
      <c r="A111" s="111">
        <v>11</v>
      </c>
      <c r="B111" s="111">
        <v>11017</v>
      </c>
      <c r="C111" s="110" t="s">
        <v>567</v>
      </c>
      <c r="D111" s="114">
        <v>1735526.6</v>
      </c>
      <c r="E111" s="114">
        <v>1468963.74</v>
      </c>
      <c r="F111" s="114">
        <v>2806605.3</v>
      </c>
      <c r="G111" s="114">
        <v>1645869.33</v>
      </c>
      <c r="H111" s="114">
        <v>2392477.54</v>
      </c>
      <c r="I111" s="114">
        <v>1505974.11</v>
      </c>
      <c r="J111" s="114">
        <v>1620696.29</v>
      </c>
      <c r="K111" s="114">
        <v>1551121.93</v>
      </c>
      <c r="L111" s="114">
        <v>2802412.61</v>
      </c>
      <c r="M111" s="114">
        <v>1807243.95</v>
      </c>
      <c r="N111" s="114">
        <v>1602880.8</v>
      </c>
      <c r="O111" s="114">
        <f t="shared" si="3"/>
        <v>1763168.88</v>
      </c>
      <c r="P111" s="115">
        <f>SUM(Table2[[#This Row],[JAN]:[DEC]])</f>
        <v>22702941.079999998</v>
      </c>
    </row>
    <row r="112" spans="1:16" x14ac:dyDescent="0.2">
      <c r="A112" s="111">
        <v>88</v>
      </c>
      <c r="B112" s="111">
        <v>31035</v>
      </c>
      <c r="C112" s="110" t="s">
        <v>599</v>
      </c>
      <c r="D112" s="114">
        <v>1358223.86</v>
      </c>
      <c r="E112" s="114">
        <v>1782394.93</v>
      </c>
      <c r="F112" s="114">
        <v>1842004.31</v>
      </c>
      <c r="G112" s="114">
        <v>1559931.64</v>
      </c>
      <c r="H112" s="114">
        <v>1612175.33</v>
      </c>
      <c r="I112" s="114">
        <v>1989309.73</v>
      </c>
      <c r="J112" s="114">
        <v>2220595.98</v>
      </c>
      <c r="K112" s="114">
        <v>1783336.47</v>
      </c>
      <c r="L112" s="114">
        <v>1993668.28</v>
      </c>
      <c r="M112" s="114">
        <v>2161517.83</v>
      </c>
      <c r="N112" s="114">
        <v>2015213.4</v>
      </c>
      <c r="O112" s="114">
        <f t="shared" si="3"/>
        <v>2216734.7400000002</v>
      </c>
      <c r="P112" s="115">
        <f>SUM(Table2[[#This Row],[JAN]:[DEC]])</f>
        <v>22535106.5</v>
      </c>
    </row>
    <row r="113" spans="1:16" x14ac:dyDescent="0.2">
      <c r="A113" s="111">
        <v>375</v>
      </c>
      <c r="B113" s="111">
        <v>81187</v>
      </c>
      <c r="C113" s="110" t="s">
        <v>687</v>
      </c>
      <c r="D113" s="114">
        <v>2352334.62</v>
      </c>
      <c r="E113" s="114">
        <v>2133966.25</v>
      </c>
      <c r="F113" s="114">
        <v>1742644.65</v>
      </c>
      <c r="G113" s="114">
        <v>1918158.45</v>
      </c>
      <c r="H113" s="114">
        <v>1876781.3</v>
      </c>
      <c r="I113" s="114">
        <v>1564101.15</v>
      </c>
      <c r="J113" s="114">
        <v>1422583</v>
      </c>
      <c r="K113" s="114">
        <v>1589789.21</v>
      </c>
      <c r="L113" s="114">
        <v>1732348.9</v>
      </c>
      <c r="M113" s="114">
        <v>1908048.25</v>
      </c>
      <c r="N113" s="114">
        <v>1974678.74</v>
      </c>
      <c r="O113" s="114">
        <f t="shared" si="3"/>
        <v>2172146.61</v>
      </c>
      <c r="P113" s="115">
        <f>SUM(Table2[[#This Row],[JAN]:[DEC]])</f>
        <v>22387581.129999999</v>
      </c>
    </row>
    <row r="114" spans="1:16" x14ac:dyDescent="0.2">
      <c r="A114" s="111">
        <v>463</v>
      </c>
      <c r="B114" s="111">
        <v>81292</v>
      </c>
      <c r="C114" s="110" t="s">
        <v>712</v>
      </c>
      <c r="D114" s="114">
        <v>1505991.25</v>
      </c>
      <c r="E114" s="114">
        <v>1487992.66</v>
      </c>
      <c r="F114" s="114">
        <v>2080452.88</v>
      </c>
      <c r="G114" s="114">
        <v>1845495.19</v>
      </c>
      <c r="H114" s="114">
        <v>1865559.67</v>
      </c>
      <c r="I114" s="114">
        <v>1846455.06</v>
      </c>
      <c r="J114" s="114">
        <v>1731842.62</v>
      </c>
      <c r="K114" s="114">
        <v>1795281.35</v>
      </c>
      <c r="L114" s="114">
        <v>1877202.62</v>
      </c>
      <c r="M114" s="114">
        <v>1907407.93</v>
      </c>
      <c r="N114" s="114">
        <v>1948120.65</v>
      </c>
      <c r="O114" s="114">
        <f t="shared" si="3"/>
        <v>2142932.7200000002</v>
      </c>
      <c r="P114" s="115">
        <f>SUM(Table2[[#This Row],[JAN]:[DEC]])</f>
        <v>22034734.599999998</v>
      </c>
    </row>
    <row r="115" spans="1:16" x14ac:dyDescent="0.2">
      <c r="A115" s="111">
        <v>157</v>
      </c>
      <c r="B115" s="111">
        <v>51045</v>
      </c>
      <c r="C115" s="110" t="s">
        <v>609</v>
      </c>
      <c r="D115" s="114">
        <v>1315036.69</v>
      </c>
      <c r="E115" s="114">
        <v>1376498.14</v>
      </c>
      <c r="F115" s="114">
        <v>1369628</v>
      </c>
      <c r="G115" s="114">
        <v>1707095.34</v>
      </c>
      <c r="H115" s="114">
        <v>1867083.39</v>
      </c>
      <c r="I115" s="114">
        <v>2097687.06</v>
      </c>
      <c r="J115" s="114">
        <v>2409110.19</v>
      </c>
      <c r="K115" s="114">
        <v>2012738.02</v>
      </c>
      <c r="L115" s="114">
        <v>2050048.18</v>
      </c>
      <c r="M115" s="114">
        <v>2093232.41</v>
      </c>
      <c r="N115" s="114">
        <v>1772965.62</v>
      </c>
      <c r="O115" s="114">
        <f t="shared" si="3"/>
        <v>1950262.18</v>
      </c>
      <c r="P115" s="115">
        <f>SUM(Table2[[#This Row],[JAN]:[DEC]])</f>
        <v>22021385.219999999</v>
      </c>
    </row>
    <row r="116" spans="1:16" x14ac:dyDescent="0.2">
      <c r="A116" s="111">
        <v>192</v>
      </c>
      <c r="B116" s="111">
        <v>61024</v>
      </c>
      <c r="C116" s="110" t="s">
        <v>624</v>
      </c>
      <c r="D116" s="114">
        <v>1579740.01</v>
      </c>
      <c r="E116" s="114">
        <v>1501009.31</v>
      </c>
      <c r="F116" s="114">
        <v>2075179.52</v>
      </c>
      <c r="G116" s="114">
        <v>1194541.6499999999</v>
      </c>
      <c r="H116" s="114">
        <v>1741102.68</v>
      </c>
      <c r="I116" s="114">
        <v>1936315.44</v>
      </c>
      <c r="J116" s="114">
        <v>1870634.26</v>
      </c>
      <c r="K116" s="114">
        <v>2983721.62</v>
      </c>
      <c r="L116" s="114">
        <v>1429121.53</v>
      </c>
      <c r="M116" s="114">
        <v>1782527.07</v>
      </c>
      <c r="N116" s="114">
        <v>1749202.62</v>
      </c>
      <c r="O116" s="114">
        <f t="shared" si="3"/>
        <v>1924122.88</v>
      </c>
      <c r="P116" s="115">
        <f>SUM(Table2[[#This Row],[JAN]:[DEC]])</f>
        <v>21767218.589999996</v>
      </c>
    </row>
    <row r="117" spans="1:16" x14ac:dyDescent="0.2">
      <c r="A117" s="111">
        <v>426</v>
      </c>
      <c r="B117" s="111">
        <v>81250</v>
      </c>
      <c r="C117" s="110" t="s">
        <v>697</v>
      </c>
      <c r="D117" s="114">
        <v>1751207</v>
      </c>
      <c r="E117" s="114">
        <v>1640393.28</v>
      </c>
      <c r="F117" s="114">
        <v>1635193.12</v>
      </c>
      <c r="G117" s="114">
        <v>1919300.76</v>
      </c>
      <c r="H117" s="114">
        <v>1969874.62</v>
      </c>
      <c r="I117" s="114">
        <v>1905652.31</v>
      </c>
      <c r="J117" s="114">
        <v>1760789.3</v>
      </c>
      <c r="K117" s="114">
        <v>1604450.26</v>
      </c>
      <c r="L117" s="114">
        <v>1794083.22</v>
      </c>
      <c r="M117" s="114">
        <v>1821332.55</v>
      </c>
      <c r="N117" s="114">
        <v>1696756.72</v>
      </c>
      <c r="O117" s="114">
        <f t="shared" si="3"/>
        <v>1866432.39</v>
      </c>
      <c r="P117" s="115">
        <f>SUM(Table2[[#This Row],[JAN]:[DEC]])</f>
        <v>21365465.530000001</v>
      </c>
    </row>
    <row r="118" spans="1:16" x14ac:dyDescent="0.2">
      <c r="A118" s="111">
        <v>604</v>
      </c>
      <c r="B118" s="111">
        <v>261037</v>
      </c>
      <c r="C118" s="110" t="s">
        <v>759</v>
      </c>
      <c r="D118" s="114">
        <v>1490580.11</v>
      </c>
      <c r="E118" s="114">
        <v>1674262.9</v>
      </c>
      <c r="F118" s="114">
        <v>2415441.5099999998</v>
      </c>
      <c r="G118" s="114">
        <v>1413165.48</v>
      </c>
      <c r="H118" s="114">
        <v>1447865.68</v>
      </c>
      <c r="I118" s="114">
        <v>2488385.5099999998</v>
      </c>
      <c r="J118" s="114">
        <v>1245016.1399999999</v>
      </c>
      <c r="K118" s="114">
        <v>1505336.56</v>
      </c>
      <c r="L118" s="114">
        <v>2866711.66</v>
      </c>
      <c r="M118" s="114">
        <v>1446381.8</v>
      </c>
      <c r="N118" s="114">
        <v>1449012.99</v>
      </c>
      <c r="O118" s="114">
        <f t="shared" si="3"/>
        <v>1593914.29</v>
      </c>
      <c r="P118" s="115">
        <f>SUM(Table2[[#This Row],[JAN]:[DEC]])</f>
        <v>21036074.629999999</v>
      </c>
    </row>
    <row r="119" spans="1:16" x14ac:dyDescent="0.2">
      <c r="A119" s="111">
        <v>45</v>
      </c>
      <c r="B119" s="112">
        <v>11067</v>
      </c>
      <c r="C119" s="113" t="s">
        <v>582</v>
      </c>
      <c r="D119" s="114">
        <v>0</v>
      </c>
      <c r="E119" s="114">
        <v>0</v>
      </c>
      <c r="F119" s="114">
        <v>0</v>
      </c>
      <c r="G119" s="114">
        <v>0</v>
      </c>
      <c r="H119" s="114">
        <v>0</v>
      </c>
      <c r="I119" s="114">
        <v>0</v>
      </c>
      <c r="J119" s="114">
        <v>0</v>
      </c>
      <c r="K119" s="114">
        <v>11280.5</v>
      </c>
      <c r="L119" s="114">
        <v>2495217.12</v>
      </c>
      <c r="M119" s="114">
        <v>6413482.6500000004</v>
      </c>
      <c r="N119" s="114">
        <v>5723057.71</v>
      </c>
      <c r="O119" s="114">
        <f t="shared" si="3"/>
        <v>6295363.4800000004</v>
      </c>
      <c r="P119" s="115">
        <f>SUM(Table2[[#This Row],[JAN]:[DEC]])</f>
        <v>20938401.460000001</v>
      </c>
    </row>
    <row r="120" spans="1:16" x14ac:dyDescent="0.2">
      <c r="A120" s="111">
        <v>286</v>
      </c>
      <c r="B120" s="111">
        <v>81059</v>
      </c>
      <c r="C120" s="110" t="s">
        <v>651</v>
      </c>
      <c r="D120" s="114">
        <v>1495120.31</v>
      </c>
      <c r="E120" s="114">
        <v>1929847.05</v>
      </c>
      <c r="F120" s="114">
        <v>1740870.48</v>
      </c>
      <c r="G120" s="114">
        <v>1669499.99</v>
      </c>
      <c r="H120" s="114">
        <v>1470846.99</v>
      </c>
      <c r="I120" s="114">
        <v>1300339.6299999999</v>
      </c>
      <c r="J120" s="114">
        <v>1490065.03</v>
      </c>
      <c r="K120" s="114">
        <v>1749985.75</v>
      </c>
      <c r="L120" s="114">
        <v>1904561.36</v>
      </c>
      <c r="M120" s="114">
        <v>1832891.56</v>
      </c>
      <c r="N120" s="114">
        <v>1954074.01</v>
      </c>
      <c r="O120" s="114">
        <f t="shared" si="3"/>
        <v>2149481.41</v>
      </c>
      <c r="P120" s="115">
        <f>SUM(Table2[[#This Row],[JAN]:[DEC]])</f>
        <v>20687583.57</v>
      </c>
    </row>
    <row r="121" spans="1:16" x14ac:dyDescent="0.2">
      <c r="A121" s="111">
        <v>90</v>
      </c>
      <c r="B121" s="111">
        <v>31039</v>
      </c>
      <c r="C121" s="110" t="s">
        <v>601</v>
      </c>
      <c r="D121" s="114">
        <v>1241149.42</v>
      </c>
      <c r="E121" s="114">
        <v>1537403.82</v>
      </c>
      <c r="F121" s="114">
        <v>1596626.75</v>
      </c>
      <c r="G121" s="114">
        <v>1462198.49</v>
      </c>
      <c r="H121" s="114">
        <v>1399796.1</v>
      </c>
      <c r="I121" s="114">
        <v>1546789.94</v>
      </c>
      <c r="J121" s="114">
        <v>1730378.09</v>
      </c>
      <c r="K121" s="114">
        <v>1575234.99</v>
      </c>
      <c r="L121" s="114">
        <v>1881396.41</v>
      </c>
      <c r="M121" s="114">
        <v>2126428.25</v>
      </c>
      <c r="N121" s="114">
        <v>2078391.28</v>
      </c>
      <c r="O121" s="114">
        <f t="shared" si="3"/>
        <v>2286230.41</v>
      </c>
      <c r="P121" s="115">
        <f>SUM(Table2[[#This Row],[JAN]:[DEC]])</f>
        <v>20462023.949999999</v>
      </c>
    </row>
    <row r="122" spans="1:16" x14ac:dyDescent="0.2">
      <c r="A122" s="111">
        <v>563</v>
      </c>
      <c r="B122" s="111">
        <v>171004</v>
      </c>
      <c r="C122" s="110" t="s">
        <v>748</v>
      </c>
      <c r="D122" s="114">
        <v>1044990.99</v>
      </c>
      <c r="E122" s="114">
        <v>1082265.95</v>
      </c>
      <c r="F122" s="114">
        <v>1374116.07</v>
      </c>
      <c r="G122" s="114">
        <v>1962010.72</v>
      </c>
      <c r="H122" s="114">
        <v>2734004.5</v>
      </c>
      <c r="I122" s="114">
        <v>1502688.7</v>
      </c>
      <c r="J122" s="114">
        <v>1849566.51</v>
      </c>
      <c r="K122" s="114">
        <v>1279561.51</v>
      </c>
      <c r="L122" s="114">
        <v>2226160.7799999998</v>
      </c>
      <c r="M122" s="114">
        <v>2332245.56</v>
      </c>
      <c r="N122" s="114">
        <v>1406153.22</v>
      </c>
      <c r="O122" s="114">
        <f t="shared" si="3"/>
        <v>1546768.54</v>
      </c>
      <c r="P122" s="115">
        <f>SUM(Table2[[#This Row],[JAN]:[DEC]])</f>
        <v>20340533.049999997</v>
      </c>
    </row>
    <row r="123" spans="1:16" x14ac:dyDescent="0.2">
      <c r="A123" s="111">
        <v>443</v>
      </c>
      <c r="B123" s="111">
        <v>81268</v>
      </c>
      <c r="C123" s="110" t="s">
        <v>706</v>
      </c>
      <c r="D123" s="114">
        <v>1514338.1</v>
      </c>
      <c r="E123" s="114">
        <v>1521398.74</v>
      </c>
      <c r="F123" s="114">
        <v>1854145.45</v>
      </c>
      <c r="G123" s="114">
        <v>1386711.44</v>
      </c>
      <c r="H123" s="114">
        <v>1524753.79</v>
      </c>
      <c r="I123" s="114">
        <v>1661033.06</v>
      </c>
      <c r="J123" s="114">
        <v>1484289.16</v>
      </c>
      <c r="K123" s="114">
        <v>1826700.46</v>
      </c>
      <c r="L123" s="114">
        <v>2016917.42</v>
      </c>
      <c r="M123" s="114">
        <v>1919422.82</v>
      </c>
      <c r="N123" s="114">
        <v>1712668.73</v>
      </c>
      <c r="O123" s="114">
        <f t="shared" si="3"/>
        <v>1883935.6</v>
      </c>
      <c r="P123" s="115">
        <f>SUM(Table2[[#This Row],[JAN]:[DEC]])</f>
        <v>20306314.77</v>
      </c>
    </row>
    <row r="124" spans="1:16" x14ac:dyDescent="0.2">
      <c r="A124" s="111">
        <v>94</v>
      </c>
      <c r="B124" s="111">
        <v>41002</v>
      </c>
      <c r="C124" s="110" t="s">
        <v>602</v>
      </c>
      <c r="D124" s="114">
        <v>2170456.98</v>
      </c>
      <c r="E124" s="114">
        <v>1941011.51</v>
      </c>
      <c r="F124" s="114">
        <v>2013010.19</v>
      </c>
      <c r="G124" s="114">
        <v>2020789.91</v>
      </c>
      <c r="H124" s="114">
        <v>1457789.64</v>
      </c>
      <c r="I124" s="114">
        <v>1146056.76</v>
      </c>
      <c r="J124" s="114">
        <v>946762.47</v>
      </c>
      <c r="K124" s="114">
        <v>1113099.6299999999</v>
      </c>
      <c r="L124" s="114">
        <v>1233044.04</v>
      </c>
      <c r="M124" s="114">
        <v>1402706.82</v>
      </c>
      <c r="N124" s="114">
        <v>2294334.0299999998</v>
      </c>
      <c r="O124" s="114">
        <f t="shared" si="3"/>
        <v>2523767.4300000002</v>
      </c>
      <c r="P124" s="115">
        <f>SUM(Table2[[#This Row],[JAN]:[DEC]])</f>
        <v>20262829.41</v>
      </c>
    </row>
    <row r="125" spans="1:16" x14ac:dyDescent="0.2">
      <c r="A125" s="111">
        <v>451</v>
      </c>
      <c r="B125" s="111">
        <v>81276</v>
      </c>
      <c r="C125" s="110" t="s">
        <v>709</v>
      </c>
      <c r="D125" s="114">
        <v>1591615.27</v>
      </c>
      <c r="E125" s="114">
        <v>1608999.58</v>
      </c>
      <c r="F125" s="114">
        <v>1588853.62</v>
      </c>
      <c r="G125" s="114">
        <v>1612320.81</v>
      </c>
      <c r="H125" s="114">
        <v>1755565.18</v>
      </c>
      <c r="I125" s="114">
        <v>1600844.99</v>
      </c>
      <c r="J125" s="114">
        <v>1617699.93</v>
      </c>
      <c r="K125" s="114">
        <v>1791878.33</v>
      </c>
      <c r="L125" s="114">
        <v>1707364.92</v>
      </c>
      <c r="M125" s="114">
        <v>1792010.49</v>
      </c>
      <c r="N125" s="114">
        <v>1637669.77</v>
      </c>
      <c r="O125" s="114">
        <f t="shared" si="3"/>
        <v>1801436.75</v>
      </c>
      <c r="P125" s="115">
        <f>SUM(Table2[[#This Row],[JAN]:[DEC]])</f>
        <v>20106259.640000001</v>
      </c>
    </row>
    <row r="126" spans="1:16" x14ac:dyDescent="0.2">
      <c r="A126" s="111">
        <v>318</v>
      </c>
      <c r="B126" s="111">
        <v>81115</v>
      </c>
      <c r="C126" s="110" t="s">
        <v>662</v>
      </c>
      <c r="D126" s="114">
        <v>1544628.08</v>
      </c>
      <c r="E126" s="114">
        <v>1535188.38</v>
      </c>
      <c r="F126" s="114">
        <v>1653397.54</v>
      </c>
      <c r="G126" s="114">
        <v>1769757.96</v>
      </c>
      <c r="H126" s="114">
        <v>1857859.9</v>
      </c>
      <c r="I126" s="114">
        <v>1768805.76</v>
      </c>
      <c r="J126" s="114">
        <v>1596409.54</v>
      </c>
      <c r="K126" s="114">
        <v>1564746.15</v>
      </c>
      <c r="L126" s="114">
        <v>1699370.27</v>
      </c>
      <c r="M126" s="114">
        <v>1725324.21</v>
      </c>
      <c r="N126" s="114">
        <v>1573192</v>
      </c>
      <c r="O126" s="114">
        <f t="shared" si="3"/>
        <v>1730511.2</v>
      </c>
      <c r="P126" s="115">
        <f>SUM(Table2[[#This Row],[JAN]:[DEC]])</f>
        <v>20019190.989999998</v>
      </c>
    </row>
    <row r="127" spans="1:16" x14ac:dyDescent="0.2">
      <c r="A127" s="111">
        <v>517</v>
      </c>
      <c r="B127" s="111">
        <v>111001</v>
      </c>
      <c r="C127" s="110" t="s">
        <v>735</v>
      </c>
      <c r="D127" s="114">
        <v>691979.3</v>
      </c>
      <c r="E127" s="114">
        <v>1153664.75</v>
      </c>
      <c r="F127" s="114">
        <v>1262641.67</v>
      </c>
      <c r="G127" s="114">
        <v>2366355.21</v>
      </c>
      <c r="H127" s="114">
        <v>1877213.35</v>
      </c>
      <c r="I127" s="114">
        <v>2211906.39</v>
      </c>
      <c r="J127" s="114">
        <v>1416553.25</v>
      </c>
      <c r="K127" s="114">
        <v>1600435.94</v>
      </c>
      <c r="L127" s="114">
        <v>2230485.0299999998</v>
      </c>
      <c r="M127" s="114">
        <v>2122080.61</v>
      </c>
      <c r="N127" s="114">
        <v>1438737.54</v>
      </c>
      <c r="O127" s="114">
        <f t="shared" si="3"/>
        <v>1582611.29</v>
      </c>
      <c r="P127" s="115">
        <f>SUM(Table2[[#This Row],[JAN]:[DEC]])</f>
        <v>19954664.329999998</v>
      </c>
    </row>
    <row r="128" spans="1:16" x14ac:dyDescent="0.2">
      <c r="A128" s="111">
        <v>430</v>
      </c>
      <c r="B128" s="111">
        <v>81254</v>
      </c>
      <c r="C128" s="110" t="s">
        <v>698</v>
      </c>
      <c r="D128" s="114">
        <v>1506658.13</v>
      </c>
      <c r="E128" s="114">
        <v>1597341.41</v>
      </c>
      <c r="F128" s="114">
        <v>1511750.15</v>
      </c>
      <c r="G128" s="114">
        <v>1558114.33</v>
      </c>
      <c r="H128" s="114">
        <v>1693803.15</v>
      </c>
      <c r="I128" s="114">
        <v>1675129.32</v>
      </c>
      <c r="J128" s="114">
        <v>1633231.87</v>
      </c>
      <c r="K128" s="114">
        <v>1598162.3</v>
      </c>
      <c r="L128" s="114">
        <v>1719689.3</v>
      </c>
      <c r="M128" s="114">
        <v>1789993.12</v>
      </c>
      <c r="N128" s="114">
        <v>1722932.78</v>
      </c>
      <c r="O128" s="114">
        <f t="shared" si="3"/>
        <v>1895226.06</v>
      </c>
      <c r="P128" s="115">
        <f>SUM(Table2[[#This Row],[JAN]:[DEC]])</f>
        <v>19902031.920000002</v>
      </c>
    </row>
    <row r="129" spans="1:16" x14ac:dyDescent="0.2">
      <c r="A129" s="111">
        <v>280</v>
      </c>
      <c r="B129" s="111">
        <v>81050</v>
      </c>
      <c r="C129" s="110" t="s">
        <v>649</v>
      </c>
      <c r="D129" s="114">
        <v>1149681.81</v>
      </c>
      <c r="E129" s="114">
        <v>1010041.6</v>
      </c>
      <c r="F129" s="114">
        <v>1079845.05</v>
      </c>
      <c r="G129" s="114">
        <v>1265292.29</v>
      </c>
      <c r="H129" s="114">
        <v>1592770.37</v>
      </c>
      <c r="I129" s="114">
        <v>1744786.78</v>
      </c>
      <c r="J129" s="114">
        <v>1703913.03</v>
      </c>
      <c r="K129" s="114">
        <v>2315522.34</v>
      </c>
      <c r="L129" s="114">
        <v>2112454.38</v>
      </c>
      <c r="M129" s="114">
        <v>2104105.27</v>
      </c>
      <c r="N129" s="114">
        <v>1691571.95</v>
      </c>
      <c r="O129" s="114">
        <f t="shared" si="3"/>
        <v>1860729.15</v>
      </c>
      <c r="P129" s="115">
        <f>SUM(Table2[[#This Row],[JAN]:[DEC]])</f>
        <v>19630714.019999996</v>
      </c>
    </row>
    <row r="130" spans="1:16" x14ac:dyDescent="0.2">
      <c r="A130" s="111">
        <v>357</v>
      </c>
      <c r="B130" s="111">
        <v>81167</v>
      </c>
      <c r="C130" s="110" t="s">
        <v>679</v>
      </c>
      <c r="D130" s="114">
        <v>1408961.53</v>
      </c>
      <c r="E130" s="114">
        <v>1480663.45</v>
      </c>
      <c r="F130" s="114">
        <v>1423147.47</v>
      </c>
      <c r="G130" s="114">
        <v>1575061.96</v>
      </c>
      <c r="H130" s="114">
        <v>1737093.89</v>
      </c>
      <c r="I130" s="114">
        <v>1732382.03</v>
      </c>
      <c r="J130" s="114">
        <v>1750601.78</v>
      </c>
      <c r="K130" s="114">
        <v>1667868.91</v>
      </c>
      <c r="L130" s="114">
        <v>1817074.14</v>
      </c>
      <c r="M130" s="114">
        <v>1743630.83</v>
      </c>
      <c r="N130" s="114">
        <v>1558830.07</v>
      </c>
      <c r="O130" s="114">
        <f t="shared" ref="O130:O161" si="4">ROUND(N130*110%,2)</f>
        <v>1714713.08</v>
      </c>
      <c r="P130" s="115">
        <f>SUM(Table2[[#This Row],[JAN]:[DEC]])</f>
        <v>19610029.140000001</v>
      </c>
    </row>
    <row r="131" spans="1:16" x14ac:dyDescent="0.2">
      <c r="A131" s="111">
        <v>162</v>
      </c>
      <c r="B131" s="111">
        <v>51050</v>
      </c>
      <c r="C131" s="110" t="s">
        <v>611</v>
      </c>
      <c r="D131" s="114">
        <v>1612482.12</v>
      </c>
      <c r="E131" s="114">
        <v>1511997.07</v>
      </c>
      <c r="F131" s="114">
        <v>1361075.61</v>
      </c>
      <c r="G131" s="114">
        <v>1219960.3799999999</v>
      </c>
      <c r="H131" s="114">
        <v>1806504.66</v>
      </c>
      <c r="I131" s="114">
        <v>1685594.55</v>
      </c>
      <c r="J131" s="114">
        <v>1781240.96</v>
      </c>
      <c r="K131" s="114">
        <v>1796362.55</v>
      </c>
      <c r="L131" s="114">
        <v>1785145.28</v>
      </c>
      <c r="M131" s="114">
        <v>1182328.99</v>
      </c>
      <c r="N131" s="114">
        <v>1827599.83</v>
      </c>
      <c r="O131" s="114">
        <f t="shared" si="4"/>
        <v>2010359.81</v>
      </c>
      <c r="P131" s="115">
        <f>SUM(Table2[[#This Row],[JAN]:[DEC]])</f>
        <v>19580651.809999999</v>
      </c>
    </row>
    <row r="132" spans="1:16" x14ac:dyDescent="0.2">
      <c r="A132" s="111">
        <v>529</v>
      </c>
      <c r="B132" s="111">
        <v>131021</v>
      </c>
      <c r="C132" s="110" t="s">
        <v>741</v>
      </c>
      <c r="D132" s="114">
        <v>1706368.91</v>
      </c>
      <c r="E132" s="114">
        <v>1677094.18</v>
      </c>
      <c r="F132" s="114">
        <v>1958424.76</v>
      </c>
      <c r="G132" s="114">
        <v>1640515.52</v>
      </c>
      <c r="H132" s="114">
        <v>1389070.02</v>
      </c>
      <c r="I132" s="114">
        <v>1289499.1299999999</v>
      </c>
      <c r="J132" s="114">
        <v>1447568.9</v>
      </c>
      <c r="K132" s="114">
        <v>1292129.98</v>
      </c>
      <c r="L132" s="114">
        <v>1127178.97</v>
      </c>
      <c r="M132" s="114">
        <v>1484809.73</v>
      </c>
      <c r="N132" s="114">
        <v>2161924.77</v>
      </c>
      <c r="O132" s="114">
        <f t="shared" si="4"/>
        <v>2378117.25</v>
      </c>
      <c r="P132" s="115">
        <f>SUM(Table2[[#This Row],[JAN]:[DEC]])</f>
        <v>19552702.120000001</v>
      </c>
    </row>
    <row r="133" spans="1:16" x14ac:dyDescent="0.2">
      <c r="A133" s="111">
        <v>33</v>
      </c>
      <c r="B133" s="111">
        <v>11052</v>
      </c>
      <c r="C133" s="110" t="s">
        <v>575</v>
      </c>
      <c r="D133" s="114">
        <v>1449125.3</v>
      </c>
      <c r="E133" s="114">
        <v>1391187.17</v>
      </c>
      <c r="F133" s="114">
        <v>1482203.3</v>
      </c>
      <c r="G133" s="114">
        <v>1528771.63</v>
      </c>
      <c r="H133" s="114">
        <v>1702025.17</v>
      </c>
      <c r="I133" s="114">
        <v>1486054.55</v>
      </c>
      <c r="J133" s="114">
        <v>1522158.1</v>
      </c>
      <c r="K133" s="114">
        <v>1741284.81</v>
      </c>
      <c r="L133" s="114">
        <v>1682414.09</v>
      </c>
      <c r="M133" s="114">
        <v>1868705.53</v>
      </c>
      <c r="N133" s="114">
        <v>1746989</v>
      </c>
      <c r="O133" s="114">
        <f t="shared" si="4"/>
        <v>1921687.9</v>
      </c>
      <c r="P133" s="115">
        <f>SUM(Table2[[#This Row],[JAN]:[DEC]])</f>
        <v>19522606.549999997</v>
      </c>
    </row>
    <row r="134" spans="1:16" x14ac:dyDescent="0.2">
      <c r="A134" s="111">
        <v>217</v>
      </c>
      <c r="B134" s="111">
        <v>61057</v>
      </c>
      <c r="C134" s="110" t="s">
        <v>634</v>
      </c>
      <c r="D134" s="114">
        <v>1041574.31</v>
      </c>
      <c r="E134" s="114">
        <v>1461450.32</v>
      </c>
      <c r="F134" s="114">
        <v>1898966.45</v>
      </c>
      <c r="G134" s="114">
        <v>1299036.3</v>
      </c>
      <c r="H134" s="114">
        <v>1032230.63</v>
      </c>
      <c r="I134" s="114">
        <v>934074.94</v>
      </c>
      <c r="J134" s="114">
        <v>1048239.01</v>
      </c>
      <c r="K134" s="114">
        <v>1007939.5</v>
      </c>
      <c r="L134" s="114">
        <v>1230162.48</v>
      </c>
      <c r="M134" s="114">
        <v>1528272.51</v>
      </c>
      <c r="N134" s="114">
        <v>3303810.22</v>
      </c>
      <c r="O134" s="114">
        <f t="shared" si="4"/>
        <v>3634191.24</v>
      </c>
      <c r="P134" s="115">
        <f>SUM(Table2[[#This Row],[JAN]:[DEC]])</f>
        <v>19419947.91</v>
      </c>
    </row>
    <row r="135" spans="1:16" x14ac:dyDescent="0.2">
      <c r="A135" s="111">
        <v>536</v>
      </c>
      <c r="B135" s="111">
        <v>141003</v>
      </c>
      <c r="C135" s="110" t="s">
        <v>742</v>
      </c>
      <c r="D135" s="114">
        <v>686774.5</v>
      </c>
      <c r="E135" s="114">
        <v>806532.44</v>
      </c>
      <c r="F135" s="114">
        <v>917018.3</v>
      </c>
      <c r="G135" s="114">
        <v>944364.77</v>
      </c>
      <c r="H135" s="114">
        <v>1386558.72</v>
      </c>
      <c r="I135" s="114">
        <v>2581199.11</v>
      </c>
      <c r="J135" s="114">
        <v>1854806.78</v>
      </c>
      <c r="K135" s="114">
        <v>1873659.83</v>
      </c>
      <c r="L135" s="114">
        <v>2796642.85</v>
      </c>
      <c r="M135" s="114">
        <v>2438941.59</v>
      </c>
      <c r="N135" s="114">
        <v>1447524.91</v>
      </c>
      <c r="O135" s="114">
        <f t="shared" si="4"/>
        <v>1592277.4</v>
      </c>
      <c r="P135" s="115">
        <f>SUM(Table2[[#This Row],[JAN]:[DEC]])</f>
        <v>19326301.199999996</v>
      </c>
    </row>
    <row r="136" spans="1:16" x14ac:dyDescent="0.2">
      <c r="A136" s="111">
        <v>348</v>
      </c>
      <c r="B136" s="111">
        <v>81155</v>
      </c>
      <c r="C136" s="110" t="s">
        <v>674</v>
      </c>
      <c r="D136" s="114">
        <v>1437839.67</v>
      </c>
      <c r="E136" s="114">
        <v>1411495.45</v>
      </c>
      <c r="F136" s="114">
        <v>1390798.03</v>
      </c>
      <c r="G136" s="114">
        <v>1570030.53</v>
      </c>
      <c r="H136" s="114">
        <v>1741535.09</v>
      </c>
      <c r="I136" s="114">
        <v>1656525.78</v>
      </c>
      <c r="J136" s="114">
        <v>1582450.74</v>
      </c>
      <c r="K136" s="114">
        <v>1672554.97</v>
      </c>
      <c r="L136" s="114">
        <v>1771278.46</v>
      </c>
      <c r="M136" s="114">
        <v>1385952.97</v>
      </c>
      <c r="N136" s="114">
        <v>1511536.65</v>
      </c>
      <c r="O136" s="114">
        <f t="shared" si="4"/>
        <v>1662690.32</v>
      </c>
      <c r="P136" s="115">
        <f>SUM(Table2[[#This Row],[JAN]:[DEC]])</f>
        <v>18794688.660000004</v>
      </c>
    </row>
    <row r="137" spans="1:16" x14ac:dyDescent="0.2">
      <c r="A137" s="111">
        <v>549</v>
      </c>
      <c r="B137" s="111">
        <v>151011</v>
      </c>
      <c r="C137" s="110" t="s">
        <v>743</v>
      </c>
      <c r="D137" s="114">
        <v>1641321.84</v>
      </c>
      <c r="E137" s="114">
        <v>1436022.33</v>
      </c>
      <c r="F137" s="114">
        <v>1654070.67</v>
      </c>
      <c r="G137" s="114">
        <v>1520359.12</v>
      </c>
      <c r="H137" s="114">
        <v>1609791.37</v>
      </c>
      <c r="I137" s="114">
        <v>1332313.94</v>
      </c>
      <c r="J137" s="114">
        <v>1304712.67</v>
      </c>
      <c r="K137" s="114">
        <v>1568727.38</v>
      </c>
      <c r="L137" s="114">
        <v>1310170.75</v>
      </c>
      <c r="M137" s="114">
        <v>1443521.71</v>
      </c>
      <c r="N137" s="114">
        <v>1805700.96</v>
      </c>
      <c r="O137" s="114">
        <f t="shared" si="4"/>
        <v>1986271.06</v>
      </c>
      <c r="P137" s="115">
        <f>SUM(Table2[[#This Row],[JAN]:[DEC]])</f>
        <v>18612983.800000001</v>
      </c>
    </row>
    <row r="138" spans="1:16" x14ac:dyDescent="0.2">
      <c r="A138" s="111">
        <v>209</v>
      </c>
      <c r="B138" s="111">
        <v>61047</v>
      </c>
      <c r="C138" s="110" t="s">
        <v>630</v>
      </c>
      <c r="D138" s="114">
        <v>1576196.02</v>
      </c>
      <c r="E138" s="114">
        <v>824287.93</v>
      </c>
      <c r="F138" s="114">
        <v>1644288.16</v>
      </c>
      <c r="G138" s="114">
        <v>128870.1</v>
      </c>
      <c r="H138" s="114">
        <v>1073877.82</v>
      </c>
      <c r="I138" s="114">
        <v>1607528.49</v>
      </c>
      <c r="J138" s="114">
        <v>2135806.9700000002</v>
      </c>
      <c r="K138" s="114">
        <v>2063304.88</v>
      </c>
      <c r="L138" s="114">
        <v>2022728.87</v>
      </c>
      <c r="M138" s="114">
        <v>1968741.3</v>
      </c>
      <c r="N138" s="114">
        <v>1641502.4</v>
      </c>
      <c r="O138" s="114">
        <f t="shared" si="4"/>
        <v>1805652.64</v>
      </c>
      <c r="P138" s="115">
        <f>SUM(Table2[[#This Row],[JAN]:[DEC]])</f>
        <v>18492785.580000002</v>
      </c>
    </row>
    <row r="139" spans="1:16" x14ac:dyDescent="0.2">
      <c r="A139" s="111">
        <v>322</v>
      </c>
      <c r="B139" s="111">
        <v>81122</v>
      </c>
      <c r="C139" s="110" t="s">
        <v>665</v>
      </c>
      <c r="D139" s="114">
        <v>1273082.96</v>
      </c>
      <c r="E139" s="114">
        <v>1212201.29</v>
      </c>
      <c r="F139" s="114">
        <v>1356582.75</v>
      </c>
      <c r="G139" s="114">
        <v>1494096.78</v>
      </c>
      <c r="H139" s="114">
        <v>1657143.62</v>
      </c>
      <c r="I139" s="114">
        <v>1707235.74</v>
      </c>
      <c r="J139" s="114">
        <v>1366159.58</v>
      </c>
      <c r="K139" s="114">
        <v>1757527.42</v>
      </c>
      <c r="L139" s="114">
        <v>1675340.5</v>
      </c>
      <c r="M139" s="114">
        <v>1649807.69</v>
      </c>
      <c r="N139" s="114">
        <v>1420047.22</v>
      </c>
      <c r="O139" s="114">
        <f t="shared" si="4"/>
        <v>1562051.94</v>
      </c>
      <c r="P139" s="115">
        <f>SUM(Table2[[#This Row],[JAN]:[DEC]])</f>
        <v>18131277.490000002</v>
      </c>
    </row>
    <row r="140" spans="1:16" x14ac:dyDescent="0.2">
      <c r="A140" s="111">
        <v>68</v>
      </c>
      <c r="B140" s="111">
        <v>31011</v>
      </c>
      <c r="C140" s="110" t="s">
        <v>589</v>
      </c>
      <c r="D140" s="114">
        <v>1201311.44</v>
      </c>
      <c r="E140" s="114">
        <v>1132150.48</v>
      </c>
      <c r="F140" s="114">
        <v>1081090.02</v>
      </c>
      <c r="G140" s="114">
        <v>1182098.45</v>
      </c>
      <c r="H140" s="114">
        <v>1252153.69</v>
      </c>
      <c r="I140" s="114">
        <v>1414311.29</v>
      </c>
      <c r="J140" s="114">
        <v>1534261.15</v>
      </c>
      <c r="K140" s="114">
        <v>1591755.88</v>
      </c>
      <c r="L140" s="114">
        <v>1786972.12</v>
      </c>
      <c r="M140" s="114">
        <v>2178581.8199999998</v>
      </c>
      <c r="N140" s="114">
        <v>1739139.69</v>
      </c>
      <c r="O140" s="114">
        <f t="shared" si="4"/>
        <v>1913053.66</v>
      </c>
      <c r="P140" s="115">
        <f>SUM(Table2[[#This Row],[JAN]:[DEC]])</f>
        <v>18006879.689999998</v>
      </c>
    </row>
    <row r="141" spans="1:16" x14ac:dyDescent="0.2">
      <c r="A141" s="111">
        <v>528</v>
      </c>
      <c r="B141" s="111">
        <v>131020</v>
      </c>
      <c r="C141" s="110" t="s">
        <v>740</v>
      </c>
      <c r="D141" s="114">
        <v>1482671.72</v>
      </c>
      <c r="E141" s="114">
        <v>1228420.0900000001</v>
      </c>
      <c r="F141" s="114">
        <v>1334208.1499999999</v>
      </c>
      <c r="G141" s="114">
        <v>1377321.17</v>
      </c>
      <c r="H141" s="114">
        <v>1596916.33</v>
      </c>
      <c r="I141" s="114">
        <v>1489989.36</v>
      </c>
      <c r="J141" s="114">
        <v>1539150.15</v>
      </c>
      <c r="K141" s="114">
        <v>1450789.42</v>
      </c>
      <c r="L141" s="114">
        <v>1363216.21</v>
      </c>
      <c r="M141" s="114">
        <v>1594612.24</v>
      </c>
      <c r="N141" s="114">
        <v>1570662.19</v>
      </c>
      <c r="O141" s="114">
        <f t="shared" si="4"/>
        <v>1727728.41</v>
      </c>
      <c r="P141" s="115">
        <f>SUM(Table2[[#This Row],[JAN]:[DEC]])</f>
        <v>17755685.440000001</v>
      </c>
    </row>
    <row r="142" spans="1:16" x14ac:dyDescent="0.2">
      <c r="A142" s="111">
        <v>384</v>
      </c>
      <c r="B142" s="111">
        <v>81201</v>
      </c>
      <c r="C142" s="110" t="s">
        <v>691</v>
      </c>
      <c r="D142" s="114">
        <v>1658657.72</v>
      </c>
      <c r="E142" s="114">
        <v>1502745.74</v>
      </c>
      <c r="F142" s="114">
        <v>1572288.82</v>
      </c>
      <c r="G142" s="114">
        <v>1587730.43</v>
      </c>
      <c r="H142" s="114">
        <v>1602628.01</v>
      </c>
      <c r="I142" s="114">
        <v>1417408.28</v>
      </c>
      <c r="J142" s="114">
        <v>1485443.77</v>
      </c>
      <c r="K142" s="114">
        <v>1495718.06</v>
      </c>
      <c r="L142" s="114">
        <v>1357555.51</v>
      </c>
      <c r="M142" s="114">
        <v>1361068.64</v>
      </c>
      <c r="N142" s="114">
        <v>1233888.3500000001</v>
      </c>
      <c r="O142" s="114">
        <f t="shared" si="4"/>
        <v>1357277.19</v>
      </c>
      <c r="P142" s="115">
        <f>SUM(Table2[[#This Row],[JAN]:[DEC]])</f>
        <v>17632410.52</v>
      </c>
    </row>
    <row r="143" spans="1:16" x14ac:dyDescent="0.2">
      <c r="A143" s="111">
        <v>524</v>
      </c>
      <c r="B143" s="111">
        <v>131016</v>
      </c>
      <c r="C143" s="110" t="s">
        <v>736</v>
      </c>
      <c r="D143" s="114">
        <v>1687093.38</v>
      </c>
      <c r="E143" s="114">
        <v>1494524.35</v>
      </c>
      <c r="F143" s="114">
        <v>1544749.55</v>
      </c>
      <c r="G143" s="114">
        <v>1531466.13</v>
      </c>
      <c r="H143" s="114">
        <v>1464626.59</v>
      </c>
      <c r="I143" s="114">
        <v>1392155.87</v>
      </c>
      <c r="J143" s="114">
        <v>1380539.84</v>
      </c>
      <c r="K143" s="114">
        <v>1288378.3500000001</v>
      </c>
      <c r="L143" s="114">
        <v>1197951.3799999999</v>
      </c>
      <c r="M143" s="114">
        <v>1305876.96</v>
      </c>
      <c r="N143" s="114">
        <v>1586438.2</v>
      </c>
      <c r="O143" s="114">
        <f t="shared" si="4"/>
        <v>1745082.02</v>
      </c>
      <c r="P143" s="115">
        <f>SUM(Table2[[#This Row],[JAN]:[DEC]])</f>
        <v>17618882.620000001</v>
      </c>
    </row>
    <row r="144" spans="1:16" x14ac:dyDescent="0.2">
      <c r="A144" s="111">
        <v>3</v>
      </c>
      <c r="B144" s="111">
        <v>11004</v>
      </c>
      <c r="C144" s="110" t="s">
        <v>564</v>
      </c>
      <c r="D144" s="114">
        <v>1436345.16</v>
      </c>
      <c r="E144" s="114">
        <v>1519252.84</v>
      </c>
      <c r="F144" s="114">
        <v>1335913.6299999999</v>
      </c>
      <c r="G144" s="114">
        <v>1452499.81</v>
      </c>
      <c r="H144" s="114">
        <v>1372719.95</v>
      </c>
      <c r="I144" s="114">
        <v>1292746.3799999999</v>
      </c>
      <c r="J144" s="114">
        <v>1372317.16</v>
      </c>
      <c r="K144" s="114">
        <v>1448593.58</v>
      </c>
      <c r="L144" s="114">
        <v>1531685.7</v>
      </c>
      <c r="M144" s="114">
        <v>1507072.17</v>
      </c>
      <c r="N144" s="114">
        <v>1516950.31</v>
      </c>
      <c r="O144" s="114">
        <f t="shared" si="4"/>
        <v>1668645.34</v>
      </c>
      <c r="P144" s="115">
        <f>SUM(Table2[[#This Row],[JAN]:[DEC]])</f>
        <v>17454742.030000001</v>
      </c>
    </row>
    <row r="145" spans="1:16" x14ac:dyDescent="0.2">
      <c r="A145" s="111">
        <v>469</v>
      </c>
      <c r="B145" s="111">
        <v>81303</v>
      </c>
      <c r="C145" s="110" t="s">
        <v>713</v>
      </c>
      <c r="D145" s="114">
        <v>1442801.26</v>
      </c>
      <c r="E145" s="114">
        <v>1459750.27</v>
      </c>
      <c r="F145" s="114">
        <v>1443834.01</v>
      </c>
      <c r="G145" s="114">
        <v>1461588.52</v>
      </c>
      <c r="H145" s="114">
        <v>1477888.39</v>
      </c>
      <c r="I145" s="114">
        <v>1447730.22</v>
      </c>
      <c r="J145" s="114">
        <v>1416613.17</v>
      </c>
      <c r="K145" s="114">
        <v>1391993.78</v>
      </c>
      <c r="L145" s="114">
        <v>1422585.07</v>
      </c>
      <c r="M145" s="114">
        <v>1468999.47</v>
      </c>
      <c r="N145" s="114">
        <v>1428443.88</v>
      </c>
      <c r="O145" s="114">
        <f t="shared" si="4"/>
        <v>1571288.27</v>
      </c>
      <c r="P145" s="115">
        <f>SUM(Table2[[#This Row],[JAN]:[DEC]])</f>
        <v>17433516.309999999</v>
      </c>
    </row>
    <row r="146" spans="1:16" x14ac:dyDescent="0.2">
      <c r="A146" s="111">
        <v>208</v>
      </c>
      <c r="B146" s="111">
        <v>61046</v>
      </c>
      <c r="C146" s="110" t="s">
        <v>629</v>
      </c>
      <c r="D146" s="114">
        <v>161846.88</v>
      </c>
      <c r="E146" s="114">
        <v>1362512.22</v>
      </c>
      <c r="F146" s="114">
        <v>863934.42</v>
      </c>
      <c r="G146" s="114">
        <v>1279880.29</v>
      </c>
      <c r="H146" s="114">
        <v>863040.5</v>
      </c>
      <c r="I146" s="114">
        <v>1715176.1</v>
      </c>
      <c r="J146" s="114">
        <v>1877423.31</v>
      </c>
      <c r="K146" s="114">
        <v>2264492.69</v>
      </c>
      <c r="L146" s="114">
        <v>1297057.6000000001</v>
      </c>
      <c r="M146" s="114">
        <v>2016573.58</v>
      </c>
      <c r="N146" s="114">
        <v>1681142.1</v>
      </c>
      <c r="O146" s="114">
        <f t="shared" si="4"/>
        <v>1849256.31</v>
      </c>
      <c r="P146" s="115">
        <f>SUM(Table2[[#This Row],[JAN]:[DEC]])</f>
        <v>17232336</v>
      </c>
    </row>
    <row r="147" spans="1:16" x14ac:dyDescent="0.2">
      <c r="A147" s="111">
        <v>569</v>
      </c>
      <c r="B147" s="111">
        <v>171010</v>
      </c>
      <c r="C147" s="110" t="s">
        <v>750</v>
      </c>
      <c r="D147" s="114">
        <v>1551423.43</v>
      </c>
      <c r="E147" s="114">
        <v>1008225.64</v>
      </c>
      <c r="F147" s="114">
        <v>1129273.6200000001</v>
      </c>
      <c r="G147" s="114">
        <v>1693786.56</v>
      </c>
      <c r="H147" s="114">
        <v>1797558.03</v>
      </c>
      <c r="I147" s="114">
        <v>1229439.04</v>
      </c>
      <c r="J147" s="114">
        <v>1558592.66</v>
      </c>
      <c r="K147" s="114">
        <v>1008800.35</v>
      </c>
      <c r="L147" s="114">
        <v>1409099.24</v>
      </c>
      <c r="M147" s="114">
        <v>1787624</v>
      </c>
      <c r="N147" s="114">
        <v>1440565.78</v>
      </c>
      <c r="O147" s="114">
        <f t="shared" si="4"/>
        <v>1584622.36</v>
      </c>
      <c r="P147" s="115">
        <f>SUM(Table2[[#This Row],[JAN]:[DEC]])</f>
        <v>17199010.710000001</v>
      </c>
    </row>
    <row r="148" spans="1:16" x14ac:dyDescent="0.2">
      <c r="A148" s="111">
        <v>526</v>
      </c>
      <c r="B148" s="111">
        <v>131018</v>
      </c>
      <c r="C148" s="110" t="s">
        <v>738</v>
      </c>
      <c r="D148" s="114">
        <v>1450715.2</v>
      </c>
      <c r="E148" s="114">
        <v>1309896.3899999999</v>
      </c>
      <c r="F148" s="114">
        <v>1422977.08</v>
      </c>
      <c r="G148" s="114">
        <v>1464117.44</v>
      </c>
      <c r="H148" s="114">
        <v>1417875.79</v>
      </c>
      <c r="I148" s="114">
        <v>1252596.26</v>
      </c>
      <c r="J148" s="114">
        <v>1394350.35</v>
      </c>
      <c r="K148" s="114">
        <v>1342960.57</v>
      </c>
      <c r="L148" s="114">
        <v>1211533.94</v>
      </c>
      <c r="M148" s="114">
        <v>1379005.55</v>
      </c>
      <c r="N148" s="114">
        <v>1598516.36</v>
      </c>
      <c r="O148" s="114">
        <f t="shared" si="4"/>
        <v>1758368</v>
      </c>
      <c r="P148" s="115">
        <f>SUM(Table2[[#This Row],[JAN]:[DEC]])</f>
        <v>17002912.93</v>
      </c>
    </row>
    <row r="149" spans="1:16" x14ac:dyDescent="0.2">
      <c r="A149" s="111">
        <v>125</v>
      </c>
      <c r="B149" s="111">
        <v>51008</v>
      </c>
      <c r="C149" s="110" t="s">
        <v>605</v>
      </c>
      <c r="D149" s="114">
        <v>822131.26</v>
      </c>
      <c r="E149" s="114">
        <v>821187.97</v>
      </c>
      <c r="F149" s="114">
        <v>1772793.42</v>
      </c>
      <c r="G149" s="114">
        <v>1059474.6599999999</v>
      </c>
      <c r="H149" s="114">
        <v>1453685.82</v>
      </c>
      <c r="I149" s="114">
        <v>1870256.4</v>
      </c>
      <c r="J149" s="114">
        <v>1713316.94</v>
      </c>
      <c r="K149" s="114">
        <v>2055561.7</v>
      </c>
      <c r="L149" s="114">
        <v>1220318.33</v>
      </c>
      <c r="M149" s="114">
        <v>1554429.14</v>
      </c>
      <c r="N149" s="114">
        <v>1213909.97</v>
      </c>
      <c r="O149" s="114">
        <f t="shared" si="4"/>
        <v>1335300.97</v>
      </c>
      <c r="P149" s="115">
        <f>SUM(Table2[[#This Row],[JAN]:[DEC]])</f>
        <v>16892366.579999998</v>
      </c>
    </row>
    <row r="150" spans="1:16" x14ac:dyDescent="0.2">
      <c r="A150" s="111">
        <v>351</v>
      </c>
      <c r="B150" s="111">
        <v>81158</v>
      </c>
      <c r="C150" s="110" t="s">
        <v>676</v>
      </c>
      <c r="D150" s="114">
        <v>810435.03</v>
      </c>
      <c r="E150" s="114">
        <v>395366.11</v>
      </c>
      <c r="F150" s="114">
        <v>1712917.52</v>
      </c>
      <c r="G150" s="114">
        <v>1711862.71</v>
      </c>
      <c r="H150" s="114">
        <v>1521233.63</v>
      </c>
      <c r="I150" s="114">
        <v>1447718.73</v>
      </c>
      <c r="J150" s="114">
        <v>2486286.61</v>
      </c>
      <c r="K150" s="114">
        <v>1035244.15</v>
      </c>
      <c r="L150" s="114">
        <v>1387861.21</v>
      </c>
      <c r="M150" s="114">
        <v>1411084.23</v>
      </c>
      <c r="N150" s="114">
        <v>1379703.2</v>
      </c>
      <c r="O150" s="114">
        <f t="shared" si="4"/>
        <v>1517673.52</v>
      </c>
      <c r="P150" s="115">
        <f>SUM(Table2[[#This Row],[JAN]:[DEC]])</f>
        <v>16817386.649999999</v>
      </c>
    </row>
    <row r="151" spans="1:16" x14ac:dyDescent="0.2">
      <c r="A151" s="111">
        <v>181</v>
      </c>
      <c r="B151" s="111">
        <v>61008</v>
      </c>
      <c r="C151" s="110" t="s">
        <v>615</v>
      </c>
      <c r="D151" s="114">
        <v>1425184</v>
      </c>
      <c r="E151" s="114">
        <v>1373608.91</v>
      </c>
      <c r="F151" s="114">
        <v>1465143.51</v>
      </c>
      <c r="G151" s="114">
        <v>1316620.81</v>
      </c>
      <c r="H151" s="114">
        <v>1239760.29</v>
      </c>
      <c r="I151" s="114">
        <v>1075766.58</v>
      </c>
      <c r="J151" s="114">
        <v>1327437.07</v>
      </c>
      <c r="K151" s="114">
        <v>1442824.06</v>
      </c>
      <c r="L151" s="114">
        <v>1411555.88</v>
      </c>
      <c r="M151" s="114">
        <v>1346822.67</v>
      </c>
      <c r="N151" s="114">
        <v>1545009.68</v>
      </c>
      <c r="O151" s="114">
        <f t="shared" si="4"/>
        <v>1699510.65</v>
      </c>
      <c r="P151" s="115">
        <f>SUM(Table2[[#This Row],[JAN]:[DEC]])</f>
        <v>16669244.109999999</v>
      </c>
    </row>
    <row r="152" spans="1:16" x14ac:dyDescent="0.2">
      <c r="A152" s="111">
        <v>190</v>
      </c>
      <c r="B152" s="111">
        <v>61022</v>
      </c>
      <c r="C152" s="110" t="s">
        <v>622</v>
      </c>
      <c r="D152" s="114">
        <v>965877.32</v>
      </c>
      <c r="E152" s="114">
        <v>978714.2</v>
      </c>
      <c r="F152" s="114">
        <v>1903724.29</v>
      </c>
      <c r="G152" s="114">
        <v>875628.38</v>
      </c>
      <c r="H152" s="114">
        <v>1242129.02</v>
      </c>
      <c r="I152" s="114">
        <v>1282495.74</v>
      </c>
      <c r="J152" s="114">
        <v>1349824.06</v>
      </c>
      <c r="K152" s="114">
        <v>2456893.9500000002</v>
      </c>
      <c r="L152" s="114">
        <v>1246862.94</v>
      </c>
      <c r="M152" s="114">
        <v>1470152.62</v>
      </c>
      <c r="N152" s="114">
        <v>1356814.81</v>
      </c>
      <c r="O152" s="114">
        <f t="shared" si="4"/>
        <v>1492496.29</v>
      </c>
      <c r="P152" s="115">
        <f>SUM(Table2[[#This Row],[JAN]:[DEC]])</f>
        <v>16621613.620000001</v>
      </c>
    </row>
    <row r="153" spans="1:16" x14ac:dyDescent="0.2">
      <c r="A153" s="111">
        <v>179</v>
      </c>
      <c r="B153" s="111">
        <v>61005</v>
      </c>
      <c r="C153" s="110" t="s">
        <v>614</v>
      </c>
      <c r="D153" s="114">
        <v>968144.65</v>
      </c>
      <c r="E153" s="114">
        <v>1039411.81</v>
      </c>
      <c r="F153" s="114">
        <v>981959.23</v>
      </c>
      <c r="G153" s="114">
        <v>918543.9</v>
      </c>
      <c r="H153" s="114">
        <v>1259013.75</v>
      </c>
      <c r="I153" s="114">
        <v>1067890.94</v>
      </c>
      <c r="J153" s="114">
        <v>1392903.53</v>
      </c>
      <c r="K153" s="114">
        <v>1269403.2</v>
      </c>
      <c r="L153" s="114">
        <v>1601583.04</v>
      </c>
      <c r="M153" s="114">
        <v>1856194.17</v>
      </c>
      <c r="N153" s="114">
        <v>1989544.43</v>
      </c>
      <c r="O153" s="114">
        <f t="shared" si="4"/>
        <v>2188498.87</v>
      </c>
      <c r="P153" s="115">
        <f>SUM(Table2[[#This Row],[JAN]:[DEC]])</f>
        <v>16533091.52</v>
      </c>
    </row>
    <row r="154" spans="1:16" x14ac:dyDescent="0.2">
      <c r="A154" s="111">
        <v>276</v>
      </c>
      <c r="B154" s="111">
        <v>81044</v>
      </c>
      <c r="C154" s="110" t="s">
        <v>645</v>
      </c>
      <c r="D154" s="114">
        <v>1260473.98</v>
      </c>
      <c r="E154" s="114">
        <v>1102513.78</v>
      </c>
      <c r="F154" s="114">
        <v>1253144.74</v>
      </c>
      <c r="G154" s="114">
        <v>1360082.71</v>
      </c>
      <c r="H154" s="114">
        <v>1378359.55</v>
      </c>
      <c r="I154" s="114">
        <v>1315261.6000000001</v>
      </c>
      <c r="J154" s="114">
        <v>1257520.3700000001</v>
      </c>
      <c r="K154" s="114">
        <v>1303697.28</v>
      </c>
      <c r="L154" s="114">
        <v>1367040.21</v>
      </c>
      <c r="M154" s="114">
        <v>1371781.99</v>
      </c>
      <c r="N154" s="114">
        <v>1691951.93</v>
      </c>
      <c r="O154" s="114">
        <f t="shared" si="4"/>
        <v>1861147.12</v>
      </c>
      <c r="P154" s="115">
        <f>SUM(Table2[[#This Row],[JAN]:[DEC]])</f>
        <v>16522975.259999998</v>
      </c>
    </row>
    <row r="155" spans="1:16" x14ac:dyDescent="0.2">
      <c r="A155" s="111">
        <v>570</v>
      </c>
      <c r="B155" s="111">
        <v>171011</v>
      </c>
      <c r="C155" s="110" t="s">
        <v>751</v>
      </c>
      <c r="D155" s="114">
        <v>329597.19</v>
      </c>
      <c r="E155" s="114">
        <v>309412.34000000003</v>
      </c>
      <c r="F155" s="114">
        <v>382144.37</v>
      </c>
      <c r="G155" s="114">
        <v>458346.72</v>
      </c>
      <c r="H155" s="114">
        <v>528754.74</v>
      </c>
      <c r="I155" s="114">
        <v>11389951.119999999</v>
      </c>
      <c r="J155" s="114">
        <v>344292.53</v>
      </c>
      <c r="K155" s="114">
        <v>605317.67000000004</v>
      </c>
      <c r="L155" s="114">
        <v>538727</v>
      </c>
      <c r="M155" s="114">
        <v>559767.88</v>
      </c>
      <c r="N155" s="114">
        <v>435356.48</v>
      </c>
      <c r="O155" s="114">
        <f t="shared" si="4"/>
        <v>478892.13</v>
      </c>
      <c r="P155" s="115">
        <f>SUM(Table2[[#This Row],[JAN]:[DEC]])</f>
        <v>16360560.17</v>
      </c>
    </row>
    <row r="156" spans="1:16" x14ac:dyDescent="0.2">
      <c r="A156" s="111">
        <v>337</v>
      </c>
      <c r="B156" s="111">
        <v>81140</v>
      </c>
      <c r="C156" s="110" t="s">
        <v>671</v>
      </c>
      <c r="D156" s="114">
        <v>3250290.68</v>
      </c>
      <c r="E156" s="114">
        <v>2094707.72</v>
      </c>
      <c r="F156" s="114">
        <v>3817023.86</v>
      </c>
      <c r="G156" s="114">
        <v>1929901.41</v>
      </c>
      <c r="H156" s="114">
        <v>1947179.05</v>
      </c>
      <c r="I156" s="114">
        <v>2018985.84</v>
      </c>
      <c r="J156" s="114">
        <v>675306.34</v>
      </c>
      <c r="K156" s="114">
        <v>204099.76</v>
      </c>
      <c r="L156" s="114">
        <v>3449.76</v>
      </c>
      <c r="M156" s="114">
        <v>141.57</v>
      </c>
      <c r="N156" s="114">
        <v>1387.1</v>
      </c>
      <c r="O156" s="114">
        <f t="shared" si="4"/>
        <v>1525.81</v>
      </c>
      <c r="P156" s="115">
        <f>SUM(Table2[[#This Row],[JAN]:[DEC]])</f>
        <v>15943998.9</v>
      </c>
    </row>
    <row r="157" spans="1:16" x14ac:dyDescent="0.2">
      <c r="A157" s="111">
        <v>594</v>
      </c>
      <c r="B157" s="111">
        <v>261026</v>
      </c>
      <c r="C157" s="110" t="s">
        <v>757</v>
      </c>
      <c r="D157" s="114">
        <v>653670.36</v>
      </c>
      <c r="E157" s="114">
        <v>1860718.5</v>
      </c>
      <c r="F157" s="114">
        <v>725193.65</v>
      </c>
      <c r="G157" s="114">
        <v>891196.27</v>
      </c>
      <c r="H157" s="114">
        <v>1006190.06</v>
      </c>
      <c r="I157" s="114">
        <v>2542018.9</v>
      </c>
      <c r="J157" s="114">
        <v>1029391.26</v>
      </c>
      <c r="K157" s="114">
        <v>1127404.93</v>
      </c>
      <c r="L157" s="114">
        <v>3140032.95</v>
      </c>
      <c r="M157" s="114">
        <v>959285.94</v>
      </c>
      <c r="N157" s="114">
        <v>952465.22</v>
      </c>
      <c r="O157" s="114">
        <f t="shared" si="4"/>
        <v>1047711.74</v>
      </c>
      <c r="P157" s="115">
        <f>SUM(Table2[[#This Row],[JAN]:[DEC]])</f>
        <v>15935279.779999999</v>
      </c>
    </row>
    <row r="158" spans="1:16" x14ac:dyDescent="0.2">
      <c r="A158" s="111">
        <v>501</v>
      </c>
      <c r="B158" s="111">
        <v>81342</v>
      </c>
      <c r="C158" s="110" t="s">
        <v>727</v>
      </c>
      <c r="D158" s="114">
        <v>1174509.3799999999</v>
      </c>
      <c r="E158" s="114">
        <v>1160059.29</v>
      </c>
      <c r="F158" s="114">
        <v>1233794.3500000001</v>
      </c>
      <c r="G158" s="114">
        <v>1220140.08</v>
      </c>
      <c r="H158" s="114">
        <v>1300622.17</v>
      </c>
      <c r="I158" s="114">
        <v>1270527.44</v>
      </c>
      <c r="J158" s="114">
        <v>1228613.6499999999</v>
      </c>
      <c r="K158" s="114">
        <v>1337901.1299999999</v>
      </c>
      <c r="L158" s="114">
        <v>1346717.52</v>
      </c>
      <c r="M158" s="114">
        <v>1494727.73</v>
      </c>
      <c r="N158" s="114">
        <v>1503222.82</v>
      </c>
      <c r="O158" s="114">
        <f t="shared" si="4"/>
        <v>1653545.1</v>
      </c>
      <c r="P158" s="115">
        <f>SUM(Table2[[#This Row],[JAN]:[DEC]])</f>
        <v>15924380.659999998</v>
      </c>
    </row>
    <row r="159" spans="1:16" x14ac:dyDescent="0.2">
      <c r="A159" s="111">
        <v>250</v>
      </c>
      <c r="B159" s="111">
        <v>81010</v>
      </c>
      <c r="C159" s="110" t="s">
        <v>638</v>
      </c>
      <c r="D159" s="114">
        <v>1234624.8</v>
      </c>
      <c r="E159" s="114">
        <v>1177193.08</v>
      </c>
      <c r="F159" s="114">
        <v>1262749.22</v>
      </c>
      <c r="G159" s="114">
        <v>1259270.68</v>
      </c>
      <c r="H159" s="114">
        <v>1325056.3600000001</v>
      </c>
      <c r="I159" s="114">
        <v>2018431.52</v>
      </c>
      <c r="J159" s="114">
        <v>1065955.8799999999</v>
      </c>
      <c r="K159" s="114">
        <v>1157094.68</v>
      </c>
      <c r="L159" s="114">
        <v>1165650.3600000001</v>
      </c>
      <c r="M159" s="114">
        <v>1197039.6399999999</v>
      </c>
      <c r="N159" s="114">
        <v>1134524.07</v>
      </c>
      <c r="O159" s="114">
        <f t="shared" si="4"/>
        <v>1247976.48</v>
      </c>
      <c r="P159" s="115">
        <f>SUM(Table2[[#This Row],[JAN]:[DEC]])</f>
        <v>15245566.77</v>
      </c>
    </row>
    <row r="160" spans="1:16" x14ac:dyDescent="0.2">
      <c r="A160" s="111">
        <v>49</v>
      </c>
      <c r="B160" s="111">
        <v>21003</v>
      </c>
      <c r="C160" s="110" t="s">
        <v>585</v>
      </c>
      <c r="D160" s="114">
        <v>1215062.3999999999</v>
      </c>
      <c r="E160" s="114">
        <v>1121025.57</v>
      </c>
      <c r="F160" s="114">
        <v>1120468.92</v>
      </c>
      <c r="G160" s="114">
        <v>1125816.3700000001</v>
      </c>
      <c r="H160" s="114">
        <v>1133359.0900000001</v>
      </c>
      <c r="I160" s="114">
        <v>1126289.6000000001</v>
      </c>
      <c r="J160" s="114">
        <v>1207199.5900000001</v>
      </c>
      <c r="K160" s="114">
        <v>1304953.52</v>
      </c>
      <c r="L160" s="114">
        <v>1329574.32</v>
      </c>
      <c r="M160" s="114">
        <v>1463508.79</v>
      </c>
      <c r="N160" s="114">
        <v>1348008.66</v>
      </c>
      <c r="O160" s="114">
        <f t="shared" si="4"/>
        <v>1482809.53</v>
      </c>
      <c r="P160" s="115">
        <f>SUM(Table2[[#This Row],[JAN]:[DEC]])</f>
        <v>14978076.359999998</v>
      </c>
    </row>
    <row r="161" spans="1:16" x14ac:dyDescent="0.2">
      <c r="A161" s="111">
        <v>559</v>
      </c>
      <c r="B161" s="111">
        <v>161005</v>
      </c>
      <c r="C161" s="110" t="s">
        <v>745</v>
      </c>
      <c r="D161" s="114">
        <v>1135502.27</v>
      </c>
      <c r="E161" s="114">
        <v>1039865.3</v>
      </c>
      <c r="F161" s="114">
        <v>987796.01</v>
      </c>
      <c r="G161" s="114">
        <v>1025943.89</v>
      </c>
      <c r="H161" s="114">
        <v>1104014.52</v>
      </c>
      <c r="I161" s="114">
        <v>1218157.9099999999</v>
      </c>
      <c r="J161" s="114">
        <v>1254382.56</v>
      </c>
      <c r="K161" s="114">
        <v>1021446.75</v>
      </c>
      <c r="L161" s="114">
        <v>1471350.76</v>
      </c>
      <c r="M161" s="114">
        <v>1651929.24</v>
      </c>
      <c r="N161" s="114">
        <v>1451722.99</v>
      </c>
      <c r="O161" s="114">
        <f t="shared" si="4"/>
        <v>1596895.29</v>
      </c>
      <c r="P161" s="115">
        <f>SUM(Table2[[#This Row],[JAN]:[DEC]])</f>
        <v>14959007.490000002</v>
      </c>
    </row>
    <row r="162" spans="1:16" x14ac:dyDescent="0.2">
      <c r="A162" s="111">
        <v>278</v>
      </c>
      <c r="B162" s="111">
        <v>81046</v>
      </c>
      <c r="C162" s="110" t="s">
        <v>647</v>
      </c>
      <c r="D162" s="114">
        <v>1322079.01</v>
      </c>
      <c r="E162" s="114">
        <v>1259322.58</v>
      </c>
      <c r="F162" s="114">
        <v>1312541.97</v>
      </c>
      <c r="G162" s="114">
        <v>1204328.18</v>
      </c>
      <c r="H162" s="114">
        <v>1025543.27</v>
      </c>
      <c r="I162" s="114">
        <v>1056215.1200000001</v>
      </c>
      <c r="J162" s="114">
        <v>1232260.1299999999</v>
      </c>
      <c r="K162" s="114">
        <v>1158864.28</v>
      </c>
      <c r="L162" s="114">
        <v>1128212.6000000001</v>
      </c>
      <c r="M162" s="114">
        <v>1243145.92</v>
      </c>
      <c r="N162" s="114">
        <v>1378276.7</v>
      </c>
      <c r="O162" s="114">
        <f t="shared" ref="O162:O193" si="5">ROUND(N162*110%,2)</f>
        <v>1516104.37</v>
      </c>
      <c r="P162" s="115">
        <f>SUM(Table2[[#This Row],[JAN]:[DEC]])</f>
        <v>14836894.129999999</v>
      </c>
    </row>
    <row r="163" spans="1:16" x14ac:dyDescent="0.2">
      <c r="A163" s="111">
        <v>545</v>
      </c>
      <c r="B163" s="111">
        <v>141012</v>
      </c>
      <c r="C163" s="110" t="s">
        <v>663</v>
      </c>
      <c r="D163" s="114">
        <v>425412.44</v>
      </c>
      <c r="E163" s="114">
        <v>439676.51</v>
      </c>
      <c r="F163" s="114">
        <v>524240.88</v>
      </c>
      <c r="G163" s="114">
        <v>512285.81</v>
      </c>
      <c r="H163" s="114">
        <v>865217.11</v>
      </c>
      <c r="I163" s="114">
        <v>1987277.59</v>
      </c>
      <c r="J163" s="114">
        <v>2513814.16</v>
      </c>
      <c r="K163" s="114">
        <v>2211924.31</v>
      </c>
      <c r="L163" s="114">
        <v>1626267.43</v>
      </c>
      <c r="M163" s="114">
        <v>1480794.73</v>
      </c>
      <c r="N163" s="114">
        <v>1060884.3</v>
      </c>
      <c r="O163" s="114">
        <f t="shared" si="5"/>
        <v>1166972.73</v>
      </c>
      <c r="P163" s="115">
        <f>SUM(Table2[[#This Row],[JAN]:[DEC]])</f>
        <v>14814768.000000002</v>
      </c>
    </row>
    <row r="164" spans="1:16" x14ac:dyDescent="0.2">
      <c r="A164" s="111">
        <v>176</v>
      </c>
      <c r="B164" s="111">
        <v>61002</v>
      </c>
      <c r="C164" s="110" t="s">
        <v>613</v>
      </c>
      <c r="D164" s="114">
        <v>1285595.8999999999</v>
      </c>
      <c r="E164" s="114">
        <v>1204963.22</v>
      </c>
      <c r="F164" s="114">
        <v>900529.53</v>
      </c>
      <c r="G164" s="114">
        <v>1256310.42</v>
      </c>
      <c r="H164" s="114">
        <v>1599703.91</v>
      </c>
      <c r="I164" s="114">
        <v>1364651.67</v>
      </c>
      <c r="J164" s="114">
        <v>1373490.44</v>
      </c>
      <c r="K164" s="114">
        <v>1214762.1599999999</v>
      </c>
      <c r="L164" s="114">
        <v>1253432.8999999999</v>
      </c>
      <c r="M164" s="114">
        <v>1071339</v>
      </c>
      <c r="N164" s="114">
        <v>1072856.98</v>
      </c>
      <c r="O164" s="114">
        <f t="shared" si="5"/>
        <v>1180142.68</v>
      </c>
      <c r="P164" s="115">
        <f>SUM(Table2[[#This Row],[JAN]:[DEC]])</f>
        <v>14777778.810000001</v>
      </c>
    </row>
    <row r="165" spans="1:16" x14ac:dyDescent="0.2">
      <c r="A165" s="111">
        <v>475</v>
      </c>
      <c r="B165" s="111">
        <v>81313</v>
      </c>
      <c r="C165" s="110" t="s">
        <v>714</v>
      </c>
      <c r="D165" s="114">
        <v>1050052.8700000001</v>
      </c>
      <c r="E165" s="114">
        <v>1332639.72</v>
      </c>
      <c r="F165" s="114">
        <v>1211577.3899999999</v>
      </c>
      <c r="G165" s="114">
        <v>1306409.8700000001</v>
      </c>
      <c r="H165" s="114">
        <v>1400598.66</v>
      </c>
      <c r="I165" s="114">
        <v>1146562.9099999999</v>
      </c>
      <c r="J165" s="114">
        <v>1113647.03</v>
      </c>
      <c r="K165" s="114">
        <v>1291088.29</v>
      </c>
      <c r="L165" s="114">
        <v>1167793.27</v>
      </c>
      <c r="M165" s="114">
        <v>1216869.4099999999</v>
      </c>
      <c r="N165" s="114">
        <v>1205141.95</v>
      </c>
      <c r="O165" s="114">
        <f t="shared" si="5"/>
        <v>1325656.1499999999</v>
      </c>
      <c r="P165" s="115">
        <f>SUM(Table2[[#This Row],[JAN]:[DEC]])</f>
        <v>14768037.519999998</v>
      </c>
    </row>
    <row r="166" spans="1:16" x14ac:dyDescent="0.2">
      <c r="A166" s="111">
        <v>431</v>
      </c>
      <c r="B166" s="111">
        <v>81255</v>
      </c>
      <c r="C166" s="110" t="s">
        <v>699</v>
      </c>
      <c r="D166" s="114">
        <v>1193423.78</v>
      </c>
      <c r="E166" s="114">
        <v>1233758.1000000001</v>
      </c>
      <c r="F166" s="114">
        <v>1205572.96</v>
      </c>
      <c r="G166" s="114">
        <v>1204571.73</v>
      </c>
      <c r="H166" s="114">
        <v>1208876.92</v>
      </c>
      <c r="I166" s="114">
        <v>1205035.76</v>
      </c>
      <c r="J166" s="114">
        <v>1197364.28</v>
      </c>
      <c r="K166" s="114">
        <v>1167794.6100000001</v>
      </c>
      <c r="L166" s="114">
        <v>1200735.46</v>
      </c>
      <c r="M166" s="114">
        <v>1263613.52</v>
      </c>
      <c r="N166" s="114">
        <v>1208639.02</v>
      </c>
      <c r="O166" s="114">
        <f t="shared" si="5"/>
        <v>1329502.92</v>
      </c>
      <c r="P166" s="115">
        <f>SUM(Table2[[#This Row],[JAN]:[DEC]])</f>
        <v>14618889.059999997</v>
      </c>
    </row>
    <row r="167" spans="1:16" x14ac:dyDescent="0.2">
      <c r="A167" s="111">
        <v>438</v>
      </c>
      <c r="B167" s="111">
        <v>81263</v>
      </c>
      <c r="C167" s="110" t="s">
        <v>703</v>
      </c>
      <c r="D167" s="114">
        <v>954715.87</v>
      </c>
      <c r="E167" s="114">
        <v>985811.29</v>
      </c>
      <c r="F167" s="114">
        <v>1031997.78</v>
      </c>
      <c r="G167" s="114">
        <v>1084815.3400000001</v>
      </c>
      <c r="H167" s="114">
        <v>1136559.05</v>
      </c>
      <c r="I167" s="114">
        <v>1088915.32</v>
      </c>
      <c r="J167" s="114">
        <v>1259953.05</v>
      </c>
      <c r="K167" s="114">
        <v>1424565.38</v>
      </c>
      <c r="L167" s="114">
        <v>1430483.02</v>
      </c>
      <c r="M167" s="114">
        <v>1426417.95</v>
      </c>
      <c r="N167" s="114">
        <v>1247411.25</v>
      </c>
      <c r="O167" s="114">
        <f t="shared" si="5"/>
        <v>1372152.38</v>
      </c>
      <c r="P167" s="115">
        <f>SUM(Table2[[#This Row],[JAN]:[DEC]])</f>
        <v>14443797.68</v>
      </c>
    </row>
    <row r="168" spans="1:16" x14ac:dyDescent="0.2">
      <c r="A168" s="111">
        <v>336</v>
      </c>
      <c r="B168" s="111">
        <v>81139</v>
      </c>
      <c r="C168" s="110" t="s">
        <v>670</v>
      </c>
      <c r="D168" s="114">
        <v>1019977.62</v>
      </c>
      <c r="E168" s="114">
        <v>882192.42</v>
      </c>
      <c r="F168" s="114">
        <v>835529.24</v>
      </c>
      <c r="G168" s="114">
        <v>927220.98</v>
      </c>
      <c r="H168" s="114">
        <v>978279.78</v>
      </c>
      <c r="I168" s="114">
        <v>1030362.14</v>
      </c>
      <c r="J168" s="114">
        <v>1133806.46</v>
      </c>
      <c r="K168" s="114">
        <v>1349009.6</v>
      </c>
      <c r="L168" s="114">
        <v>1493241.34</v>
      </c>
      <c r="M168" s="114">
        <v>1580666.26</v>
      </c>
      <c r="N168" s="114">
        <v>1469551.19</v>
      </c>
      <c r="O168" s="114">
        <f t="shared" si="5"/>
        <v>1616506.31</v>
      </c>
      <c r="P168" s="115">
        <f>SUM(Table2[[#This Row],[JAN]:[DEC]])</f>
        <v>14316343.34</v>
      </c>
    </row>
    <row r="169" spans="1:16" x14ac:dyDescent="0.2">
      <c r="A169" s="111">
        <v>277</v>
      </c>
      <c r="B169" s="111">
        <v>81045</v>
      </c>
      <c r="C169" s="110" t="s">
        <v>646</v>
      </c>
      <c r="D169" s="114">
        <v>794641.74</v>
      </c>
      <c r="E169" s="114">
        <v>857515.83</v>
      </c>
      <c r="F169" s="114">
        <v>936926.06</v>
      </c>
      <c r="G169" s="114">
        <v>942877.36</v>
      </c>
      <c r="H169" s="114">
        <v>1056604.25</v>
      </c>
      <c r="I169" s="114">
        <v>1290325.32</v>
      </c>
      <c r="J169" s="114">
        <v>1617791.1</v>
      </c>
      <c r="K169" s="114">
        <v>1354369.07</v>
      </c>
      <c r="L169" s="114">
        <v>2009623.64</v>
      </c>
      <c r="M169" s="114">
        <v>1121295.21</v>
      </c>
      <c r="N169" s="114">
        <v>1021434.66</v>
      </c>
      <c r="O169" s="114">
        <f t="shared" si="5"/>
        <v>1123578.1299999999</v>
      </c>
      <c r="P169" s="115">
        <f>SUM(Table2[[#This Row],[JAN]:[DEC]])</f>
        <v>14126982.370000001</v>
      </c>
    </row>
    <row r="170" spans="1:16" x14ac:dyDescent="0.2">
      <c r="A170" s="111">
        <v>65</v>
      </c>
      <c r="B170" s="111">
        <v>31005</v>
      </c>
      <c r="C170" s="110" t="s">
        <v>588</v>
      </c>
      <c r="D170" s="114">
        <v>1107038.1599999999</v>
      </c>
      <c r="E170" s="114">
        <v>1167968.3400000001</v>
      </c>
      <c r="F170" s="114">
        <v>1180496.98</v>
      </c>
      <c r="G170" s="114">
        <v>1074879.53</v>
      </c>
      <c r="H170" s="114">
        <v>1026944.84</v>
      </c>
      <c r="I170" s="114">
        <v>1108632.3999999999</v>
      </c>
      <c r="J170" s="114">
        <v>1212501.04</v>
      </c>
      <c r="K170" s="114">
        <v>1072400.0900000001</v>
      </c>
      <c r="L170" s="114">
        <v>1248547.04</v>
      </c>
      <c r="M170" s="114">
        <v>1407464.3</v>
      </c>
      <c r="N170" s="114">
        <v>1187473.93</v>
      </c>
      <c r="O170" s="114">
        <f t="shared" si="5"/>
        <v>1306221.32</v>
      </c>
      <c r="P170" s="115">
        <f>SUM(Table2[[#This Row],[JAN]:[DEC]])</f>
        <v>14100567.970000003</v>
      </c>
    </row>
    <row r="171" spans="1:16" x14ac:dyDescent="0.2">
      <c r="A171" s="111">
        <v>527</v>
      </c>
      <c r="B171" s="111">
        <v>131019</v>
      </c>
      <c r="C171" s="110" t="s">
        <v>739</v>
      </c>
      <c r="D171" s="114">
        <v>1176752.27</v>
      </c>
      <c r="E171" s="114">
        <v>1119269.1399999999</v>
      </c>
      <c r="F171" s="114">
        <v>1146918.05</v>
      </c>
      <c r="G171" s="114">
        <v>1162436.33</v>
      </c>
      <c r="H171" s="114">
        <v>1132212.7</v>
      </c>
      <c r="I171" s="114">
        <v>1125226.8600000001</v>
      </c>
      <c r="J171" s="114">
        <v>1068809.48</v>
      </c>
      <c r="K171" s="114">
        <v>1031928.98</v>
      </c>
      <c r="L171" s="114">
        <v>1072576.1399999999</v>
      </c>
      <c r="M171" s="114">
        <v>1187523.32</v>
      </c>
      <c r="N171" s="114">
        <v>1280262.3899999999</v>
      </c>
      <c r="O171" s="114">
        <f t="shared" si="5"/>
        <v>1408288.63</v>
      </c>
      <c r="P171" s="115">
        <f>SUM(Table2[[#This Row],[JAN]:[DEC]])</f>
        <v>13912204.290000003</v>
      </c>
    </row>
    <row r="172" spans="1:16" x14ac:dyDescent="0.2">
      <c r="A172" s="111">
        <v>449</v>
      </c>
      <c r="B172" s="111">
        <v>81274</v>
      </c>
      <c r="C172" s="110" t="s">
        <v>707</v>
      </c>
      <c r="D172" s="114">
        <v>1227499.44</v>
      </c>
      <c r="E172" s="114">
        <v>1181881.6200000001</v>
      </c>
      <c r="F172" s="114">
        <v>1395055.06</v>
      </c>
      <c r="G172" s="114">
        <v>1109435.29</v>
      </c>
      <c r="H172" s="114">
        <v>1168807.29</v>
      </c>
      <c r="I172" s="114">
        <v>1052607.31</v>
      </c>
      <c r="J172" s="114">
        <v>1102496.68</v>
      </c>
      <c r="K172" s="114">
        <v>1074104.3799999999</v>
      </c>
      <c r="L172" s="114">
        <v>1076747.58</v>
      </c>
      <c r="M172" s="114">
        <v>1164912.99</v>
      </c>
      <c r="N172" s="114">
        <v>1089704.4099999999</v>
      </c>
      <c r="O172" s="114">
        <f t="shared" si="5"/>
        <v>1198674.8500000001</v>
      </c>
      <c r="P172" s="115">
        <f>SUM(Table2[[#This Row],[JAN]:[DEC]])</f>
        <v>13841926.9</v>
      </c>
    </row>
    <row r="173" spans="1:16" x14ac:dyDescent="0.2">
      <c r="A173" s="111">
        <v>502</v>
      </c>
      <c r="B173" s="112">
        <v>81344</v>
      </c>
      <c r="C173" s="113" t="s">
        <v>728</v>
      </c>
      <c r="D173" s="114">
        <v>28017.39</v>
      </c>
      <c r="E173" s="114">
        <v>1822961.49</v>
      </c>
      <c r="F173" s="114">
        <v>1130852.8799999999</v>
      </c>
      <c r="G173" s="114">
        <v>1258453.83</v>
      </c>
      <c r="H173" s="114">
        <v>1321901.07</v>
      </c>
      <c r="I173" s="114">
        <v>1136109.33</v>
      </c>
      <c r="J173" s="114">
        <v>1084553.52</v>
      </c>
      <c r="K173" s="114">
        <v>1213602.78</v>
      </c>
      <c r="L173" s="114">
        <v>1322546.54</v>
      </c>
      <c r="M173" s="114">
        <v>1360521.35</v>
      </c>
      <c r="N173" s="114">
        <v>1018660.34</v>
      </c>
      <c r="O173" s="114">
        <f t="shared" si="5"/>
        <v>1120526.3700000001</v>
      </c>
      <c r="P173" s="115">
        <f>SUM(Table2[[#This Row],[JAN]:[DEC]])</f>
        <v>13818706.889999997</v>
      </c>
    </row>
    <row r="174" spans="1:16" x14ac:dyDescent="0.2">
      <c r="A174" s="111">
        <v>393</v>
      </c>
      <c r="B174" s="111">
        <v>81213</v>
      </c>
      <c r="C174" s="110" t="s">
        <v>692</v>
      </c>
      <c r="D174" s="114">
        <v>1104791.6299999999</v>
      </c>
      <c r="E174" s="114">
        <v>1099360.99</v>
      </c>
      <c r="F174" s="114">
        <v>1068031.01</v>
      </c>
      <c r="G174" s="114">
        <v>1116228.81</v>
      </c>
      <c r="H174" s="114">
        <v>1194656.76</v>
      </c>
      <c r="I174" s="114">
        <v>1157801.79</v>
      </c>
      <c r="J174" s="114">
        <v>1169058.69</v>
      </c>
      <c r="K174" s="114">
        <v>1118985.3</v>
      </c>
      <c r="L174" s="114">
        <v>1303786.99</v>
      </c>
      <c r="M174" s="114">
        <v>1169768.56</v>
      </c>
      <c r="N174" s="114">
        <v>1080623.6000000001</v>
      </c>
      <c r="O174" s="114">
        <f t="shared" si="5"/>
        <v>1188685.96</v>
      </c>
      <c r="P174" s="115">
        <f>SUM(Table2[[#This Row],[JAN]:[DEC]])</f>
        <v>13771780.09</v>
      </c>
    </row>
    <row r="175" spans="1:16" x14ac:dyDescent="0.2">
      <c r="A175" s="111">
        <v>268</v>
      </c>
      <c r="B175" s="111">
        <v>81034</v>
      </c>
      <c r="C175" s="110" t="s">
        <v>566</v>
      </c>
      <c r="D175" s="114">
        <v>1052723.18</v>
      </c>
      <c r="E175" s="114">
        <v>943099.55</v>
      </c>
      <c r="F175" s="114">
        <v>1902786.7</v>
      </c>
      <c r="G175" s="114">
        <v>833563.82</v>
      </c>
      <c r="H175" s="114">
        <v>1010761.44</v>
      </c>
      <c r="I175" s="114">
        <v>967359.08</v>
      </c>
      <c r="J175" s="114">
        <v>936775.56</v>
      </c>
      <c r="K175" s="114">
        <v>1746939.18</v>
      </c>
      <c r="L175" s="114">
        <v>958412.79</v>
      </c>
      <c r="M175" s="114">
        <v>949545.28</v>
      </c>
      <c r="N175" s="114">
        <v>1093473.48</v>
      </c>
      <c r="O175" s="114">
        <f t="shared" si="5"/>
        <v>1202820.83</v>
      </c>
      <c r="P175" s="115">
        <f>SUM(Table2[[#This Row],[JAN]:[DEC]])</f>
        <v>13598260.890000001</v>
      </c>
    </row>
    <row r="176" spans="1:16" x14ac:dyDescent="0.2">
      <c r="A176" s="111">
        <v>89</v>
      </c>
      <c r="B176" s="111">
        <v>31037</v>
      </c>
      <c r="C176" s="110" t="s">
        <v>600</v>
      </c>
      <c r="D176" s="114">
        <v>1064004.78</v>
      </c>
      <c r="E176" s="114">
        <v>1285275.5900000001</v>
      </c>
      <c r="F176" s="114">
        <v>1359184.06</v>
      </c>
      <c r="G176" s="114">
        <v>1109959.54</v>
      </c>
      <c r="H176" s="114">
        <v>947623.65</v>
      </c>
      <c r="I176" s="114">
        <v>855417.71</v>
      </c>
      <c r="J176" s="114">
        <v>959628.96</v>
      </c>
      <c r="K176" s="114">
        <v>906365.24</v>
      </c>
      <c r="L176" s="114">
        <v>952366.57</v>
      </c>
      <c r="M176" s="114">
        <v>1145418.24</v>
      </c>
      <c r="N176" s="114">
        <v>1432156.79</v>
      </c>
      <c r="O176" s="114">
        <f t="shared" si="5"/>
        <v>1575372.47</v>
      </c>
      <c r="P176" s="115">
        <f>SUM(Table2[[#This Row],[JAN]:[DEC]])</f>
        <v>13592773.600000003</v>
      </c>
    </row>
    <row r="177" spans="1:16" x14ac:dyDescent="0.2">
      <c r="A177" s="111">
        <v>95</v>
      </c>
      <c r="B177" s="111">
        <v>41003</v>
      </c>
      <c r="C177" s="110" t="s">
        <v>603</v>
      </c>
      <c r="D177" s="114">
        <v>1043420.53</v>
      </c>
      <c r="E177" s="114">
        <v>929134.44</v>
      </c>
      <c r="F177" s="114">
        <v>1020092.19</v>
      </c>
      <c r="G177" s="114">
        <v>1154257.53</v>
      </c>
      <c r="H177" s="114">
        <v>1219791.5900000001</v>
      </c>
      <c r="I177" s="114">
        <v>1150745.05</v>
      </c>
      <c r="J177" s="114">
        <v>1107435.75</v>
      </c>
      <c r="K177" s="114">
        <v>1065155.6299999999</v>
      </c>
      <c r="L177" s="114">
        <v>1224692.5900000001</v>
      </c>
      <c r="M177" s="114">
        <v>1186358.94</v>
      </c>
      <c r="N177" s="114">
        <v>1164434.57</v>
      </c>
      <c r="O177" s="114">
        <f t="shared" si="5"/>
        <v>1280878.03</v>
      </c>
      <c r="P177" s="115">
        <f>SUM(Table2[[#This Row],[JAN]:[DEC]])</f>
        <v>13546396.84</v>
      </c>
    </row>
    <row r="178" spans="1:16" x14ac:dyDescent="0.2">
      <c r="A178" s="111">
        <v>287</v>
      </c>
      <c r="B178" s="111">
        <v>81063</v>
      </c>
      <c r="C178" s="110" t="s">
        <v>652</v>
      </c>
      <c r="D178" s="114">
        <v>1072563.92</v>
      </c>
      <c r="E178" s="114">
        <v>983786.85</v>
      </c>
      <c r="F178" s="114">
        <v>953450.15</v>
      </c>
      <c r="G178" s="114">
        <v>1068043.21</v>
      </c>
      <c r="H178" s="114">
        <v>1138022.47</v>
      </c>
      <c r="I178" s="114">
        <v>1093297.27</v>
      </c>
      <c r="J178" s="114">
        <v>1276440.18</v>
      </c>
      <c r="K178" s="114">
        <v>1216406.22</v>
      </c>
      <c r="L178" s="114">
        <v>1152701.72</v>
      </c>
      <c r="M178" s="114">
        <v>1198414.6200000001</v>
      </c>
      <c r="N178" s="114">
        <v>1001271.82</v>
      </c>
      <c r="O178" s="114">
        <f t="shared" si="5"/>
        <v>1101399</v>
      </c>
      <c r="P178" s="115">
        <f>SUM(Table2[[#This Row],[JAN]:[DEC]])</f>
        <v>13255797.43</v>
      </c>
    </row>
    <row r="179" spans="1:16" x14ac:dyDescent="0.2">
      <c r="A179" s="111">
        <v>424</v>
      </c>
      <c r="B179" s="111">
        <v>81248</v>
      </c>
      <c r="C179" s="110" t="s">
        <v>696</v>
      </c>
      <c r="D179" s="114">
        <v>963870.19</v>
      </c>
      <c r="E179" s="114">
        <v>1232118.24</v>
      </c>
      <c r="F179" s="114">
        <v>1048813.44</v>
      </c>
      <c r="G179" s="114">
        <v>1082527.17</v>
      </c>
      <c r="H179" s="114">
        <v>1146583.74</v>
      </c>
      <c r="I179" s="114">
        <v>1051696.76</v>
      </c>
      <c r="J179" s="114">
        <v>1074824.82</v>
      </c>
      <c r="K179" s="114">
        <v>1087482.49</v>
      </c>
      <c r="L179" s="114">
        <v>1105961.69</v>
      </c>
      <c r="M179" s="114">
        <v>1099340.2</v>
      </c>
      <c r="N179" s="114">
        <v>1068852.8799999999</v>
      </c>
      <c r="O179" s="114">
        <f t="shared" si="5"/>
        <v>1175738.17</v>
      </c>
      <c r="P179" s="115">
        <f>SUM(Table2[[#This Row],[JAN]:[DEC]])</f>
        <v>13137809.789999997</v>
      </c>
    </row>
    <row r="180" spans="1:16" x14ac:dyDescent="0.2">
      <c r="A180" s="111">
        <v>332</v>
      </c>
      <c r="B180" s="111">
        <v>81134</v>
      </c>
      <c r="C180" s="110" t="s">
        <v>668</v>
      </c>
      <c r="D180" s="114">
        <v>893814</v>
      </c>
      <c r="E180" s="114">
        <v>976117.94</v>
      </c>
      <c r="F180" s="114">
        <v>957049.24</v>
      </c>
      <c r="G180" s="114">
        <v>1014512.6</v>
      </c>
      <c r="H180" s="114">
        <v>1133503.96</v>
      </c>
      <c r="I180" s="114">
        <v>1125357.76</v>
      </c>
      <c r="J180" s="114">
        <v>1173666.73</v>
      </c>
      <c r="K180" s="114">
        <v>1175302.45</v>
      </c>
      <c r="L180" s="114">
        <v>1159205.73</v>
      </c>
      <c r="M180" s="114">
        <v>1172585.74</v>
      </c>
      <c r="N180" s="114">
        <v>1068984.78</v>
      </c>
      <c r="O180" s="114">
        <f t="shared" si="5"/>
        <v>1175883.26</v>
      </c>
      <c r="P180" s="115">
        <f>SUM(Table2[[#This Row],[JAN]:[DEC]])</f>
        <v>13025984.189999999</v>
      </c>
    </row>
    <row r="181" spans="1:16" x14ac:dyDescent="0.2">
      <c r="A181" s="111">
        <v>433</v>
      </c>
      <c r="B181" s="111">
        <v>81257</v>
      </c>
      <c r="C181" s="110" t="s">
        <v>701</v>
      </c>
      <c r="D181" s="114">
        <v>940248.76</v>
      </c>
      <c r="E181" s="114">
        <v>895231.95</v>
      </c>
      <c r="F181" s="114">
        <v>940576.8</v>
      </c>
      <c r="G181" s="114">
        <v>1099270.05</v>
      </c>
      <c r="H181" s="114">
        <v>1198634.3</v>
      </c>
      <c r="I181" s="114">
        <v>1133379.02</v>
      </c>
      <c r="J181" s="114">
        <v>1082648.97</v>
      </c>
      <c r="K181" s="114">
        <v>1119233.5</v>
      </c>
      <c r="L181" s="114">
        <v>1128724.1100000001</v>
      </c>
      <c r="M181" s="114">
        <v>1159039.3999999999</v>
      </c>
      <c r="N181" s="114">
        <v>1060889.04</v>
      </c>
      <c r="O181" s="114">
        <f t="shared" si="5"/>
        <v>1166977.94</v>
      </c>
      <c r="P181" s="115">
        <f>SUM(Table2[[#This Row],[JAN]:[DEC]])</f>
        <v>12924853.839999998</v>
      </c>
    </row>
    <row r="182" spans="1:16" x14ac:dyDescent="0.2">
      <c r="A182" s="111">
        <v>64</v>
      </c>
      <c r="B182" s="111">
        <v>31004</v>
      </c>
      <c r="C182" s="110" t="s">
        <v>587</v>
      </c>
      <c r="D182" s="114">
        <v>906406.78</v>
      </c>
      <c r="E182" s="114">
        <v>1099214.97</v>
      </c>
      <c r="F182" s="114">
        <v>1154288.01</v>
      </c>
      <c r="G182" s="114">
        <v>987211.92</v>
      </c>
      <c r="H182" s="114">
        <v>903439.83</v>
      </c>
      <c r="I182" s="114">
        <v>886678.8</v>
      </c>
      <c r="J182" s="114">
        <v>1084303.28</v>
      </c>
      <c r="K182" s="114">
        <v>938319.56</v>
      </c>
      <c r="L182" s="114">
        <v>1045136.28</v>
      </c>
      <c r="M182" s="114">
        <v>1234741.8899999999</v>
      </c>
      <c r="N182" s="114">
        <v>1219568.28</v>
      </c>
      <c r="O182" s="114">
        <f t="shared" si="5"/>
        <v>1341525.1100000001</v>
      </c>
      <c r="P182" s="115">
        <f>SUM(Table2[[#This Row],[JAN]:[DEC]])</f>
        <v>12800834.709999999</v>
      </c>
    </row>
    <row r="183" spans="1:16" x14ac:dyDescent="0.2">
      <c r="A183" s="111">
        <v>40</v>
      </c>
      <c r="B183" s="112">
        <v>11062</v>
      </c>
      <c r="C183" s="113" t="s">
        <v>577</v>
      </c>
      <c r="D183" s="114">
        <v>0</v>
      </c>
      <c r="E183" s="114">
        <v>0</v>
      </c>
      <c r="F183" s="114">
        <v>0</v>
      </c>
      <c r="G183" s="114">
        <v>0</v>
      </c>
      <c r="H183" s="114">
        <v>0</v>
      </c>
      <c r="I183" s="114">
        <v>0</v>
      </c>
      <c r="J183" s="114">
        <v>0</v>
      </c>
      <c r="K183" s="114">
        <v>0</v>
      </c>
      <c r="L183" s="114">
        <v>0</v>
      </c>
      <c r="M183" s="114">
        <v>698.09</v>
      </c>
      <c r="N183" s="114">
        <v>6095224.21</v>
      </c>
      <c r="O183" s="114">
        <f t="shared" si="5"/>
        <v>6704746.6299999999</v>
      </c>
      <c r="P183" s="115">
        <f>SUM(Table2[[#This Row],[JAN]:[DEC]])</f>
        <v>12800668.93</v>
      </c>
    </row>
    <row r="184" spans="1:16" x14ac:dyDescent="0.2">
      <c r="A184" s="111">
        <v>562</v>
      </c>
      <c r="B184" s="111">
        <v>171003</v>
      </c>
      <c r="C184" s="110" t="s">
        <v>747</v>
      </c>
      <c r="D184" s="114">
        <v>442780.72</v>
      </c>
      <c r="E184" s="114">
        <v>350697.62</v>
      </c>
      <c r="F184" s="114">
        <v>450854.18</v>
      </c>
      <c r="G184" s="114">
        <v>536570.53</v>
      </c>
      <c r="H184" s="114">
        <v>618030.98</v>
      </c>
      <c r="I184" s="114">
        <v>685775.84</v>
      </c>
      <c r="J184" s="114">
        <v>7038305.0199999996</v>
      </c>
      <c r="K184" s="114">
        <v>570144.25</v>
      </c>
      <c r="L184" s="114">
        <v>589143.94999999995</v>
      </c>
      <c r="M184" s="114">
        <v>465772.52</v>
      </c>
      <c r="N184" s="114">
        <v>479286.94</v>
      </c>
      <c r="O184" s="114">
        <f t="shared" si="5"/>
        <v>527215.63</v>
      </c>
      <c r="P184" s="115">
        <f>SUM(Table2[[#This Row],[JAN]:[DEC]])</f>
        <v>12754578.18</v>
      </c>
    </row>
    <row r="185" spans="1:16" x14ac:dyDescent="0.2">
      <c r="A185" s="111">
        <v>61</v>
      </c>
      <c r="B185" s="112">
        <v>21017</v>
      </c>
      <c r="C185" s="113" t="s">
        <v>586</v>
      </c>
      <c r="D185" s="114">
        <v>1037.2</v>
      </c>
      <c r="E185" s="114">
        <v>1023165.34</v>
      </c>
      <c r="F185" s="114">
        <v>586907.04</v>
      </c>
      <c r="G185" s="114">
        <v>957184.33</v>
      </c>
      <c r="H185" s="114">
        <v>997860.56</v>
      </c>
      <c r="I185" s="114">
        <v>876589.75</v>
      </c>
      <c r="J185" s="114">
        <v>969810.88</v>
      </c>
      <c r="K185" s="114">
        <v>1315467.8400000001</v>
      </c>
      <c r="L185" s="114">
        <v>1359325.05</v>
      </c>
      <c r="M185" s="114">
        <v>1395881.23</v>
      </c>
      <c r="N185" s="114">
        <v>1461745.04</v>
      </c>
      <c r="O185" s="114">
        <f t="shared" si="5"/>
        <v>1607919.54</v>
      </c>
      <c r="P185" s="115">
        <f>SUM(Table2[[#This Row],[JAN]:[DEC]])</f>
        <v>12552893.800000001</v>
      </c>
    </row>
    <row r="186" spans="1:16" x14ac:dyDescent="0.2">
      <c r="A186" s="111">
        <v>9</v>
      </c>
      <c r="B186" s="111">
        <v>11012</v>
      </c>
      <c r="C186" s="110" t="s">
        <v>566</v>
      </c>
      <c r="D186" s="114">
        <v>913739.44</v>
      </c>
      <c r="E186" s="114">
        <v>756595.59</v>
      </c>
      <c r="F186" s="114">
        <v>1002752.4</v>
      </c>
      <c r="G186" s="114">
        <v>766928.2</v>
      </c>
      <c r="H186" s="114">
        <v>1231097.76</v>
      </c>
      <c r="I186" s="114">
        <v>1474048.35</v>
      </c>
      <c r="J186" s="114">
        <v>1679552.29</v>
      </c>
      <c r="K186" s="114">
        <v>1102029.3</v>
      </c>
      <c r="L186" s="114">
        <v>808218</v>
      </c>
      <c r="M186" s="114">
        <v>880047.82</v>
      </c>
      <c r="N186" s="114">
        <v>862252.1</v>
      </c>
      <c r="O186" s="114">
        <f t="shared" si="5"/>
        <v>948477.31</v>
      </c>
      <c r="P186" s="115">
        <f>SUM(Table2[[#This Row],[JAN]:[DEC]])</f>
        <v>12425738.560000001</v>
      </c>
    </row>
    <row r="187" spans="1:16" x14ac:dyDescent="0.2">
      <c r="A187" s="111">
        <v>462</v>
      </c>
      <c r="B187" s="111">
        <v>81291</v>
      </c>
      <c r="C187" s="110" t="s">
        <v>711</v>
      </c>
      <c r="D187" s="114">
        <v>977083.21</v>
      </c>
      <c r="E187" s="114">
        <v>938059.66</v>
      </c>
      <c r="F187" s="114">
        <v>901741.72</v>
      </c>
      <c r="G187" s="114">
        <v>989695.68</v>
      </c>
      <c r="H187" s="114">
        <v>1130625.43</v>
      </c>
      <c r="I187" s="114">
        <v>1047520.66</v>
      </c>
      <c r="J187" s="114">
        <v>949007.64</v>
      </c>
      <c r="K187" s="114">
        <v>950554.76</v>
      </c>
      <c r="L187" s="114">
        <v>1033969.55</v>
      </c>
      <c r="M187" s="114">
        <v>1382225.38</v>
      </c>
      <c r="N187" s="114">
        <v>959453.25</v>
      </c>
      <c r="O187" s="114">
        <f t="shared" si="5"/>
        <v>1055398.58</v>
      </c>
      <c r="P187" s="115">
        <f>SUM(Table2[[#This Row],[JAN]:[DEC]])</f>
        <v>12315335.520000001</v>
      </c>
    </row>
    <row r="188" spans="1:16" x14ac:dyDescent="0.2">
      <c r="A188" s="111">
        <v>507</v>
      </c>
      <c r="B188" s="111">
        <v>81350</v>
      </c>
      <c r="C188" s="110" t="s">
        <v>732</v>
      </c>
      <c r="D188" s="114">
        <v>662786.01</v>
      </c>
      <c r="E188" s="114">
        <v>640361.07999999996</v>
      </c>
      <c r="F188" s="114">
        <v>701635.72</v>
      </c>
      <c r="G188" s="114">
        <v>801188.65</v>
      </c>
      <c r="H188" s="114">
        <v>852982.71</v>
      </c>
      <c r="I188" s="114">
        <v>917702.89</v>
      </c>
      <c r="J188" s="114">
        <v>1072383.68</v>
      </c>
      <c r="K188" s="114">
        <v>1175198.9099999999</v>
      </c>
      <c r="L188" s="114">
        <v>1217256.19</v>
      </c>
      <c r="M188" s="114">
        <v>1512673.25</v>
      </c>
      <c r="N188" s="114">
        <v>1311980.29</v>
      </c>
      <c r="O188" s="114">
        <f t="shared" si="5"/>
        <v>1443178.32</v>
      </c>
      <c r="P188" s="115">
        <f>SUM(Table2[[#This Row],[JAN]:[DEC]])</f>
        <v>12309327.699999999</v>
      </c>
    </row>
    <row r="189" spans="1:16" x14ac:dyDescent="0.2">
      <c r="A189" s="111">
        <v>216</v>
      </c>
      <c r="B189" s="111">
        <v>61056</v>
      </c>
      <c r="C189" s="110" t="s">
        <v>633</v>
      </c>
      <c r="D189" s="114">
        <v>1038670.15</v>
      </c>
      <c r="E189" s="114">
        <v>724609.59</v>
      </c>
      <c r="F189" s="114">
        <v>1005409.55</v>
      </c>
      <c r="G189" s="114">
        <v>914576.85</v>
      </c>
      <c r="H189" s="114">
        <v>910533.72</v>
      </c>
      <c r="I189" s="114">
        <v>775978.39</v>
      </c>
      <c r="J189" s="114">
        <v>1084818.31</v>
      </c>
      <c r="K189" s="114">
        <v>1033042.33</v>
      </c>
      <c r="L189" s="114">
        <v>1145484.3899999999</v>
      </c>
      <c r="M189" s="114">
        <v>1095355.93</v>
      </c>
      <c r="N189" s="114">
        <v>1226949.1499999999</v>
      </c>
      <c r="O189" s="114">
        <f t="shared" si="5"/>
        <v>1349644.07</v>
      </c>
      <c r="P189" s="115">
        <f>SUM(Table2[[#This Row],[JAN]:[DEC]])</f>
        <v>12305072.430000002</v>
      </c>
    </row>
    <row r="190" spans="1:16" x14ac:dyDescent="0.2">
      <c r="A190" s="111">
        <v>86</v>
      </c>
      <c r="B190" s="111">
        <v>31033</v>
      </c>
      <c r="C190" s="110" t="s">
        <v>597</v>
      </c>
      <c r="D190" s="114">
        <v>1049798.98</v>
      </c>
      <c r="E190" s="114">
        <v>1163106.73</v>
      </c>
      <c r="F190" s="114">
        <v>1203132.8799999999</v>
      </c>
      <c r="G190" s="114">
        <v>994232.72</v>
      </c>
      <c r="H190" s="114">
        <v>828943.9</v>
      </c>
      <c r="I190" s="114">
        <v>730609.54</v>
      </c>
      <c r="J190" s="114">
        <v>798374.62</v>
      </c>
      <c r="K190" s="114">
        <v>770478.88</v>
      </c>
      <c r="L190" s="114">
        <v>915459.86</v>
      </c>
      <c r="M190" s="114">
        <v>1075022.5</v>
      </c>
      <c r="N190" s="114">
        <v>1296701.8799999999</v>
      </c>
      <c r="O190" s="114">
        <f t="shared" si="5"/>
        <v>1426372.07</v>
      </c>
      <c r="P190" s="115">
        <f>SUM(Table2[[#This Row],[JAN]:[DEC]])</f>
        <v>12252234.559999999</v>
      </c>
    </row>
    <row r="191" spans="1:16" x14ac:dyDescent="0.2">
      <c r="A191" s="111">
        <v>193</v>
      </c>
      <c r="B191" s="111">
        <v>61025</v>
      </c>
      <c r="C191" s="110" t="s">
        <v>625</v>
      </c>
      <c r="D191" s="114">
        <v>812912.29</v>
      </c>
      <c r="E191" s="114">
        <v>813761.29</v>
      </c>
      <c r="F191" s="114">
        <v>1000289.11</v>
      </c>
      <c r="G191" s="114">
        <v>875798.02</v>
      </c>
      <c r="H191" s="114">
        <v>742246.11</v>
      </c>
      <c r="I191" s="114">
        <v>1110213.7</v>
      </c>
      <c r="J191" s="114">
        <v>1164115.3500000001</v>
      </c>
      <c r="K191" s="114">
        <v>1029380.16</v>
      </c>
      <c r="L191" s="114">
        <v>967903.33</v>
      </c>
      <c r="M191" s="114">
        <v>1035098.3</v>
      </c>
      <c r="N191" s="114">
        <v>1271930.33</v>
      </c>
      <c r="O191" s="114">
        <f t="shared" si="5"/>
        <v>1399123.36</v>
      </c>
      <c r="P191" s="115">
        <f>SUM(Table2[[#This Row],[JAN]:[DEC]])</f>
        <v>12222771.350000001</v>
      </c>
    </row>
    <row r="192" spans="1:16" x14ac:dyDescent="0.2">
      <c r="A192" s="111">
        <v>26</v>
      </c>
      <c r="B192" s="111">
        <v>11044</v>
      </c>
      <c r="C192" s="110" t="s">
        <v>573</v>
      </c>
      <c r="D192" s="114">
        <v>1035466.76</v>
      </c>
      <c r="E192" s="114">
        <v>1012515.95</v>
      </c>
      <c r="F192" s="114">
        <v>978985.07</v>
      </c>
      <c r="G192" s="114">
        <v>967911.2</v>
      </c>
      <c r="H192" s="114">
        <v>878734.53</v>
      </c>
      <c r="I192" s="114">
        <v>1067846.3400000001</v>
      </c>
      <c r="J192" s="114">
        <v>999775.45</v>
      </c>
      <c r="K192" s="114">
        <v>980035.61</v>
      </c>
      <c r="L192" s="114">
        <v>1048642.3400000001</v>
      </c>
      <c r="M192" s="114">
        <v>1052490.04</v>
      </c>
      <c r="N192" s="114">
        <v>1035705.45</v>
      </c>
      <c r="O192" s="114">
        <f t="shared" si="5"/>
        <v>1139276</v>
      </c>
      <c r="P192" s="115">
        <f>SUM(Table2[[#This Row],[JAN]:[DEC]])</f>
        <v>12197384.739999998</v>
      </c>
    </row>
    <row r="193" spans="1:16" x14ac:dyDescent="0.2">
      <c r="A193" s="111">
        <v>87</v>
      </c>
      <c r="B193" s="111">
        <v>31034</v>
      </c>
      <c r="C193" s="110" t="s">
        <v>598</v>
      </c>
      <c r="D193" s="114">
        <v>749964.05</v>
      </c>
      <c r="E193" s="114">
        <v>915244.18</v>
      </c>
      <c r="F193" s="114">
        <v>959511.3</v>
      </c>
      <c r="G193" s="114">
        <v>776068.85</v>
      </c>
      <c r="H193" s="114">
        <v>859024.67</v>
      </c>
      <c r="I193" s="114">
        <v>1055506.28</v>
      </c>
      <c r="J193" s="114">
        <v>1220033.43</v>
      </c>
      <c r="K193" s="114">
        <v>933802.55</v>
      </c>
      <c r="L193" s="114">
        <v>1067800.8600000001</v>
      </c>
      <c r="M193" s="114">
        <v>1257118.1599999999</v>
      </c>
      <c r="N193" s="114">
        <v>1125666.1000000001</v>
      </c>
      <c r="O193" s="114">
        <f t="shared" si="5"/>
        <v>1238232.71</v>
      </c>
      <c r="P193" s="115">
        <f>SUM(Table2[[#This Row],[JAN]:[DEC]])</f>
        <v>12157973.140000001</v>
      </c>
    </row>
    <row r="194" spans="1:16" x14ac:dyDescent="0.2">
      <c r="A194" s="111">
        <v>342</v>
      </c>
      <c r="B194" s="111">
        <v>81147</v>
      </c>
      <c r="C194" s="110" t="s">
        <v>672</v>
      </c>
      <c r="D194" s="114">
        <v>1034581.17</v>
      </c>
      <c r="E194" s="114">
        <v>922231.52</v>
      </c>
      <c r="F194" s="114">
        <v>1016784.58</v>
      </c>
      <c r="G194" s="114">
        <v>985574.81</v>
      </c>
      <c r="H194" s="114">
        <v>1051340.45</v>
      </c>
      <c r="I194" s="114">
        <v>866801.33</v>
      </c>
      <c r="J194" s="114">
        <v>980469.07</v>
      </c>
      <c r="K194" s="114">
        <v>970852.63</v>
      </c>
      <c r="L194" s="114">
        <v>976361.07</v>
      </c>
      <c r="M194" s="114">
        <v>1147425.1100000001</v>
      </c>
      <c r="N194" s="114">
        <v>1024939.19</v>
      </c>
      <c r="O194" s="114">
        <f t="shared" ref="O194:O201" si="6">ROUND(N194*110%,2)</f>
        <v>1127433.1100000001</v>
      </c>
      <c r="P194" s="115">
        <f>SUM(Table2[[#This Row],[JAN]:[DEC]])</f>
        <v>12104794.039999999</v>
      </c>
    </row>
    <row r="195" spans="1:16" x14ac:dyDescent="0.2">
      <c r="A195" s="111">
        <v>498</v>
      </c>
      <c r="B195" s="111">
        <v>81339</v>
      </c>
      <c r="C195" s="110" t="s">
        <v>724</v>
      </c>
      <c r="D195" s="114">
        <v>903144.78</v>
      </c>
      <c r="E195" s="114">
        <v>944976.17</v>
      </c>
      <c r="F195" s="114">
        <v>888889.05</v>
      </c>
      <c r="G195" s="114">
        <v>673619.72</v>
      </c>
      <c r="H195" s="114">
        <v>1001967.24</v>
      </c>
      <c r="I195" s="114">
        <v>892406.43</v>
      </c>
      <c r="J195" s="114">
        <v>1208303.93</v>
      </c>
      <c r="K195" s="114">
        <v>1014873.09</v>
      </c>
      <c r="L195" s="114">
        <v>1127462.71</v>
      </c>
      <c r="M195" s="114">
        <v>1149139.05</v>
      </c>
      <c r="N195" s="114">
        <v>1089628.17</v>
      </c>
      <c r="O195" s="114">
        <f t="shared" si="6"/>
        <v>1198590.99</v>
      </c>
      <c r="P195" s="115">
        <f>SUM(Table2[[#This Row],[JAN]:[DEC]])</f>
        <v>12093001.33</v>
      </c>
    </row>
    <row r="196" spans="1:16" x14ac:dyDescent="0.2">
      <c r="A196" s="111">
        <v>34</v>
      </c>
      <c r="B196" s="111">
        <v>11053</v>
      </c>
      <c r="C196" s="110" t="s">
        <v>576</v>
      </c>
      <c r="D196" s="114">
        <v>1006832.05</v>
      </c>
      <c r="E196" s="114">
        <v>891625.69</v>
      </c>
      <c r="F196" s="114">
        <v>954958.45</v>
      </c>
      <c r="G196" s="114">
        <v>985869.12</v>
      </c>
      <c r="H196" s="114">
        <v>1032953.84</v>
      </c>
      <c r="I196" s="114">
        <v>949264.65</v>
      </c>
      <c r="J196" s="114">
        <v>1032551.8</v>
      </c>
      <c r="K196" s="114">
        <v>1026889.37</v>
      </c>
      <c r="L196" s="114">
        <v>956105.6</v>
      </c>
      <c r="M196" s="114">
        <v>1061233.53</v>
      </c>
      <c r="N196" s="114">
        <v>1044088.04</v>
      </c>
      <c r="O196" s="114">
        <f t="shared" si="6"/>
        <v>1148496.8400000001</v>
      </c>
      <c r="P196" s="115">
        <f>SUM(Table2[[#This Row],[JAN]:[DEC]])</f>
        <v>12090868.98</v>
      </c>
    </row>
    <row r="197" spans="1:16" x14ac:dyDescent="0.2">
      <c r="A197" s="111">
        <v>361</v>
      </c>
      <c r="B197" s="111">
        <v>81172</v>
      </c>
      <c r="C197" s="110" t="s">
        <v>680</v>
      </c>
      <c r="D197" s="114">
        <v>806566.57</v>
      </c>
      <c r="E197" s="114">
        <v>815394.81</v>
      </c>
      <c r="F197" s="114">
        <v>816754.67</v>
      </c>
      <c r="G197" s="114">
        <v>821915.13</v>
      </c>
      <c r="H197" s="114">
        <v>908680.68</v>
      </c>
      <c r="I197" s="114">
        <v>823357.47</v>
      </c>
      <c r="J197" s="114">
        <v>1442814.42</v>
      </c>
      <c r="K197" s="114">
        <v>918472.21</v>
      </c>
      <c r="L197" s="114">
        <v>1120718.3</v>
      </c>
      <c r="M197" s="114">
        <v>1221240.2</v>
      </c>
      <c r="N197" s="114">
        <v>1092945.5</v>
      </c>
      <c r="O197" s="114">
        <f t="shared" si="6"/>
        <v>1202240.05</v>
      </c>
      <c r="P197" s="115">
        <f>SUM(Table2[[#This Row],[JAN]:[DEC]])</f>
        <v>11991100.01</v>
      </c>
    </row>
    <row r="198" spans="1:16" x14ac:dyDescent="0.2">
      <c r="A198" s="111">
        <v>273</v>
      </c>
      <c r="B198" s="111">
        <v>81041</v>
      </c>
      <c r="C198" s="110" t="s">
        <v>644</v>
      </c>
      <c r="D198" s="114">
        <v>927476.8</v>
      </c>
      <c r="E198" s="114">
        <v>910770.82</v>
      </c>
      <c r="F198" s="114">
        <v>965799.35</v>
      </c>
      <c r="G198" s="114">
        <v>934784.39</v>
      </c>
      <c r="H198" s="114">
        <v>935929.02</v>
      </c>
      <c r="I198" s="114">
        <v>916549.14</v>
      </c>
      <c r="J198" s="114">
        <v>1080929.5900000001</v>
      </c>
      <c r="K198" s="114">
        <v>1076968.52</v>
      </c>
      <c r="L198" s="114">
        <v>1016048.32</v>
      </c>
      <c r="M198" s="114">
        <v>1045277.52</v>
      </c>
      <c r="N198" s="114">
        <v>1038050.88</v>
      </c>
      <c r="O198" s="114">
        <f t="shared" si="6"/>
        <v>1141855.97</v>
      </c>
      <c r="P198" s="115">
        <f>SUM(Table2[[#This Row],[JAN]:[DEC]])</f>
        <v>11990440.320000002</v>
      </c>
    </row>
    <row r="199" spans="1:16" x14ac:dyDescent="0.2">
      <c r="A199" s="111">
        <v>77</v>
      </c>
      <c r="B199" s="111">
        <v>31022</v>
      </c>
      <c r="C199" s="110" t="s">
        <v>593</v>
      </c>
      <c r="D199" s="114">
        <v>906542.07</v>
      </c>
      <c r="E199" s="114">
        <v>1104559.8500000001</v>
      </c>
      <c r="F199" s="114">
        <v>1175686.8899999999</v>
      </c>
      <c r="G199" s="114">
        <v>1010502.37</v>
      </c>
      <c r="H199" s="114">
        <v>808128.53</v>
      </c>
      <c r="I199" s="114">
        <v>812475.35</v>
      </c>
      <c r="J199" s="114">
        <v>982521.76</v>
      </c>
      <c r="K199" s="114">
        <v>839274.62</v>
      </c>
      <c r="L199" s="114">
        <v>905284.98</v>
      </c>
      <c r="M199" s="114">
        <v>1034903.69</v>
      </c>
      <c r="N199" s="114">
        <v>1144639.22</v>
      </c>
      <c r="O199" s="114">
        <f t="shared" si="6"/>
        <v>1259103.1399999999</v>
      </c>
      <c r="P199" s="115">
        <f>SUM(Table2[[#This Row],[JAN]:[DEC]])</f>
        <v>11983622.470000001</v>
      </c>
    </row>
    <row r="200" spans="1:16" x14ac:dyDescent="0.2">
      <c r="A200" s="111">
        <v>580</v>
      </c>
      <c r="B200" s="111">
        <v>261008</v>
      </c>
      <c r="C200" s="110" t="s">
        <v>755</v>
      </c>
      <c r="D200" s="114">
        <v>547948.31000000006</v>
      </c>
      <c r="E200" s="114">
        <v>568216.09</v>
      </c>
      <c r="F200" s="114">
        <v>597184.85</v>
      </c>
      <c r="G200" s="114">
        <v>1635549.17</v>
      </c>
      <c r="H200" s="114">
        <v>839083.55</v>
      </c>
      <c r="I200" s="114">
        <v>1610514.84</v>
      </c>
      <c r="J200" s="114">
        <v>906531.42</v>
      </c>
      <c r="K200" s="114">
        <v>1638207.33</v>
      </c>
      <c r="L200" s="114">
        <v>736547.8</v>
      </c>
      <c r="M200" s="114">
        <v>1543447.68</v>
      </c>
      <c r="N200" s="114">
        <v>598866.5</v>
      </c>
      <c r="O200" s="114">
        <f t="shared" si="6"/>
        <v>658753.15</v>
      </c>
      <c r="P200" s="115">
        <f>SUM(Table2[[#This Row],[JAN]:[DEC]])</f>
        <v>11880850.689999999</v>
      </c>
    </row>
    <row r="201" spans="1:16" x14ac:dyDescent="0.2">
      <c r="A201" s="111">
        <v>600</v>
      </c>
      <c r="B201" s="111">
        <v>261033</v>
      </c>
      <c r="C201" s="110" t="s">
        <v>758</v>
      </c>
      <c r="D201" s="114">
        <v>709730.47</v>
      </c>
      <c r="E201" s="114">
        <v>834578.96</v>
      </c>
      <c r="F201" s="114">
        <v>879419.52</v>
      </c>
      <c r="G201" s="114">
        <v>922091.77</v>
      </c>
      <c r="H201" s="114">
        <v>1128579.07</v>
      </c>
      <c r="I201" s="114">
        <v>973718.78</v>
      </c>
      <c r="J201" s="114">
        <v>1051535.06</v>
      </c>
      <c r="K201" s="114">
        <v>1026959.61</v>
      </c>
      <c r="L201" s="114">
        <v>1232244.19</v>
      </c>
      <c r="M201" s="114">
        <v>1046830.1</v>
      </c>
      <c r="N201" s="114">
        <v>988044.41</v>
      </c>
      <c r="O201" s="114">
        <f t="shared" si="6"/>
        <v>1086848.8500000001</v>
      </c>
      <c r="P201" s="115">
        <f>SUM(Table2[[#This Row],[JAN]:[DEC]])</f>
        <v>11880580.790000001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5F7B-AD59-4DE6-A4ED-578FFD8AEF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8478-6496-48BA-A78C-5ABBC84F4EA7}">
  <dimension ref="A1"/>
  <sheetViews>
    <sheetView tabSelected="1" workbookViewId="0">
      <selection activeCell="D10" sqref="D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SL</vt:lpstr>
      <vt:lpstr>age</vt:lpstr>
      <vt:lpstr>aging</vt:lpstr>
      <vt:lpstr>slabTax_lo</vt:lpstr>
      <vt:lpstr>slabCon</vt:lpstr>
      <vt:lpstr>VAT_TAX_Deduction</vt:lpstr>
      <vt:lpstr>VLUP</vt:lpstr>
      <vt:lpstr>Lef Right</vt:lpstr>
      <vt:lpstr>FML name</vt:lpstr>
      <vt:lpstr>Sheet3</vt:lpstr>
      <vt:lpstr>FP Details</vt:lpstr>
      <vt:lpstr>Auditp</vt:lpstr>
      <vt:lpstr>FML</vt:lpstr>
      <vt:lpstr>D_MAS</vt:lpstr>
      <vt:lpstr>Sheet1</vt:lpstr>
      <vt:lpstr>Sheet4</vt:lpstr>
      <vt:lpstr>Sheet5</vt:lpstr>
      <vt:lpstr>AUD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Sajib Sarker</dc:creator>
  <cp:lastModifiedBy>Sajib Sarker</cp:lastModifiedBy>
  <cp:lastPrinted>2022-09-26T04:58:24Z</cp:lastPrinted>
  <dcterms:created xsi:type="dcterms:W3CDTF">2016-07-27T04:45:26Z</dcterms:created>
  <dcterms:modified xsi:type="dcterms:W3CDTF">2024-04-10T10:06:51Z</dcterms:modified>
</cp:coreProperties>
</file>