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E7AC90F-A1EF-47B0-B5FC-26F3614BE43A}" xr6:coauthVersionLast="36" xr6:coauthVersionMax="36" xr10:uidLastSave="{00000000-0000-0000-0000-000000000000}"/>
  <bookViews>
    <workbookView xWindow="120" yWindow="75" windowWidth="15120" windowHeight="8520" tabRatio="748" firstSheet="4" activeTab="12" xr2:uid="{00000000-000D-0000-FFFF-FFFF00000000}"/>
  </bookViews>
  <sheets>
    <sheet name="SL" sheetId="32" r:id="rId1"/>
    <sheet name="age" sheetId="13" r:id="rId2"/>
    <sheet name="aging" sheetId="12" r:id="rId3"/>
    <sheet name="slabTax_lo" sheetId="17" r:id="rId4"/>
    <sheet name="slabCon" sheetId="26" r:id="rId5"/>
    <sheet name="VAT_TAX_Deduction" sheetId="27" r:id="rId6"/>
    <sheet name="VLUP" sheetId="1" r:id="rId7"/>
    <sheet name="Lef Right" sheetId="18" r:id="rId8"/>
    <sheet name="FML name" sheetId="31" r:id="rId9"/>
    <sheet name="FML" sheetId="21" r:id="rId10"/>
    <sheet name="D_MAS" sheetId="25" r:id="rId11"/>
    <sheet name="Sumif" sheetId="28" r:id="rId12"/>
    <sheet name="Textjoin" sheetId="30" r:id="rId13"/>
    <sheet name="SUBSTITUTE" sheetId="33" r:id="rId14"/>
  </sheets>
  <definedNames>
    <definedName name="AUD">VLUP!$A$2:$H$17</definedName>
    <definedName name="bablur" localSheetId="8">#REF!</definedName>
    <definedName name="bablur" localSheetId="4">#REF!</definedName>
    <definedName name="bablur" localSheetId="13">#REF!</definedName>
    <definedName name="bablur">#REF!</definedName>
    <definedName name="total" localSheetId="4">#REF!</definedName>
    <definedName name="total" localSheetId="13">#REF!</definedName>
    <definedName name="total">#REF!</definedName>
  </definedNames>
  <calcPr calcId="191029"/>
</workbook>
</file>

<file path=xl/calcChain.xml><?xml version="1.0" encoding="utf-8"?>
<calcChain xmlns="http://schemas.openxmlformats.org/spreadsheetml/2006/main">
  <c r="D7" i="33" l="1"/>
  <c r="D8" i="33"/>
  <c r="D9" i="33"/>
  <c r="D25" i="33"/>
  <c r="D24" i="33"/>
  <c r="D23" i="33"/>
  <c r="D22" i="33"/>
  <c r="A4" i="33"/>
  <c r="A20" i="33" s="1"/>
  <c r="A4" i="30"/>
  <c r="A19" i="33" l="1"/>
  <c r="N11" i="31"/>
  <c r="C4" i="31"/>
  <c r="D4" i="31"/>
  <c r="E4" i="31"/>
  <c r="E2" i="31"/>
  <c r="E3" i="31"/>
  <c r="D2" i="31"/>
  <c r="D3" i="31"/>
  <c r="C18" i="18"/>
  <c r="D18" i="18"/>
  <c r="F18" i="18" s="1"/>
  <c r="E18" i="18"/>
  <c r="B16" i="32"/>
  <c r="E16" i="28" l="1"/>
  <c r="E14" i="28"/>
  <c r="E13" i="28"/>
  <c r="E12" i="28"/>
  <c r="A3" i="32" l="1"/>
  <c r="A4" i="32"/>
  <c r="A5" i="32"/>
  <c r="A6" i="32"/>
  <c r="A7" i="32"/>
  <c r="A8" i="32"/>
  <c r="A11" i="32"/>
  <c r="A12" i="32"/>
  <c r="A2" i="32"/>
  <c r="C21" i="31" l="1"/>
  <c r="C20" i="31"/>
  <c r="C17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C8" i="31"/>
  <c r="C7" i="31"/>
  <c r="C6" i="31"/>
  <c r="C3" i="31"/>
  <c r="C2" i="31"/>
  <c r="E1" i="31"/>
  <c r="D1" i="31"/>
  <c r="C1" i="31"/>
  <c r="E17" i="18" l="1"/>
  <c r="D20" i="18"/>
  <c r="D19" i="18"/>
  <c r="D16" i="30" l="1"/>
  <c r="D15" i="30"/>
  <c r="D17" i="30"/>
  <c r="D14" i="30"/>
  <c r="A12" i="30"/>
  <c r="A11" i="30"/>
  <c r="D17" i="18" l="1"/>
  <c r="L17" i="18" l="1"/>
  <c r="F17" i="18"/>
  <c r="C7" i="1" l="1"/>
  <c r="C8" i="1"/>
  <c r="C9" i="1"/>
  <c r="C10" i="1"/>
  <c r="C11" i="1"/>
  <c r="C12" i="1"/>
  <c r="C13" i="1"/>
  <c r="C14" i="1"/>
  <c r="C15" i="1"/>
  <c r="C2" i="1"/>
  <c r="C3" i="1"/>
  <c r="C4" i="1"/>
  <c r="C5" i="1"/>
  <c r="C29" i="17" l="1"/>
  <c r="C30" i="17" s="1"/>
  <c r="E30" i="17" s="1"/>
  <c r="C31" i="17" l="1"/>
  <c r="E31" i="17" s="1"/>
  <c r="C32" i="17" l="1"/>
  <c r="E32" i="17" s="1"/>
  <c r="C33" i="17" l="1"/>
  <c r="E33" i="17" s="1"/>
  <c r="C34" i="17" l="1"/>
  <c r="E34" i="17" s="1"/>
  <c r="C35" i="17" l="1"/>
  <c r="D57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42" i="12"/>
  <c r="K2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42" i="12"/>
  <c r="F43" i="12"/>
  <c r="F44" i="12"/>
  <c r="F47" i="12"/>
  <c r="F51" i="12"/>
  <c r="F53" i="12"/>
  <c r="F55" i="12"/>
  <c r="F42" i="12"/>
  <c r="E43" i="12"/>
  <c r="E44" i="12"/>
  <c r="E45" i="12"/>
  <c r="F45" i="12" s="1"/>
  <c r="E46" i="12"/>
  <c r="F46" i="12" s="1"/>
  <c r="E47" i="12"/>
  <c r="E48" i="12"/>
  <c r="F48" i="12" s="1"/>
  <c r="E49" i="12"/>
  <c r="F49" i="12" s="1"/>
  <c r="E50" i="12"/>
  <c r="F50" i="12" s="1"/>
  <c r="E51" i="12"/>
  <c r="E52" i="12"/>
  <c r="F52" i="12" s="1"/>
  <c r="E53" i="12"/>
  <c r="E54" i="12"/>
  <c r="F54" i="12" s="1"/>
  <c r="E55" i="12"/>
  <c r="E56" i="12"/>
  <c r="F56" i="12" s="1"/>
  <c r="E42" i="12"/>
  <c r="D35" i="12"/>
  <c r="J34" i="12"/>
  <c r="I34" i="12"/>
  <c r="H34" i="12"/>
  <c r="G34" i="12"/>
  <c r="E34" i="12"/>
  <c r="F34" i="12" s="1"/>
  <c r="J33" i="12"/>
  <c r="I33" i="12"/>
  <c r="H33" i="12"/>
  <c r="G33" i="12"/>
  <c r="E33" i="12"/>
  <c r="F33" i="12" s="1"/>
  <c r="J32" i="12"/>
  <c r="I32" i="12"/>
  <c r="H32" i="12"/>
  <c r="G32" i="12"/>
  <c r="E32" i="12"/>
  <c r="F32" i="12" s="1"/>
  <c r="J31" i="12"/>
  <c r="I31" i="12"/>
  <c r="H31" i="12"/>
  <c r="G31" i="12"/>
  <c r="E31" i="12"/>
  <c r="F31" i="12" s="1"/>
  <c r="J30" i="12"/>
  <c r="I30" i="12"/>
  <c r="H30" i="12"/>
  <c r="G30" i="12"/>
  <c r="E30" i="12"/>
  <c r="F30" i="12" s="1"/>
  <c r="J29" i="12"/>
  <c r="I29" i="12"/>
  <c r="H29" i="12"/>
  <c r="G29" i="12"/>
  <c r="E29" i="12"/>
  <c r="F29" i="12" s="1"/>
  <c r="J28" i="12"/>
  <c r="I28" i="12"/>
  <c r="H28" i="12"/>
  <c r="G28" i="12"/>
  <c r="E28" i="12"/>
  <c r="F28" i="12" s="1"/>
  <c r="J27" i="12"/>
  <c r="I27" i="12"/>
  <c r="H27" i="12"/>
  <c r="G27" i="12"/>
  <c r="E27" i="12"/>
  <c r="F27" i="12" s="1"/>
  <c r="J26" i="12"/>
  <c r="I26" i="12"/>
  <c r="H26" i="12"/>
  <c r="G26" i="12"/>
  <c r="E26" i="12"/>
  <c r="F26" i="12" s="1"/>
  <c r="J25" i="12"/>
  <c r="I25" i="12"/>
  <c r="H25" i="12"/>
  <c r="G25" i="12"/>
  <c r="E25" i="12"/>
  <c r="F25" i="12" s="1"/>
  <c r="J24" i="12"/>
  <c r="I24" i="12"/>
  <c r="H24" i="12"/>
  <c r="G24" i="12"/>
  <c r="E24" i="12"/>
  <c r="F24" i="12" s="1"/>
  <c r="J23" i="12"/>
  <c r="I23" i="12"/>
  <c r="H23" i="12"/>
  <c r="G23" i="12"/>
  <c r="E23" i="12"/>
  <c r="F23" i="12" s="1"/>
  <c r="G57" i="12" l="1"/>
  <c r="I57" i="12"/>
  <c r="F57" i="12"/>
  <c r="H57" i="12"/>
  <c r="J57" i="12"/>
  <c r="K57" i="12"/>
  <c r="G35" i="12"/>
  <c r="I35" i="12"/>
  <c r="F35" i="12"/>
  <c r="H35" i="12"/>
  <c r="J35" i="12"/>
  <c r="M38" i="13"/>
  <c r="L38" i="13"/>
  <c r="C14" i="26"/>
  <c r="F24" i="13" l="1"/>
  <c r="C10" i="27" l="1"/>
  <c r="C11" i="27"/>
  <c r="C12" i="27"/>
  <c r="C13" i="27"/>
  <c r="C9" i="27"/>
  <c r="D9" i="27" s="1"/>
  <c r="E9" i="27" s="1"/>
  <c r="C16" i="27"/>
  <c r="G36" i="27"/>
  <c r="G35" i="27"/>
  <c r="G34" i="27"/>
  <c r="G33" i="27"/>
  <c r="G32" i="27"/>
  <c r="G31" i="27"/>
  <c r="C20" i="27"/>
  <c r="D20" i="27" s="1"/>
  <c r="C19" i="27"/>
  <c r="D19" i="27" s="1"/>
  <c r="C18" i="27"/>
  <c r="D18" i="27" s="1"/>
  <c r="C17" i="27"/>
  <c r="D17" i="27" s="1"/>
  <c r="F9" i="27" l="1"/>
  <c r="G9" i="27" s="1"/>
  <c r="I9" i="27" s="1"/>
  <c r="H10" i="27" s="1"/>
  <c r="D10" i="27"/>
  <c r="E10" i="27" s="1"/>
  <c r="D11" i="27"/>
  <c r="D12" i="27"/>
  <c r="D13" i="27"/>
  <c r="D16" i="27"/>
  <c r="C16" i="26"/>
  <c r="C9" i="26"/>
  <c r="C10" i="26"/>
  <c r="C11" i="26"/>
  <c r="C12" i="26"/>
  <c r="C13" i="26"/>
  <c r="C15" i="26"/>
  <c r="E11" i="27" l="1"/>
  <c r="F10" i="27"/>
  <c r="G10" i="27" s="1"/>
  <c r="F11" i="27"/>
  <c r="G11" i="27" s="1"/>
  <c r="E13" i="27"/>
  <c r="E20" i="27"/>
  <c r="G20" i="27" s="1"/>
  <c r="E18" i="27"/>
  <c r="G18" i="27" s="1"/>
  <c r="E19" i="27"/>
  <c r="G19" i="27" s="1"/>
  <c r="E17" i="27"/>
  <c r="G17" i="27" s="1"/>
  <c r="E16" i="27"/>
  <c r="G16" i="27" s="1"/>
  <c r="I16" i="27" s="1"/>
  <c r="E12" i="27"/>
  <c r="J9" i="27"/>
  <c r="O144" i="25"/>
  <c r="P144" i="25" s="1"/>
  <c r="O57" i="25"/>
  <c r="P57" i="25" s="1"/>
  <c r="O186" i="25"/>
  <c r="P186" i="25" s="1"/>
  <c r="O111" i="25"/>
  <c r="P111" i="25" s="1"/>
  <c r="O10" i="25"/>
  <c r="P10" i="25" s="1"/>
  <c r="O97" i="25"/>
  <c r="P97" i="25" s="1"/>
  <c r="O59" i="25"/>
  <c r="P59" i="25" s="1"/>
  <c r="O78" i="25"/>
  <c r="P78" i="25" s="1"/>
  <c r="O192" i="25"/>
  <c r="P192" i="25" s="1"/>
  <c r="O15" i="25"/>
  <c r="P15" i="25" s="1"/>
  <c r="O133" i="25"/>
  <c r="P133" i="25" s="1"/>
  <c r="O196" i="25"/>
  <c r="P196" i="25" s="1"/>
  <c r="O183" i="25"/>
  <c r="P183" i="25" s="1"/>
  <c r="O6" i="25"/>
  <c r="P6" i="25" s="1"/>
  <c r="O47" i="25"/>
  <c r="P47" i="25" s="1"/>
  <c r="O4" i="25"/>
  <c r="P4" i="25" s="1"/>
  <c r="O99" i="25"/>
  <c r="P99" i="25" s="1"/>
  <c r="O119" i="25"/>
  <c r="P119" i="25" s="1"/>
  <c r="O42" i="25"/>
  <c r="P42" i="25" s="1"/>
  <c r="O67" i="25"/>
  <c r="P67" i="25" s="1"/>
  <c r="O160" i="25"/>
  <c r="P160" i="25" s="1"/>
  <c r="O185" i="25"/>
  <c r="P185" i="25" s="1"/>
  <c r="O182" i="25"/>
  <c r="P182" i="25" s="1"/>
  <c r="O170" i="25"/>
  <c r="P170" i="25" s="1"/>
  <c r="O140" i="25"/>
  <c r="P140" i="25" s="1"/>
  <c r="O70" i="25"/>
  <c r="P70" i="25" s="1"/>
  <c r="O30" i="25"/>
  <c r="P30" i="25" s="1"/>
  <c r="O9" i="25"/>
  <c r="P9" i="25" s="1"/>
  <c r="O199" i="25"/>
  <c r="P199" i="25" s="1"/>
  <c r="O109" i="25"/>
  <c r="P109" i="25" s="1"/>
  <c r="O31" i="25"/>
  <c r="P31" i="25" s="1"/>
  <c r="O103" i="25"/>
  <c r="P103" i="25" s="1"/>
  <c r="O190" i="25"/>
  <c r="P190" i="25" s="1"/>
  <c r="O193" i="25"/>
  <c r="P193" i="25" s="1"/>
  <c r="O112" i="25"/>
  <c r="P112" i="25" s="1"/>
  <c r="O176" i="25"/>
  <c r="P176" i="25" s="1"/>
  <c r="O121" i="25"/>
  <c r="P121" i="25" s="1"/>
  <c r="O124" i="25"/>
  <c r="P124" i="25" s="1"/>
  <c r="O177" i="25"/>
  <c r="P177" i="25" s="1"/>
  <c r="O75" i="25"/>
  <c r="P75" i="25" s="1"/>
  <c r="O149" i="25"/>
  <c r="P149" i="25" s="1"/>
  <c r="O43" i="25"/>
  <c r="P43" i="25" s="1"/>
  <c r="O76" i="25"/>
  <c r="P76" i="25" s="1"/>
  <c r="O35" i="25"/>
  <c r="P35" i="25" s="1"/>
  <c r="O115" i="25"/>
  <c r="P115" i="25" s="1"/>
  <c r="O84" i="25"/>
  <c r="P84" i="25" s="1"/>
  <c r="O131" i="25"/>
  <c r="P131" i="25" s="1"/>
  <c r="O74" i="25"/>
  <c r="P74" i="25" s="1"/>
  <c r="O164" i="25"/>
  <c r="P164" i="25" s="1"/>
  <c r="O153" i="25"/>
  <c r="P153" i="25" s="1"/>
  <c r="O151" i="25"/>
  <c r="P151" i="25" s="1"/>
  <c r="O33" i="25"/>
  <c r="P33" i="25" s="1"/>
  <c r="O39" i="25"/>
  <c r="P39" i="25" s="1"/>
  <c r="O80" i="25"/>
  <c r="P80" i="25" s="1"/>
  <c r="O79" i="25"/>
  <c r="P79" i="25" s="1"/>
  <c r="O105" i="25"/>
  <c r="P105" i="25" s="1"/>
  <c r="O25" i="25"/>
  <c r="P25" i="25" s="1"/>
  <c r="O152" i="25"/>
  <c r="P152" i="25" s="1"/>
  <c r="O68" i="25"/>
  <c r="P68" i="25" s="1"/>
  <c r="O116" i="25"/>
  <c r="P116" i="25" s="1"/>
  <c r="O191" i="25"/>
  <c r="P191" i="25" s="1"/>
  <c r="O72" i="25"/>
  <c r="P72" i="25" s="1"/>
  <c r="O38" i="25"/>
  <c r="P38" i="25" s="1"/>
  <c r="O17" i="25"/>
  <c r="P17" i="25" s="1"/>
  <c r="O146" i="25"/>
  <c r="P146" i="25" s="1"/>
  <c r="O138" i="25"/>
  <c r="P138" i="25" s="1"/>
  <c r="O110" i="25"/>
  <c r="P110" i="25" s="1"/>
  <c r="O56" i="25"/>
  <c r="P56" i="25" s="1"/>
  <c r="O189" i="25"/>
  <c r="P189" i="25" s="1"/>
  <c r="O134" i="25"/>
  <c r="P134" i="25" s="1"/>
  <c r="O44" i="25"/>
  <c r="P44" i="25" s="1"/>
  <c r="O93" i="25"/>
  <c r="P93" i="25" s="1"/>
  <c r="O159" i="25"/>
  <c r="P159" i="25" s="1"/>
  <c r="O98" i="25"/>
  <c r="P98" i="25" s="1"/>
  <c r="O53" i="25"/>
  <c r="P53" i="25" s="1"/>
  <c r="O89" i="25"/>
  <c r="P89" i="25" s="1"/>
  <c r="O11" i="25"/>
  <c r="P11" i="25" s="1"/>
  <c r="O175" i="25"/>
  <c r="P175" i="25" s="1"/>
  <c r="O27" i="25"/>
  <c r="P27" i="25" s="1"/>
  <c r="O198" i="25"/>
  <c r="P198" i="25" s="1"/>
  <c r="O154" i="25"/>
  <c r="P154" i="25" s="1"/>
  <c r="O169" i="25"/>
  <c r="P169" i="25" s="1"/>
  <c r="O162" i="25"/>
  <c r="P162" i="25" s="1"/>
  <c r="O21" i="25"/>
  <c r="P21" i="25" s="1"/>
  <c r="O129" i="25"/>
  <c r="P129" i="25" s="1"/>
  <c r="O52" i="25"/>
  <c r="P52" i="25" s="1"/>
  <c r="O120" i="25"/>
  <c r="P120" i="25" s="1"/>
  <c r="O178" i="25"/>
  <c r="P178" i="25" s="1"/>
  <c r="O107" i="25"/>
  <c r="P107" i="25" s="1"/>
  <c r="O63" i="25"/>
  <c r="P63" i="25" s="1"/>
  <c r="O102" i="25"/>
  <c r="P102" i="25" s="1"/>
  <c r="O73" i="25"/>
  <c r="P73" i="25" s="1"/>
  <c r="O85" i="25"/>
  <c r="P85" i="25" s="1"/>
  <c r="O91" i="25"/>
  <c r="P91" i="25" s="1"/>
  <c r="O50" i="25"/>
  <c r="P50" i="25" s="1"/>
  <c r="O13" i="25"/>
  <c r="P13" i="25" s="1"/>
  <c r="O7" i="25"/>
  <c r="P7" i="25" s="1"/>
  <c r="O126" i="25"/>
  <c r="P126" i="25" s="1"/>
  <c r="O69" i="25"/>
  <c r="P69" i="25" s="1"/>
  <c r="O22" i="25"/>
  <c r="P22" i="25" s="1"/>
  <c r="O139" i="25"/>
  <c r="P139" i="25" s="1"/>
  <c r="O64" i="25"/>
  <c r="P64" i="25" s="1"/>
  <c r="O51" i="25"/>
  <c r="P51" i="25" s="1"/>
  <c r="O180" i="25"/>
  <c r="P180" i="25" s="1"/>
  <c r="O100" i="25"/>
  <c r="P100" i="25" s="1"/>
  <c r="O168" i="25"/>
  <c r="P168" i="25" s="1"/>
  <c r="O156" i="25"/>
  <c r="P156" i="25" s="1"/>
  <c r="O194" i="25"/>
  <c r="P194" i="25" s="1"/>
  <c r="O54" i="25"/>
  <c r="P54" i="25" s="1"/>
  <c r="O136" i="25"/>
  <c r="P136" i="25" s="1"/>
  <c r="O48" i="25"/>
  <c r="P48" i="25" s="1"/>
  <c r="O150" i="25"/>
  <c r="P150" i="25" s="1"/>
  <c r="O61" i="25"/>
  <c r="P61" i="25" s="1"/>
  <c r="O106" i="25"/>
  <c r="P106" i="25" s="1"/>
  <c r="O130" i="25"/>
  <c r="P130" i="25" s="1"/>
  <c r="O197" i="25"/>
  <c r="P197" i="25" s="1"/>
  <c r="O96" i="25"/>
  <c r="P96" i="25" s="1"/>
  <c r="O49" i="25"/>
  <c r="P49" i="25" s="1"/>
  <c r="O34" i="25"/>
  <c r="P34" i="25" s="1"/>
  <c r="O20" i="25"/>
  <c r="P20" i="25" s="1"/>
  <c r="O86" i="25"/>
  <c r="P86" i="25" s="1"/>
  <c r="O65" i="25"/>
  <c r="P65" i="25" s="1"/>
  <c r="O113" i="25"/>
  <c r="P113" i="25" s="1"/>
  <c r="O45" i="25"/>
  <c r="P45" i="25" s="1"/>
  <c r="O19" i="25"/>
  <c r="P19" i="25" s="1"/>
  <c r="O3" i="25"/>
  <c r="P3" i="25" s="1"/>
  <c r="O142" i="25"/>
  <c r="P142" i="25" s="1"/>
  <c r="O174" i="25"/>
  <c r="P174" i="25" s="1"/>
  <c r="O46" i="25"/>
  <c r="P46" i="25" s="1"/>
  <c r="O32" i="25"/>
  <c r="P32" i="25" s="1"/>
  <c r="O87" i="25"/>
  <c r="P87" i="25" s="1"/>
  <c r="O179" i="25"/>
  <c r="P179" i="25" s="1"/>
  <c r="O117" i="25"/>
  <c r="P117" i="25" s="1"/>
  <c r="O128" i="25"/>
  <c r="P128" i="25" s="1"/>
  <c r="O166" i="25"/>
  <c r="P166" i="25" s="1"/>
  <c r="O77" i="25"/>
  <c r="P77" i="25" s="1"/>
  <c r="O181" i="25"/>
  <c r="P181" i="25" s="1"/>
  <c r="O82" i="25"/>
  <c r="P82" i="25" s="1"/>
  <c r="O167" i="25"/>
  <c r="P167" i="25" s="1"/>
  <c r="O101" i="25"/>
  <c r="P101" i="25" s="1"/>
  <c r="O16" i="25"/>
  <c r="P16" i="25" s="1"/>
  <c r="O123" i="25"/>
  <c r="P123" i="25" s="1"/>
  <c r="O172" i="25"/>
  <c r="P172" i="25" s="1"/>
  <c r="O58" i="25"/>
  <c r="P58" i="25" s="1"/>
  <c r="O125" i="25"/>
  <c r="P125" i="25" s="1"/>
  <c r="O23" i="25"/>
  <c r="P23" i="25" s="1"/>
  <c r="O187" i="25"/>
  <c r="P187" i="25" s="1"/>
  <c r="O114" i="25"/>
  <c r="P114" i="25" s="1"/>
  <c r="O145" i="25"/>
  <c r="P145" i="25" s="1"/>
  <c r="O165" i="25"/>
  <c r="P165" i="25" s="1"/>
  <c r="O83" i="25"/>
  <c r="P83" i="25" s="1"/>
  <c r="O66" i="25"/>
  <c r="P66" i="25" s="1"/>
  <c r="O37" i="25"/>
  <c r="P37" i="25" s="1"/>
  <c r="O28" i="25"/>
  <c r="P28" i="25" s="1"/>
  <c r="O2" i="25"/>
  <c r="P2" i="25" s="1"/>
  <c r="O5" i="25"/>
  <c r="P5" i="25" s="1"/>
  <c r="O62" i="25"/>
  <c r="P62" i="25" s="1"/>
  <c r="O92" i="25"/>
  <c r="P92" i="25" s="1"/>
  <c r="O18" i="25"/>
  <c r="P18" i="25" s="1"/>
  <c r="O36" i="25"/>
  <c r="P36" i="25" s="1"/>
  <c r="O195" i="25"/>
  <c r="P195" i="25" s="1"/>
  <c r="O26" i="25"/>
  <c r="P26" i="25" s="1"/>
  <c r="O108" i="25"/>
  <c r="P108" i="25" s="1"/>
  <c r="O158" i="25"/>
  <c r="P158" i="25" s="1"/>
  <c r="O173" i="25"/>
  <c r="P173" i="25" s="1"/>
  <c r="O55" i="25"/>
  <c r="P55" i="25" s="1"/>
  <c r="O29" i="25"/>
  <c r="P29" i="25" s="1"/>
  <c r="O24" i="25"/>
  <c r="P24" i="25" s="1"/>
  <c r="O188" i="25"/>
  <c r="P188" i="25" s="1"/>
  <c r="O71" i="25"/>
  <c r="P71" i="25" s="1"/>
  <c r="O104" i="25"/>
  <c r="P104" i="25" s="1"/>
  <c r="O127" i="25"/>
  <c r="P127" i="25" s="1"/>
  <c r="O143" i="25"/>
  <c r="P143" i="25" s="1"/>
  <c r="O12" i="25"/>
  <c r="P12" i="25" s="1"/>
  <c r="O148" i="25"/>
  <c r="P148" i="25" s="1"/>
  <c r="O171" i="25"/>
  <c r="P171" i="25" s="1"/>
  <c r="O141" i="25"/>
  <c r="P141" i="25" s="1"/>
  <c r="O132" i="25"/>
  <c r="P132" i="25" s="1"/>
  <c r="O135" i="25"/>
  <c r="P135" i="25" s="1"/>
  <c r="O40" i="25"/>
  <c r="P40" i="25" s="1"/>
  <c r="O163" i="25"/>
  <c r="P163" i="25" s="1"/>
  <c r="O137" i="25"/>
  <c r="P137" i="25" s="1"/>
  <c r="O81" i="25"/>
  <c r="P81" i="25" s="1"/>
  <c r="O161" i="25"/>
  <c r="P161" i="25" s="1"/>
  <c r="O41" i="25"/>
  <c r="P41" i="25" s="1"/>
  <c r="O184" i="25"/>
  <c r="P184" i="25" s="1"/>
  <c r="O122" i="25"/>
  <c r="P122" i="25" s="1"/>
  <c r="O88" i="25"/>
  <c r="P88" i="25" s="1"/>
  <c r="O147" i="25"/>
  <c r="P147" i="25" s="1"/>
  <c r="O155" i="25"/>
  <c r="P155" i="25" s="1"/>
  <c r="O60" i="25"/>
  <c r="P60" i="25" s="1"/>
  <c r="O95" i="25"/>
  <c r="P95" i="25" s="1"/>
  <c r="O8" i="25"/>
  <c r="P8" i="25" s="1"/>
  <c r="O200" i="25"/>
  <c r="P200" i="25" s="1"/>
  <c r="O90" i="25"/>
  <c r="P90" i="25" s="1"/>
  <c r="O157" i="25"/>
  <c r="P157" i="25" s="1"/>
  <c r="O201" i="25"/>
  <c r="P201" i="25" s="1"/>
  <c r="O118" i="25"/>
  <c r="P118" i="25" s="1"/>
  <c r="O14" i="25"/>
  <c r="P14" i="25" s="1"/>
  <c r="O94" i="25"/>
  <c r="P94" i="25" s="1"/>
  <c r="J16" i="27" l="1"/>
  <c r="H17" i="27"/>
  <c r="I10" i="27"/>
  <c r="F12" i="27"/>
  <c r="G12" i="27" s="1"/>
  <c r="F13" i="27"/>
  <c r="G13" i="27" s="1"/>
  <c r="K14" i="18"/>
  <c r="C17" i="18"/>
  <c r="J10" i="27" l="1"/>
  <c r="H11" i="27"/>
  <c r="I11" i="27" s="1"/>
  <c r="H12" i="27" s="1"/>
  <c r="I12" i="27" s="1"/>
  <c r="F44" i="13"/>
  <c r="F43" i="13"/>
  <c r="F42" i="13"/>
  <c r="J11" i="27" l="1"/>
  <c r="J12" i="27"/>
  <c r="H13" i="27"/>
  <c r="I13" i="27" s="1"/>
  <c r="J13" i="27" s="1"/>
  <c r="A14" i="21"/>
  <c r="I17" i="27" l="1"/>
  <c r="N24" i="21"/>
  <c r="H18" i="27" l="1"/>
  <c r="I18" i="27" s="1"/>
  <c r="J17" i="27"/>
  <c r="A13" i="21"/>
  <c r="A17" i="21"/>
  <c r="A11" i="21"/>
  <c r="A16" i="21"/>
  <c r="H19" i="27" l="1"/>
  <c r="I19" i="27" s="1"/>
  <c r="J19" i="27" s="1"/>
  <c r="J18" i="27"/>
  <c r="H20" i="27"/>
  <c r="I20" i="27" s="1"/>
  <c r="J20" i="27" s="1"/>
  <c r="A10" i="21"/>
  <c r="C19" i="1"/>
  <c r="C3" i="18" l="1"/>
  <c r="K6" i="18"/>
  <c r="K12" i="18" s="1"/>
  <c r="K8" i="18"/>
  <c r="K9" i="18"/>
  <c r="K10" i="18"/>
  <c r="K11" i="18"/>
  <c r="K7" i="18"/>
  <c r="E5" i="12" l="1"/>
  <c r="B19" i="1" l="1"/>
  <c r="D19" i="1"/>
  <c r="E19" i="1"/>
  <c r="F19" i="1"/>
  <c r="G19" i="1"/>
  <c r="H2" i="18" l="1"/>
  <c r="G16" i="18"/>
  <c r="A14" i="17" l="1"/>
  <c r="A15" i="17" l="1"/>
  <c r="A16" i="17" s="1"/>
  <c r="H10" i="18"/>
  <c r="H5" i="18"/>
  <c r="H3" i="18"/>
  <c r="A17" i="17" l="1"/>
  <c r="A18" i="17" s="1"/>
  <c r="H9" i="18"/>
  <c r="C2" i="18"/>
  <c r="C4" i="18"/>
  <c r="C5" i="18"/>
  <c r="C6" i="18"/>
  <c r="H6" i="18"/>
  <c r="C7" i="18"/>
  <c r="H7" i="18"/>
  <c r="C8" i="18"/>
  <c r="C9" i="18"/>
  <c r="C10" i="18"/>
  <c r="C11" i="18"/>
  <c r="C12" i="18"/>
  <c r="H12" i="18"/>
  <c r="C13" i="18"/>
  <c r="H13" i="18"/>
  <c r="C14" i="18"/>
  <c r="H14" i="18"/>
  <c r="C15" i="18"/>
  <c r="H15" i="18"/>
  <c r="H16" i="18" l="1"/>
  <c r="A19" i="17"/>
  <c r="A20" i="17" s="1"/>
  <c r="G11" i="12"/>
  <c r="E4" i="12"/>
  <c r="F11" i="13" l="1"/>
  <c r="H11" i="13"/>
  <c r="K11" i="13"/>
  <c r="N11" i="13"/>
  <c r="O11" i="13"/>
  <c r="F12" i="13"/>
  <c r="H12" i="13"/>
  <c r="K12" i="13"/>
  <c r="N12" i="13"/>
  <c r="O12" i="13"/>
  <c r="F13" i="13"/>
  <c r="H13" i="13"/>
  <c r="K13" i="13"/>
  <c r="N13" i="13"/>
  <c r="O13" i="13"/>
  <c r="H24" i="13"/>
  <c r="K24" i="13"/>
  <c r="N24" i="13"/>
  <c r="O24" i="13"/>
  <c r="F25" i="13"/>
  <c r="H25" i="13"/>
  <c r="K25" i="13"/>
  <c r="N25" i="13"/>
  <c r="O25" i="13"/>
  <c r="F26" i="13"/>
  <c r="H26" i="13"/>
  <c r="K26" i="13"/>
  <c r="N26" i="13"/>
  <c r="O26" i="13"/>
  <c r="F34" i="13"/>
  <c r="F35" i="13"/>
  <c r="F36" i="13"/>
  <c r="P26" i="13" l="1"/>
  <c r="P24" i="13"/>
  <c r="P12" i="13"/>
  <c r="P25" i="13"/>
  <c r="P13" i="13"/>
  <c r="P11" i="13"/>
  <c r="D15" i="12"/>
  <c r="J14" i="12"/>
  <c r="I14" i="12"/>
  <c r="H14" i="12"/>
  <c r="G14" i="12"/>
  <c r="E14" i="12"/>
  <c r="F14" i="12" s="1"/>
  <c r="J13" i="12"/>
  <c r="I13" i="12"/>
  <c r="H13" i="12"/>
  <c r="G13" i="12"/>
  <c r="E13" i="12"/>
  <c r="F13" i="12" s="1"/>
  <c r="J12" i="12"/>
  <c r="I12" i="12"/>
  <c r="H12" i="12"/>
  <c r="G12" i="12"/>
  <c r="E12" i="12"/>
  <c r="F12" i="12" s="1"/>
  <c r="J11" i="12"/>
  <c r="I11" i="12"/>
  <c r="H11" i="12"/>
  <c r="E11" i="12"/>
  <c r="F11" i="12" s="1"/>
  <c r="J10" i="12"/>
  <c r="I10" i="12"/>
  <c r="H10" i="12"/>
  <c r="G10" i="12"/>
  <c r="E10" i="12"/>
  <c r="F10" i="12" s="1"/>
  <c r="J9" i="12"/>
  <c r="I9" i="12"/>
  <c r="H9" i="12"/>
  <c r="G9" i="12"/>
  <c r="E9" i="12"/>
  <c r="F9" i="12" s="1"/>
  <c r="J8" i="12"/>
  <c r="I8" i="12"/>
  <c r="H8" i="12"/>
  <c r="G8" i="12"/>
  <c r="E8" i="12"/>
  <c r="F8" i="12" s="1"/>
  <c r="J7" i="12"/>
  <c r="I7" i="12"/>
  <c r="H7" i="12"/>
  <c r="G7" i="12"/>
  <c r="E7" i="12"/>
  <c r="F7" i="12" s="1"/>
  <c r="J6" i="12"/>
  <c r="I6" i="12"/>
  <c r="H6" i="12"/>
  <c r="G6" i="12"/>
  <c r="E6" i="12"/>
  <c r="F6" i="12" s="1"/>
  <c r="J5" i="12"/>
  <c r="I5" i="12"/>
  <c r="H5" i="12"/>
  <c r="G5" i="12"/>
  <c r="F5" i="12"/>
  <c r="J4" i="12"/>
  <c r="I4" i="12"/>
  <c r="H4" i="12"/>
  <c r="G4" i="12"/>
  <c r="F4" i="12"/>
  <c r="J3" i="12"/>
  <c r="I3" i="12"/>
  <c r="H3" i="12"/>
  <c r="G3" i="12"/>
  <c r="E3" i="12"/>
  <c r="F3" i="12" s="1"/>
  <c r="G15" i="12" l="1"/>
  <c r="I15" i="12"/>
  <c r="H15" i="12"/>
  <c r="J15" i="12"/>
  <c r="F15" i="12"/>
  <c r="B27" i="1"/>
  <c r="C6" i="1"/>
  <c r="E41" i="1"/>
  <c r="H3" i="1" l="1"/>
  <c r="H4" i="1"/>
  <c r="H5" i="1"/>
  <c r="H6" i="1"/>
  <c r="H7" i="1"/>
  <c r="H8" i="1"/>
  <c r="H9" i="1"/>
  <c r="H10" i="1"/>
  <c r="H19" i="1" s="1"/>
  <c r="H11" i="1"/>
  <c r="H12" i="1"/>
  <c r="H13" i="1"/>
  <c r="H14" i="1"/>
  <c r="H1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 03395</author>
  </authors>
  <commentList>
    <comment ref="E1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WRONG
</t>
        </r>
      </text>
    </comment>
  </commentList>
</comments>
</file>

<file path=xl/sharedStrings.xml><?xml version="1.0" encoding="utf-8"?>
<sst xmlns="http://schemas.openxmlformats.org/spreadsheetml/2006/main" count="534" uniqueCount="370">
  <si>
    <t>Md. Rubel Miah</t>
  </si>
  <si>
    <t>Manager</t>
  </si>
  <si>
    <t>01-JAN-12</t>
  </si>
  <si>
    <t>Quazi Shahtab Hossain</t>
  </si>
  <si>
    <t>01-DEC-97</t>
  </si>
  <si>
    <t>Mr. Parimal Kumar Kundu</t>
  </si>
  <si>
    <t>01-APR-99</t>
  </si>
  <si>
    <t>Md. Kamal Uddin</t>
  </si>
  <si>
    <t>Senior Executive</t>
  </si>
  <si>
    <t>10-SEP-97</t>
  </si>
  <si>
    <t>Md. Jabed Hossain</t>
  </si>
  <si>
    <t>24-JUL-00</t>
  </si>
  <si>
    <t>Mohammad Habibur Rahman</t>
  </si>
  <si>
    <t>01-JUN-05</t>
  </si>
  <si>
    <t>01-MAR-07</t>
  </si>
  <si>
    <t>Mafizur Rahaman</t>
  </si>
  <si>
    <t>02-DEC-07</t>
  </si>
  <si>
    <t>22-MAY-11</t>
  </si>
  <si>
    <t>16-MAR-10</t>
  </si>
  <si>
    <t>Md. Shamsuzzaman</t>
  </si>
  <si>
    <t>20-MAR-11</t>
  </si>
  <si>
    <t>Shuesanquar Kumar Paul</t>
  </si>
  <si>
    <t>Executive</t>
  </si>
  <si>
    <t>27-AUG-12</t>
  </si>
  <si>
    <t>Md. Zahangir Hossain</t>
  </si>
  <si>
    <t>02-MAY-13</t>
  </si>
  <si>
    <t>Md. Saiful Islam</t>
  </si>
  <si>
    <t>Assistant - I</t>
  </si>
  <si>
    <t>09-MAY-12</t>
  </si>
  <si>
    <t>Head of Audit</t>
  </si>
  <si>
    <t>Assist man</t>
  </si>
  <si>
    <t>ID</t>
  </si>
  <si>
    <t>Name</t>
  </si>
  <si>
    <t>Designation</t>
  </si>
  <si>
    <t>Division</t>
  </si>
  <si>
    <t>date</t>
  </si>
  <si>
    <t>Amount</t>
  </si>
  <si>
    <t>Abu Sayed Md. Riton Rouf ORIG</t>
  </si>
  <si>
    <t>Sajib Sarker ORIG</t>
  </si>
  <si>
    <t>Internal Audit</t>
  </si>
  <si>
    <t>Sushanta  Kumar Roy</t>
  </si>
  <si>
    <t>C</t>
  </si>
  <si>
    <t>Date</t>
  </si>
  <si>
    <t>Dif</t>
  </si>
  <si>
    <t>0-30</t>
  </si>
  <si>
    <t>31-60</t>
  </si>
  <si>
    <t>61-90</t>
  </si>
  <si>
    <t>&gt;90</t>
  </si>
  <si>
    <t xml:space="preserve">Customer </t>
  </si>
  <si>
    <t>order no.</t>
  </si>
  <si>
    <t>Outstanding days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</si>
  <si>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</si>
  <si>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</si>
  <si>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</si>
  <si>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</si>
  <si>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</si>
  <si>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</si>
  <si>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</si>
  <si>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</si>
  <si>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</si>
  <si>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</si>
  <si>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</si>
  <si>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</si>
  <si>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Sajib sarker</t>
  </si>
  <si>
    <t>Ma</t>
  </si>
  <si>
    <t>SSC</t>
  </si>
  <si>
    <t>13Y 6M</t>
  </si>
  <si>
    <t>16y 6m</t>
  </si>
  <si>
    <t>SA</t>
  </si>
  <si>
    <t>Jonmobar Friday</t>
  </si>
  <si>
    <t>June, 1984</t>
  </si>
  <si>
    <t>Ajizul's Son</t>
  </si>
  <si>
    <t>Date opf birth</t>
  </si>
  <si>
    <t>Start</t>
  </si>
  <si>
    <t>First nm</t>
  </si>
  <si>
    <t>Correct</t>
  </si>
  <si>
    <t>Sree_Sajib Sarker ORIG</t>
  </si>
  <si>
    <t>SUBSTR IN ORCL</t>
  </si>
  <si>
    <t>SAJIB SARKER DIPTOOO duronto</t>
  </si>
  <si>
    <t>Remarks</t>
  </si>
  <si>
    <t>SL</t>
  </si>
  <si>
    <t>PROD_NM</t>
  </si>
  <si>
    <t>TOTAL</t>
  </si>
  <si>
    <t>A-CLOX 500MG</t>
  </si>
  <si>
    <t>DOXY-A 100MG</t>
  </si>
  <si>
    <t>SEFRIL 500MG</t>
  </si>
  <si>
    <t>V-PLEX</t>
  </si>
  <si>
    <t>A-FLOX 250MG</t>
  </si>
  <si>
    <t>A-FLOX 500MG</t>
  </si>
  <si>
    <t>AZIN 250MG</t>
  </si>
  <si>
    <t>MOXILIN 500MG</t>
  </si>
  <si>
    <t>MAXIMA 20MG</t>
  </si>
  <si>
    <t>FIX-A DS 400MG</t>
  </si>
  <si>
    <t>UROPASS</t>
  </si>
  <si>
    <t>FIX-A 200MG</t>
  </si>
  <si>
    <t>NEUGALIN 50MG</t>
  </si>
  <si>
    <t>NEUGALIN 75MG</t>
  </si>
  <si>
    <t>LOGIBAC 400MG</t>
  </si>
  <si>
    <t>MAXIMA  20MG  (140 PCS)</t>
  </si>
  <si>
    <t>MAXIMA  40MG  (40 PCS)</t>
  </si>
  <si>
    <t>PPI 20MG  (140 PCS)</t>
  </si>
  <si>
    <t>PPI 40MG  (40 PCS)</t>
  </si>
  <si>
    <t>FIX-A DS (14PCS)</t>
  </si>
  <si>
    <t>FIX-A 200MG (14PCS)</t>
  </si>
  <si>
    <t>CLOTRIM 10GM</t>
  </si>
  <si>
    <t>NEOBET 10GM</t>
  </si>
  <si>
    <t>BET-CG 15GM</t>
  </si>
  <si>
    <t>MOXILIN 100ML</t>
  </si>
  <si>
    <t>SEFRIL 100ML</t>
  </si>
  <si>
    <t>A-FLOX 100ML</t>
  </si>
  <si>
    <t>AZIN 15ML</t>
  </si>
  <si>
    <t>FIX-A 37.5ML</t>
  </si>
  <si>
    <t>FIX-A 50ML</t>
  </si>
  <si>
    <t>CP 50ML</t>
  </si>
  <si>
    <t>CIPRO-A 60ML</t>
  </si>
  <si>
    <t>AZIN 30ML</t>
  </si>
  <si>
    <t>AZIN P/S 50ML</t>
  </si>
  <si>
    <t>ALCLOR PAED. DROPS 15ML</t>
  </si>
  <si>
    <t>FIX-A 75ML P/S</t>
  </si>
  <si>
    <t>FIX-A DS 50ML P/S</t>
  </si>
  <si>
    <t>FIX-A 21ML PED. DROPS</t>
  </si>
  <si>
    <t>FAMICLAV  70ML</t>
  </si>
  <si>
    <t>RHINOZOL 0.1% 15ML</t>
  </si>
  <si>
    <t>A-PHENICOL EYE DROPS</t>
  </si>
  <si>
    <t>CIPRO-A EYE DROPS</t>
  </si>
  <si>
    <t>V-PLEX 2ML</t>
  </si>
  <si>
    <t>TRIZON-IV 1G</t>
  </si>
  <si>
    <t>TRIZON-IM 500MG</t>
  </si>
  <si>
    <t>TRIZON IV 2GM</t>
  </si>
  <si>
    <t>PPI IV 40MG</t>
  </si>
  <si>
    <t>FULSPEC 1G IV</t>
  </si>
  <si>
    <t>WINOP 60</t>
  </si>
  <si>
    <t>MAXIMA IV 40MG</t>
  </si>
  <si>
    <t>DIROZYL 60ML</t>
  </si>
  <si>
    <t>HISTALEX 100ML</t>
  </si>
  <si>
    <t>NEOTRAX 30ML</t>
  </si>
  <si>
    <t>NYSTAT DROPS 12ML</t>
  </si>
  <si>
    <t>PHENADRYL 100ML</t>
  </si>
  <si>
    <t>OXECONE-M 200ML</t>
  </si>
  <si>
    <t>SALMOLIN 60ML</t>
  </si>
  <si>
    <t>V-PLEX DROP 15ML</t>
  </si>
  <si>
    <t>ACME'S MILK OF MAG. 114ML</t>
  </si>
  <si>
    <t>V-PLEX SYRUP 100ML</t>
  </si>
  <si>
    <t>V-PLEX SYRUP 200ML</t>
  </si>
  <si>
    <t>OXECONE-S 200ML</t>
  </si>
  <si>
    <t>OXECONE 200ML</t>
  </si>
  <si>
    <t>PROFEN 100ML</t>
  </si>
  <si>
    <t>KETIFEN 100ML</t>
  </si>
  <si>
    <t>FAST 60ML</t>
  </si>
  <si>
    <t>DON-A 60ML</t>
  </si>
  <si>
    <t>NUTRUM JUNIOR 100ML</t>
  </si>
  <si>
    <t>X-COLD 100ML</t>
  </si>
  <si>
    <t>RANIDIN 100ML</t>
  </si>
  <si>
    <t>BEN-A 10ML</t>
  </si>
  <si>
    <t>SALMOLIN-L 60ML</t>
  </si>
  <si>
    <t>OXECONE M S 200ML</t>
  </si>
  <si>
    <t>A-FENAC 50MG</t>
  </si>
  <si>
    <t>CECON 250MG</t>
  </si>
  <si>
    <t>COSIUM 10MG</t>
  </si>
  <si>
    <t>DAOMIN 500MG</t>
  </si>
  <si>
    <t>A-FENAC S.R 100MG</t>
  </si>
  <si>
    <t>MEBOLIN 50MG</t>
  </si>
  <si>
    <t>TENOLOC 50MG</t>
  </si>
  <si>
    <t>ECOSPRIN 75MG</t>
  </si>
  <si>
    <t>CINAZIN 15MG</t>
  </si>
  <si>
    <t>NYSTAT O.T.</t>
  </si>
  <si>
    <t>CIPRO-A  250MG</t>
  </si>
  <si>
    <t>KETIFEN 1.0MG</t>
  </si>
  <si>
    <t>CIPRO-A 500MG</t>
  </si>
  <si>
    <t>A-B1 100MG</t>
  </si>
  <si>
    <t>STERON 0.5MG</t>
  </si>
  <si>
    <t>BEN-A 400MG</t>
  </si>
  <si>
    <t>A-ZYME 325MG</t>
  </si>
  <si>
    <t>A-FENAC-K 50MG</t>
  </si>
  <si>
    <t>FLUCONAL 50MG</t>
  </si>
  <si>
    <t>NAPRO-A 250MG</t>
  </si>
  <si>
    <t>CLARICIN 500MG</t>
  </si>
  <si>
    <t>PIZO-A 0.5MG</t>
  </si>
  <si>
    <t>A-CAL 500MG</t>
  </si>
  <si>
    <t>NAPRO-A 500MG</t>
  </si>
  <si>
    <t>TENIL 3MG</t>
  </si>
  <si>
    <t>DON-A  10MG</t>
  </si>
  <si>
    <t>EDEMIDE</t>
  </si>
  <si>
    <t>FAST 500MG</t>
  </si>
  <si>
    <t>LEANXIT</t>
  </si>
  <si>
    <t>NUTRUM PN</t>
  </si>
  <si>
    <t>LEO 500MG</t>
  </si>
  <si>
    <t>NUTRUM GOLD</t>
  </si>
  <si>
    <t>NUTRUM 50+</t>
  </si>
  <si>
    <t>GLICLID</t>
  </si>
  <si>
    <t>FLUCONAL 150MG</t>
  </si>
  <si>
    <t>FAST PLUS</t>
  </si>
  <si>
    <t>ULIV 300MG</t>
  </si>
  <si>
    <t>FAMICEF 250MG</t>
  </si>
  <si>
    <t>WINOP 10MG</t>
  </si>
  <si>
    <t>LEPTIC 0.5MG</t>
  </si>
  <si>
    <t>LEPTIC 2MG</t>
  </si>
  <si>
    <t>LOSART PLUS</t>
  </si>
  <si>
    <t>APITAC 100MG</t>
  </si>
  <si>
    <t>TINIUM 50MG</t>
  </si>
  <si>
    <t>A-CALM 50MG</t>
  </si>
  <si>
    <t>FAMICEF 500MG</t>
  </si>
  <si>
    <t>TRACID 500MG (PS-20)</t>
  </si>
  <si>
    <t>MONAS 4MG (PS-30)</t>
  </si>
  <si>
    <t>MONAS 5MG (PS-30)</t>
  </si>
  <si>
    <t>NUTRUM GOLD (PS 15)</t>
  </si>
  <si>
    <t>ZERO 8MG</t>
  </si>
  <si>
    <t>ZERO TAB. (CONTAINER)</t>
  </si>
  <si>
    <t>A-CAL D 15 PCS</t>
  </si>
  <si>
    <t>A-CAL D 30PCS TAB.</t>
  </si>
  <si>
    <t>RANIDIN 150MG (PS-150)</t>
  </si>
  <si>
    <t>PROTOCID 20</t>
  </si>
  <si>
    <t>SETORIB 90</t>
  </si>
  <si>
    <t>RABIZOL 20MG</t>
  </si>
  <si>
    <t>ECOSPRIN PLUS TABLET 30PCS</t>
  </si>
  <si>
    <t>ROSTAB 10MG</t>
  </si>
  <si>
    <t>JANVIA 50</t>
  </si>
  <si>
    <t>FLUZIN 10MG</t>
  </si>
  <si>
    <t>BETABIS 2.5MG</t>
  </si>
  <si>
    <t>BETABIS 5MG</t>
  </si>
  <si>
    <t>LIPTOR 10MG (30PCS)</t>
  </si>
  <si>
    <t>FLUZIN 5MG</t>
  </si>
  <si>
    <t>FAST XR</t>
  </si>
  <si>
    <t>FASTDOL</t>
  </si>
  <si>
    <t>NAPRO-A PLUS 375</t>
  </si>
  <si>
    <t>NAPRO-A PLUS 500</t>
  </si>
  <si>
    <t>ALANIL 120MG</t>
  </si>
  <si>
    <t>VILDAPIN 50</t>
  </si>
  <si>
    <t>VILDAPIN PLUS 500</t>
  </si>
  <si>
    <t>VILDAPIN PLUS 850</t>
  </si>
  <si>
    <t>AMLOPIN 5MG (PS-50)</t>
  </si>
  <si>
    <t>ARTH-A 50PCS</t>
  </si>
  <si>
    <t>ROSTAB 5MG</t>
  </si>
  <si>
    <t>ORBAPIN 5/20</t>
  </si>
  <si>
    <t>MARIPRIST</t>
  </si>
  <si>
    <t>A-CAL DX TABLET</t>
  </si>
  <si>
    <t>ARTH-A MAX</t>
  </si>
  <si>
    <t>LOSART 50 (50 PCS)</t>
  </si>
  <si>
    <t>AMLOTEN 50 (50 PCS)</t>
  </si>
  <si>
    <t>MONAS 10 (30 PCS)</t>
  </si>
  <si>
    <t>AZIN 500 (12 PCS)</t>
  </si>
  <si>
    <t>LINO 5MG</t>
  </si>
  <si>
    <t>LIMBIX</t>
  </si>
  <si>
    <t>JANMET 500 (30PCS)</t>
  </si>
  <si>
    <t>JANMET 1000 (20 PCS)</t>
  </si>
  <si>
    <t>TPC (5X10'S)</t>
  </si>
  <si>
    <t>DUOCARD 5MG</t>
  </si>
  <si>
    <t>DUOCARD 10MG</t>
  </si>
  <si>
    <t>O-CAL 740MG</t>
  </si>
  <si>
    <t>CORALEX</t>
  </si>
  <si>
    <t>FAMICLAV 250MG (14 PCS)</t>
  </si>
  <si>
    <t>FAMICLAV 500MG (14 PCS)</t>
  </si>
  <si>
    <t>LINO-M 500MG</t>
  </si>
  <si>
    <t>O-CAL KIT</t>
  </si>
  <si>
    <t>FAST PLUS (200 PCS)</t>
  </si>
  <si>
    <t>ACME'S ORS</t>
  </si>
  <si>
    <t>SALFLU 100 ROTACAP(BLISTER)</t>
  </si>
  <si>
    <t>SALFLU 250 ROTACAP (BLS)</t>
  </si>
  <si>
    <t>SALFLU 500 ROTACAP (BLS)</t>
  </si>
  <si>
    <t>SALMOLIN 200 ROTACAP (BLS.)</t>
  </si>
  <si>
    <t>TOPIUM ROTACAP (BLS)</t>
  </si>
  <si>
    <t>EASYHALER DEVICE</t>
  </si>
  <si>
    <t>A-FENAC 12.5MG</t>
  </si>
  <si>
    <t>SALMOLIN MDI (H F A)</t>
  </si>
  <si>
    <t>SALFLU 25/250 (H F A)</t>
  </si>
  <si>
    <t>A-MIGEL 15GM</t>
  </si>
  <si>
    <t>ACME'S CHOLERA SALINE 1000ML</t>
  </si>
  <si>
    <t>ACME'S DEXTROSE 5% 500ML</t>
  </si>
  <si>
    <t>ACME'S DEXTROSE 5% 1000ML</t>
  </si>
  <si>
    <t>ACME'S HARTMAN SOLUTION 1000ML</t>
  </si>
  <si>
    <t>ACME'S NORMAL SALINE 1000ML</t>
  </si>
  <si>
    <t>ACME'S DEXTROSE-N SALINE 500ML</t>
  </si>
  <si>
    <t>ACME'S DEXTROSE-N SALINE1000ML</t>
  </si>
  <si>
    <t>HEPATOLIN 200ML</t>
  </si>
  <si>
    <t>ACME'S BASOK 100ML</t>
  </si>
  <si>
    <t>ACMINA 200ML</t>
  </si>
  <si>
    <t>AMLACID 200ML</t>
  </si>
  <si>
    <t>SANTONIC 450ML</t>
  </si>
  <si>
    <t>AMLACID 450ML</t>
  </si>
  <si>
    <t>LECOSAV 200ML</t>
  </si>
  <si>
    <t>HONEYBAS SYRUP 100ML</t>
  </si>
  <si>
    <t>P_CODE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</si>
  <si>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</si>
  <si>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</si>
  <si>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</si>
  <si>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</si>
  <si>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</si>
  <si>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</si>
  <si>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</si>
  <si>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</si>
  <si>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</si>
  <si>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</si>
  <si>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</si>
  <si>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</si>
  <si>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Above</t>
  </si>
  <si>
    <t>=IF(OR(AND(B7&gt;0,B7&lt;=1500000),AND(B7&gt;1500000,B7&lt;=2500000),AND(B7&gt;2500000,B7&lt;=10000000),AND(B7&gt;10000000,B7&lt;=50000000),AND(B7&gt;50000000,B7&lt;=100000000),(B7&gt;100000000)),IF(AND(B7&gt;0,B7&lt;=1500000),2%,IF(AND(B7&gt;1500000,B7&lt;=2500000),3%,IF(AND(B7&gt;2500000,B7&lt;=10000000),4%,IF(AND(B7&gt;10000000,B7&lt;=50000000),5%,IF(AND(B7&gt;50000000,B7&lt;=100000000),6%,IF(B7&gt;100000000,7%)))))),IF(AND(B7&gt;0,B7&lt;=1500000),0,IF(AND(B7&gt;1500000,B7&lt;=2500000),0,IF(AND(B7&gt;2500000,B7&lt;=10000000),0,IF(AND(B7&gt;10000000,B7&lt;=50000000),0,IF(AND(B7&gt;50000000,B7&lt;=100000000),0,IF(B7&gt;100000000,0)))))))</t>
  </si>
  <si>
    <t xml:space="preserve">Party Name: </t>
  </si>
  <si>
    <t>Shahabulla Travell Bag</t>
  </si>
  <si>
    <t>Address:</t>
  </si>
  <si>
    <t>Ramna</t>
  </si>
  <si>
    <t>Financial Year:</t>
  </si>
  <si>
    <t>2017-2018</t>
  </si>
  <si>
    <t>Nature of Job:</t>
  </si>
  <si>
    <t>Supply of Travelling Kit</t>
  </si>
  <si>
    <t>Payment Gross</t>
  </si>
  <si>
    <t>VAT @</t>
  </si>
  <si>
    <t>Payment after VAT</t>
  </si>
  <si>
    <t>Cumulative Payment (Base Value)</t>
  </si>
  <si>
    <t>Tax Rate as per 
Base Value</t>
  </si>
  <si>
    <t>Tax Cumulative</t>
  </si>
  <si>
    <t>Tax Already Deducted</t>
  </si>
  <si>
    <t>Tax Ded. from Present Bill</t>
  </si>
  <si>
    <t>Net Payment after TAX&amp;VAT</t>
  </si>
  <si>
    <t>As per ACME</t>
  </si>
  <si>
    <t>Base Value will be higher one among Contract price, Bill and Payment.</t>
  </si>
  <si>
    <t>TDS rate will be as per base value.</t>
  </si>
  <si>
    <t>Slab and Tax Rate</t>
  </si>
  <si>
    <t>Sajib's Ashwein maser Ostomir din 5 days old .</t>
  </si>
  <si>
    <t>Actual Birth Date:</t>
  </si>
  <si>
    <t>As pr Certificate :</t>
  </si>
  <si>
    <t>NYetDue</t>
  </si>
  <si>
    <t>Slab amount</t>
  </si>
  <si>
    <t>Calculation amount</t>
  </si>
  <si>
    <t>NYD</t>
  </si>
  <si>
    <t>91-180</t>
  </si>
  <si>
    <t>&gt;180</t>
  </si>
  <si>
    <t>Are you a parent/legal guardian of a person wih disability?</t>
  </si>
  <si>
    <t>No</t>
  </si>
  <si>
    <t>If you are a parent of a person with disability, has your spouse availed the extended tax exemption threshold?</t>
  </si>
  <si>
    <t>Up to First</t>
  </si>
  <si>
    <t>Nil</t>
  </si>
  <si>
    <t>Next</t>
  </si>
  <si>
    <t>Remaining</t>
  </si>
  <si>
    <t>Female</t>
  </si>
  <si>
    <t>TYPE</t>
  </si>
  <si>
    <t>Taxable Income</t>
  </si>
  <si>
    <t>rony</t>
  </si>
  <si>
    <t>Sajib Sarker ORIG man</t>
  </si>
  <si>
    <t>SS</t>
  </si>
  <si>
    <t>ZZZZZZZ</t>
  </si>
  <si>
    <t>03395    SAJIB SARKER</t>
  </si>
  <si>
    <t>0768Sajib Sarker Dew</t>
  </si>
  <si>
    <t>383413907257</t>
  </si>
  <si>
    <t xml:space="preserve">       345 Sajib 354        </t>
  </si>
  <si>
    <t>sssss sasdf</t>
  </si>
  <si>
    <t>12345678909922      Rocky Set</t>
  </si>
  <si>
    <t>ddd FF</t>
  </si>
  <si>
    <t>Item</t>
  </si>
  <si>
    <t>Cost</t>
  </si>
  <si>
    <t>Brakes</t>
  </si>
  <si>
    <t>Tyres</t>
  </si>
  <si>
    <t>Service</t>
  </si>
  <si>
    <t>Window</t>
  </si>
  <si>
    <t>Clutch</t>
  </si>
  <si>
    <t>Total cost of all Brakes bought.</t>
  </si>
  <si>
    <t xml:space="preserve"> =SUMIF(C4:C12,"Brakes",E4:E12)</t>
  </si>
  <si>
    <t>Total cost of all Tyres bought.</t>
  </si>
  <si>
    <t xml:space="preserve"> =SUMIF(C4:C12,"Tyres",E4:E12)</t>
  </si>
  <si>
    <t>Total of items costing £100 or above.</t>
  </si>
  <si>
    <t xml:space="preserve"> =SUMIF(E4:E12,"&gt;=100")</t>
  </si>
  <si>
    <t>Total of item typed in following cell.</t>
  </si>
  <si>
    <t>service</t>
  </si>
  <si>
    <t xml:space="preserve"> =SUMIF(C4:C12,E18,E4:E12)</t>
  </si>
  <si>
    <t>Abu</t>
  </si>
  <si>
    <t>Sayed</t>
  </si>
  <si>
    <t>Md.</t>
  </si>
  <si>
    <t>Riton</t>
  </si>
  <si>
    <t>Rouf</t>
  </si>
  <si>
    <t>ORIG</t>
  </si>
  <si>
    <t>TEXT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</si>
</sst>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82C]dd\ mmmm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omic Sans MS"/>
      <family val="4"/>
    </font>
    <font>
      <u/>
      <sz val="10"/>
      <color theme="1"/>
      <name val="Comic Sans MS"/>
      <family val="4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6" tint="-0.49998474074526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u/>
      <sz val="10"/>
      <color theme="1"/>
      <name val="Comic Sans MS"/>
      <family val="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Tahoma"/>
      <family val="2"/>
    </font>
    <font>
      <sz val="7.5"/>
      <color theme="1"/>
      <name val="Tahom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2" fillId="2" borderId="0" applyNumberFormat="0" applyFont="0" applyBorder="0" applyAlignment="0" applyProtection="0"/>
    <xf numFmtId="0" fontId="20" fillId="0" borderId="0"/>
    <xf numFmtId="0" fontId="20" fillId="0" borderId="0"/>
    <xf numFmtId="9" fontId="6" fillId="0" borderId="0" applyFont="0" applyFill="0" applyBorder="0" applyAlignment="0" applyProtection="0"/>
    <xf numFmtId="0" fontId="12" fillId="6" borderId="0" applyNumberFormat="0" applyFont="0" applyBorder="0" applyAlignment="0" applyProtection="0"/>
  </cellStyleXfs>
  <cellXfs count="158">
    <xf numFmtId="0" fontId="0" fillId="0" borderId="0" xfId="0"/>
    <xf numFmtId="0" fontId="2" fillId="0" borderId="0" xfId="0" applyFont="1"/>
    <xf numFmtId="1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NumberFormat="1" applyFont="1"/>
    <xf numFmtId="0" fontId="1" fillId="0" borderId="0" xfId="2" applyAlignment="1">
      <alignment horizontal="center" vertical="center"/>
    </xf>
    <xf numFmtId="0" fontId="1" fillId="0" borderId="0" xfId="2" applyAlignment="1">
      <alignment horizontal="left" vertical="center"/>
    </xf>
    <xf numFmtId="0" fontId="13" fillId="2" borderId="2" xfId="4" applyFont="1" applyBorder="1" applyProtection="1">
      <protection locked="0"/>
    </xf>
    <xf numFmtId="0" fontId="1" fillId="0" borderId="0" xfId="2" applyBorder="1" applyAlignment="1">
      <alignment horizontal="left" vertical="center"/>
    </xf>
    <xf numFmtId="15" fontId="14" fillId="2" borderId="2" xfId="4" applyNumberFormat="1" applyFont="1" applyBorder="1" applyProtection="1">
      <protection locked="0"/>
    </xf>
    <xf numFmtId="0" fontId="1" fillId="0" borderId="3" xfId="2" applyBorder="1" applyAlignment="1">
      <alignment horizontal="left" vertical="center"/>
    </xf>
    <xf numFmtId="0" fontId="1" fillId="0" borderId="4" xfId="2" applyBorder="1" applyAlignment="1">
      <alignment horizontal="left" vertical="center"/>
    </xf>
    <xf numFmtId="0" fontId="1" fillId="0" borderId="5" xfId="2" applyBorder="1" applyAlignment="1">
      <alignment horizontal="left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left" vertical="center"/>
    </xf>
    <xf numFmtId="0" fontId="1" fillId="0" borderId="6" xfId="2" applyBorder="1" applyProtection="1">
      <protection locked="0"/>
    </xf>
    <xf numFmtId="0" fontId="1" fillId="0" borderId="0" xfId="2" applyBorder="1" applyProtection="1">
      <protection locked="0"/>
    </xf>
    <xf numFmtId="15" fontId="1" fillId="0" borderId="0" xfId="2" applyNumberFormat="1" applyBorder="1" applyAlignment="1">
      <alignment horizontal="left" vertical="center"/>
    </xf>
    <xf numFmtId="0" fontId="1" fillId="0" borderId="8" xfId="2" applyBorder="1" applyAlignment="1">
      <alignment horizontal="left" vertical="center"/>
    </xf>
    <xf numFmtId="0" fontId="1" fillId="0" borderId="9" xfId="2" applyBorder="1" applyAlignment="1">
      <alignment horizontal="left" vertical="center"/>
    </xf>
    <xf numFmtId="0" fontId="1" fillId="0" borderId="9" xfId="2" applyBorder="1" applyProtection="1">
      <protection locked="0"/>
    </xf>
    <xf numFmtId="166" fontId="1" fillId="0" borderId="9" xfId="2" applyNumberFormat="1" applyBorder="1" applyAlignment="1">
      <alignment horizontal="left" vertical="center"/>
    </xf>
    <xf numFmtId="0" fontId="1" fillId="0" borderId="10" xfId="2" applyBorder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9" fontId="0" fillId="0" borderId="0" xfId="0" applyNumberFormat="1"/>
    <xf numFmtId="0" fontId="9" fillId="0" borderId="0" xfId="2" applyFont="1" applyFill="1"/>
    <xf numFmtId="0" fontId="10" fillId="0" borderId="0" xfId="2" applyFont="1" applyFill="1" applyAlignment="1">
      <alignment horizontal="center"/>
    </xf>
    <xf numFmtId="165" fontId="9" fillId="0" borderId="0" xfId="3" applyNumberFormat="1" applyFont="1" applyFill="1"/>
    <xf numFmtId="0" fontId="1" fillId="0" borderId="0" xfId="2" applyFill="1"/>
    <xf numFmtId="14" fontId="1" fillId="0" borderId="0" xfId="2" applyNumberFormat="1" applyFill="1"/>
    <xf numFmtId="165" fontId="0" fillId="0" borderId="0" xfId="3" applyNumberFormat="1" applyFont="1" applyFill="1"/>
    <xf numFmtId="14" fontId="11" fillId="0" borderId="0" xfId="2" applyNumberFormat="1" applyFont="1" applyFill="1"/>
    <xf numFmtId="165" fontId="8" fillId="0" borderId="0" xfId="3" applyNumberFormat="1" applyFont="1" applyFill="1"/>
    <xf numFmtId="0" fontId="8" fillId="0" borderId="0" xfId="2" applyFont="1" applyFill="1"/>
    <xf numFmtId="165" fontId="0" fillId="0" borderId="0" xfId="1" applyNumberFormat="1" applyFont="1"/>
    <xf numFmtId="165" fontId="7" fillId="0" borderId="11" xfId="1" applyNumberFormat="1" applyFont="1" applyBorder="1"/>
    <xf numFmtId="165" fontId="7" fillId="0" borderId="12" xfId="1" applyNumberFormat="1" applyFont="1" applyBorder="1"/>
    <xf numFmtId="165" fontId="7" fillId="0" borderId="13" xfId="1" applyNumberFormat="1" applyFont="1" applyBorder="1"/>
    <xf numFmtId="0" fontId="15" fillId="0" borderId="0" xfId="2" applyFont="1" applyFill="1"/>
    <xf numFmtId="165" fontId="8" fillId="0" borderId="1" xfId="3" applyNumberFormat="1" applyFont="1" applyFill="1" applyBorder="1"/>
    <xf numFmtId="0" fontId="16" fillId="0" borderId="0" xfId="0" applyFont="1"/>
    <xf numFmtId="0" fontId="0" fillId="0" borderId="0" xfId="0" applyAlignment="1">
      <alignment horizontal="left" vertical="center"/>
    </xf>
    <xf numFmtId="15" fontId="0" fillId="0" borderId="0" xfId="0" applyNumberFormat="1" applyFont="1"/>
    <xf numFmtId="4" fontId="0" fillId="0" borderId="0" xfId="0" applyNumberFormat="1"/>
    <xf numFmtId="4" fontId="16" fillId="0" borderId="1" xfId="0" applyNumberFormat="1" applyFont="1" applyBorder="1"/>
    <xf numFmtId="4" fontId="2" fillId="0" borderId="2" xfId="0" applyNumberFormat="1" applyFont="1" applyBorder="1" applyProtection="1">
      <protection hidden="1"/>
    </xf>
    <xf numFmtId="0" fontId="17" fillId="0" borderId="2" xfId="0" applyFont="1" applyBorder="1" applyAlignment="1" applyProtection="1">
      <alignment horizontal="center" wrapText="1"/>
      <protection hidden="1"/>
    </xf>
    <xf numFmtId="0" fontId="17" fillId="0" borderId="2" xfId="0" applyFont="1" applyBorder="1" applyAlignment="1" applyProtection="1">
      <alignment horizontal="left" vertical="center" wrapText="1"/>
      <protection hidden="1"/>
    </xf>
    <xf numFmtId="15" fontId="17" fillId="0" borderId="2" xfId="0" applyNumberFormat="1" applyFont="1" applyBorder="1" applyAlignment="1" applyProtection="1">
      <alignment horizontal="center" wrapText="1"/>
      <protection hidden="1"/>
    </xf>
    <xf numFmtId="4" fontId="17" fillId="0" borderId="2" xfId="0" applyNumberFormat="1" applyFont="1" applyBorder="1" applyAlignment="1" applyProtection="1">
      <alignment horizontal="center" wrapText="1"/>
      <protection hidden="1"/>
    </xf>
    <xf numFmtId="1" fontId="3" fillId="0" borderId="2" xfId="0" applyNumberFormat="1" applyFont="1" applyBorder="1" applyAlignment="1" applyProtection="1">
      <alignment horizontal="left" wrapText="1"/>
      <protection hidden="1"/>
    </xf>
    <xf numFmtId="49" fontId="3" fillId="0" borderId="2" xfId="0" applyNumberFormat="1" applyFont="1" applyBorder="1" applyAlignment="1" applyProtection="1">
      <alignment horizontal="left" vertical="center" wrapText="1"/>
      <protection hidden="1"/>
    </xf>
    <xf numFmtId="0" fontId="2" fillId="0" borderId="2" xfId="0" applyFont="1" applyBorder="1" applyProtection="1">
      <protection hidden="1"/>
    </xf>
    <xf numFmtId="49" fontId="3" fillId="0" borderId="2" xfId="0" applyNumberFormat="1" applyFont="1" applyBorder="1" applyAlignment="1" applyProtection="1">
      <alignment horizontal="left" wrapText="1"/>
      <protection hidden="1"/>
    </xf>
    <xf numFmtId="15" fontId="3" fillId="0" borderId="2" xfId="0" applyNumberFormat="1" applyFont="1" applyBorder="1" applyAlignment="1" applyProtection="1">
      <alignment horizontal="left" wrapText="1"/>
      <protection hidden="1"/>
    </xf>
    <xf numFmtId="3" fontId="3" fillId="0" borderId="2" xfId="0" applyNumberFormat="1" applyFont="1" applyBorder="1" applyAlignment="1" applyProtection="1">
      <alignment horizontal="left" wrapText="1"/>
      <protection hidden="1"/>
    </xf>
    <xf numFmtId="9" fontId="7" fillId="0" borderId="0" xfId="1" applyNumberFormat="1" applyFont="1" applyAlignment="1">
      <alignment horizontal="center" vertical="center"/>
    </xf>
    <xf numFmtId="165" fontId="16" fillId="0" borderId="1" xfId="1" applyNumberFormat="1" applyFont="1" applyBorder="1"/>
    <xf numFmtId="9" fontId="0" fillId="0" borderId="0" xfId="1" applyNumberFormat="1" applyFont="1"/>
    <xf numFmtId="3" fontId="0" fillId="0" borderId="0" xfId="0" applyNumberFormat="1"/>
    <xf numFmtId="4" fontId="17" fillId="0" borderId="0" xfId="0" applyNumberFormat="1" applyFont="1" applyBorder="1" applyAlignment="1" applyProtection="1">
      <alignment horizontal="center" wrapText="1"/>
      <protection hidden="1"/>
    </xf>
    <xf numFmtId="4" fontId="2" fillId="0" borderId="0" xfId="0" applyNumberFormat="1" applyFont="1" applyBorder="1" applyProtection="1">
      <protection hidden="1"/>
    </xf>
    <xf numFmtId="4" fontId="16" fillId="0" borderId="0" xfId="0" applyNumberFormat="1" applyFont="1" applyBorder="1"/>
    <xf numFmtId="165" fontId="16" fillId="0" borderId="0" xfId="1" applyNumberFormat="1" applyFont="1"/>
    <xf numFmtId="0" fontId="21" fillId="0" borderId="0" xfId="5" applyFont="1" applyFill="1" applyAlignment="1">
      <alignment horizontal="center" vertical="center"/>
    </xf>
    <xf numFmtId="0" fontId="20" fillId="0" borderId="0" xfId="5" applyFill="1" applyBorder="1"/>
    <xf numFmtId="0" fontId="20" fillId="0" borderId="0" xfId="5" applyFill="1" applyBorder="1" applyAlignment="1">
      <alignment horizontal="center" vertical="center"/>
    </xf>
    <xf numFmtId="0" fontId="20" fillId="0" borderId="0" xfId="5" applyFont="1" applyFill="1" applyBorder="1" applyAlignment="1">
      <alignment horizontal="center" vertical="center"/>
    </xf>
    <xf numFmtId="0" fontId="20" fillId="0" borderId="0" xfId="5" applyFont="1" applyFill="1" applyBorder="1"/>
    <xf numFmtId="164" fontId="20" fillId="0" borderId="0" xfId="6" applyNumberFormat="1" applyFill="1" applyBorder="1"/>
    <xf numFmtId="164" fontId="20" fillId="0" borderId="0" xfId="6" applyNumberFormat="1" applyFill="1"/>
    <xf numFmtId="0" fontId="20" fillId="0" borderId="11" xfId="5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2" fillId="3" borderId="0" xfId="0" applyFont="1" applyFill="1"/>
    <xf numFmtId="0" fontId="0" fillId="0" borderId="0" xfId="0" applyFill="1"/>
    <xf numFmtId="0" fontId="22" fillId="0" borderId="0" xfId="0" applyFont="1" applyFill="1"/>
    <xf numFmtId="165" fontId="0" fillId="0" borderId="0" xfId="1" applyNumberFormat="1" applyFont="1" applyFill="1"/>
    <xf numFmtId="9" fontId="0" fillId="0" borderId="0" xfId="0" applyNumberFormat="1" applyFill="1"/>
    <xf numFmtId="165" fontId="22" fillId="3" borderId="0" xfId="1" applyNumberFormat="1" applyFont="1" applyFill="1"/>
    <xf numFmtId="0" fontId="22" fillId="4" borderId="0" xfId="0" applyFont="1" applyFill="1"/>
    <xf numFmtId="0" fontId="0" fillId="3" borderId="0" xfId="0" applyFill="1"/>
    <xf numFmtId="9" fontId="0" fillId="0" borderId="0" xfId="0" quotePrefix="1" applyNumberFormat="1" applyAlignment="1">
      <alignment horizontal="left"/>
    </xf>
    <xf numFmtId="9" fontId="0" fillId="0" borderId="22" xfId="0" applyNumberFormat="1" applyBorder="1" applyAlignment="1">
      <alignment horizontal="center" vertical="center" wrapText="1"/>
    </xf>
    <xf numFmtId="14" fontId="0" fillId="0" borderId="22" xfId="0" applyNumberFormat="1" applyBorder="1"/>
    <xf numFmtId="165" fontId="0" fillId="0" borderId="22" xfId="1" applyNumberFormat="1" applyFont="1" applyBorder="1"/>
    <xf numFmtId="9" fontId="0" fillId="0" borderId="22" xfId="1" applyNumberFormat="1" applyFont="1" applyBorder="1" applyAlignment="1">
      <alignment horizontal="center"/>
    </xf>
    <xf numFmtId="0" fontId="0" fillId="0" borderId="22" xfId="0" applyBorder="1"/>
    <xf numFmtId="165" fontId="0" fillId="0" borderId="0" xfId="1" applyNumberFormat="1" applyFont="1" applyAlignment="1">
      <alignment horizontal="center"/>
    </xf>
    <xf numFmtId="0" fontId="0" fillId="0" borderId="0" xfId="0" applyBorder="1"/>
    <xf numFmtId="165" fontId="23" fillId="0" borderId="2" xfId="1" applyNumberFormat="1" applyFont="1" applyBorder="1"/>
    <xf numFmtId="9" fontId="23" fillId="0" borderId="2" xfId="0" applyNumberFormat="1" applyFont="1" applyBorder="1" applyAlignment="1">
      <alignment horizontal="center" vertical="center"/>
    </xf>
    <xf numFmtId="9" fontId="0" fillId="0" borderId="0" xfId="0" applyNumberFormat="1" applyBorder="1"/>
    <xf numFmtId="0" fontId="23" fillId="0" borderId="2" xfId="0" applyFont="1" applyBorder="1"/>
    <xf numFmtId="0" fontId="16" fillId="0" borderId="0" xfId="0" applyFont="1" applyBorder="1"/>
    <xf numFmtId="165" fontId="6" fillId="0" borderId="0" xfId="1" applyNumberFormat="1" applyFont="1"/>
    <xf numFmtId="0" fontId="0" fillId="0" borderId="0" xfId="0" applyAlignment="1">
      <alignment horizontal="center" vertical="center"/>
    </xf>
    <xf numFmtId="165" fontId="6" fillId="0" borderId="0" xfId="0" applyNumberFormat="1" applyFont="1"/>
    <xf numFmtId="0" fontId="8" fillId="0" borderId="0" xfId="2" applyFont="1" applyAlignment="1">
      <alignment horizontal="left" vertical="center"/>
    </xf>
    <xf numFmtId="14" fontId="1" fillId="0" borderId="0" xfId="2" applyNumberFormat="1" applyAlignment="1">
      <alignment horizontal="center" vertical="center"/>
    </xf>
    <xf numFmtId="14" fontId="1" fillId="0" borderId="0" xfId="2" applyNumberFormat="1" applyAlignment="1">
      <alignment horizontal="left" vertical="center"/>
    </xf>
    <xf numFmtId="0" fontId="1" fillId="0" borderId="0" xfId="2" quotePrefix="1" applyAlignment="1">
      <alignment horizontal="left" vertical="center"/>
    </xf>
    <xf numFmtId="0" fontId="1" fillId="0" borderId="0" xfId="2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14" fontId="8" fillId="0" borderId="0" xfId="2" applyNumberFormat="1" applyFont="1" applyFill="1" applyAlignment="1">
      <alignment horizontal="center" vertical="center"/>
    </xf>
    <xf numFmtId="165" fontId="16" fillId="0" borderId="1" xfId="3" applyNumberFormat="1" applyFont="1" applyFill="1" applyBorder="1"/>
    <xf numFmtId="164" fontId="24" fillId="0" borderId="0" xfId="1" applyNumberFormat="1" applyFont="1" applyFill="1" applyBorder="1"/>
    <xf numFmtId="164" fontId="24" fillId="0" borderId="0" xfId="1" applyNumberFormat="1" applyFont="1" applyFill="1" applyBorder="1" applyAlignment="1">
      <alignment horizontal="right"/>
    </xf>
    <xf numFmtId="164" fontId="24" fillId="0" borderId="0" xfId="1" applyNumberFormat="1" applyFont="1" applyFill="1" applyBorder="1" applyAlignment="1">
      <alignment horizontal="center"/>
    </xf>
    <xf numFmtId="164" fontId="24" fillId="0" borderId="27" xfId="1" applyNumberFormat="1" applyFont="1" applyFill="1" applyBorder="1" applyAlignment="1">
      <alignment horizontal="center"/>
    </xf>
    <xf numFmtId="9" fontId="24" fillId="0" borderId="0" xfId="7" applyFont="1" applyFill="1" applyBorder="1" applyAlignment="1">
      <alignment horizontal="center"/>
    </xf>
    <xf numFmtId="164" fontId="24" fillId="0" borderId="27" xfId="1" applyNumberFormat="1" applyFont="1" applyFill="1" applyBorder="1"/>
    <xf numFmtId="9" fontId="24" fillId="0" borderId="28" xfId="7" applyFont="1" applyFill="1" applyBorder="1" applyAlignment="1">
      <alignment horizontal="center"/>
    </xf>
    <xf numFmtId="164" fontId="24" fillId="0" borderId="29" xfId="1" applyNumberFormat="1" applyFont="1" applyFill="1" applyBorder="1"/>
    <xf numFmtId="164" fontId="26" fillId="0" borderId="30" xfId="1" applyNumberFormat="1" applyFont="1" applyFill="1" applyBorder="1"/>
    <xf numFmtId="9" fontId="0" fillId="0" borderId="0" xfId="1" applyNumberFormat="1" applyFont="1" applyFill="1"/>
    <xf numFmtId="164" fontId="26" fillId="0" borderId="31" xfId="1" applyNumberFormat="1" applyFont="1" applyFill="1" applyBorder="1" applyAlignment="1" applyProtection="1">
      <alignment horizontal="center"/>
      <protection locked="0"/>
    </xf>
    <xf numFmtId="164" fontId="26" fillId="0" borderId="26" xfId="1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Fill="1" applyBorder="1"/>
    <xf numFmtId="164" fontId="4" fillId="0" borderId="0" xfId="1" applyFont="1" applyAlignment="1">
      <alignment horizontal="center" wrapText="1"/>
    </xf>
    <xf numFmtId="164" fontId="2" fillId="0" borderId="0" xfId="1" applyFont="1"/>
    <xf numFmtId="164" fontId="0" fillId="0" borderId="0" xfId="1" applyFont="1"/>
    <xf numFmtId="0" fontId="0" fillId="5" borderId="0" xfId="0" applyFill="1"/>
    <xf numFmtId="0" fontId="28" fillId="0" borderId="0" xfId="0" applyFont="1"/>
    <xf numFmtId="0" fontId="0" fillId="0" borderId="0" xfId="0" quotePrefix="1"/>
    <xf numFmtId="0" fontId="0" fillId="0" borderId="2" xfId="0" applyFill="1" applyBorder="1"/>
    <xf numFmtId="0" fontId="0" fillId="0" borderId="0" xfId="0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5" borderId="0" xfId="0" applyFill="1" applyAlignment="1">
      <alignment horizontal="left"/>
    </xf>
    <xf numFmtId="0" fontId="0" fillId="0" borderId="0" xfId="0" applyProtection="1">
      <protection locked="0"/>
    </xf>
    <xf numFmtId="0" fontId="12" fillId="6" borderId="2" xfId="8" applyBorder="1" applyAlignment="1" applyProtection="1">
      <alignment horizontal="center"/>
      <protection locked="0"/>
    </xf>
    <xf numFmtId="0" fontId="14" fillId="2" borderId="2" xfId="4" applyFont="1" applyBorder="1" applyAlignment="1" applyProtection="1">
      <alignment horizontal="center"/>
      <protection locked="0"/>
    </xf>
    <xf numFmtId="15" fontId="14" fillId="2" borderId="2" xfId="4" applyNumberFormat="1" applyFont="1" applyBorder="1" applyAlignment="1" applyProtection="1">
      <alignment horizontal="center"/>
      <protection locked="0"/>
    </xf>
    <xf numFmtId="0" fontId="12" fillId="6" borderId="15" xfId="8" applyBorder="1" applyProtection="1">
      <protection locked="0"/>
    </xf>
    <xf numFmtId="0" fontId="12" fillId="6" borderId="32" xfId="8" applyBorder="1" applyProtection="1">
      <protection locked="0"/>
    </xf>
    <xf numFmtId="0" fontId="12" fillId="6" borderId="14" xfId="8" applyBorder="1" applyProtection="1">
      <protection locked="0"/>
    </xf>
    <xf numFmtId="0" fontId="13" fillId="2" borderId="2" xfId="4" applyFont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2" fillId="6" borderId="15" xfId="8" applyFont="1" applyBorder="1" applyProtection="1">
      <protection locked="0"/>
    </xf>
    <xf numFmtId="164" fontId="25" fillId="0" borderId="23" xfId="1" applyNumberFormat="1" applyFont="1" applyFill="1" applyBorder="1" applyAlignment="1">
      <alignment horizontal="justify" vertical="center" wrapText="1"/>
    </xf>
    <xf numFmtId="164" fontId="25" fillId="0" borderId="24" xfId="1" applyNumberFormat="1" applyFont="1" applyFill="1" applyBorder="1" applyAlignment="1">
      <alignment horizontal="justify" vertical="center" wrapText="1"/>
    </xf>
    <xf numFmtId="164" fontId="25" fillId="0" borderId="25" xfId="1" applyNumberFormat="1" applyFont="1" applyFill="1" applyBorder="1" applyAlignment="1">
      <alignment horizontal="justify" vertical="center" wrapText="1"/>
    </xf>
    <xf numFmtId="164" fontId="27" fillId="0" borderId="23" xfId="1" applyNumberFormat="1" applyFont="1" applyFill="1" applyBorder="1" applyAlignment="1">
      <alignment horizontal="justify" vertical="center" wrapText="1"/>
    </xf>
    <xf numFmtId="164" fontId="27" fillId="0" borderId="24" xfId="1" applyNumberFormat="1" applyFont="1" applyFill="1" applyBorder="1" applyAlignment="1">
      <alignment horizontal="justify" vertical="center" wrapText="1"/>
    </xf>
    <xf numFmtId="164" fontId="27" fillId="0" borderId="25" xfId="1" applyNumberFormat="1" applyFont="1" applyFill="1" applyBorder="1" applyAlignment="1">
      <alignment horizontal="justify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wrapText="1"/>
    </xf>
    <xf numFmtId="0" fontId="0" fillId="0" borderId="19" xfId="0" applyNumberForma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9">
    <cellStyle name="Comma" xfId="1" builtinId="3"/>
    <cellStyle name="Comma 2" xfId="3" xr:uid="{00000000-0005-0000-0000-000001000000}"/>
    <cellStyle name="Comma 3" xfId="6" xr:uid="{00000000-0005-0000-0000-000002000000}"/>
    <cellStyle name="GreyOrWhite" xfId="8" xr:uid="{1E5AFE45-F355-4EB7-A9D1-B86A81964B70}"/>
    <cellStyle name="Normal" xfId="0" builtinId="0"/>
    <cellStyle name="Normal 2" xfId="2" xr:uid="{00000000-0005-0000-0000-000004000000}"/>
    <cellStyle name="Normal 3" xfId="5" xr:uid="{00000000-0005-0000-0000-000005000000}"/>
    <cellStyle name="Percent" xfId="7" builtinId="5"/>
    <cellStyle name="Yellow" xfId="4" xr:uid="{00000000-0005-0000-0000-000007000000}"/>
  </cellStyles>
  <dxfs count="18"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P201" totalsRowShown="0" headerRowDxfId="17" dataDxfId="16" headerRowCellStyle="Normal 3" dataCellStyle="Comma 3">
  <sortState ref="A2:P539">
    <sortCondition descending="1" ref="P1:P539"/>
  </sortState>
  <tableColumns count="16">
    <tableColumn id="1" xr3:uid="{00000000-0010-0000-0100-000001000000}" name="SL" dataDxfId="15" dataCellStyle="Normal 3"/>
    <tableColumn id="2" xr3:uid="{00000000-0010-0000-0100-000002000000}" name="P_CODE" dataDxfId="14" dataCellStyle="Normal 3"/>
    <tableColumn id="3" xr3:uid="{00000000-0010-0000-0100-000003000000}" name="PROD_NM" dataDxfId="13" dataCellStyle="Normal 3"/>
    <tableColumn id="4" xr3:uid="{00000000-0010-0000-0100-000004000000}" name="JAN" dataDxfId="12" dataCellStyle="Comma 3"/>
    <tableColumn id="5" xr3:uid="{00000000-0010-0000-0100-000005000000}" name="FEB" dataDxfId="11" dataCellStyle="Comma 3"/>
    <tableColumn id="6" xr3:uid="{00000000-0010-0000-0100-000006000000}" name="MAR" dataDxfId="10" dataCellStyle="Comma 3"/>
    <tableColumn id="7" xr3:uid="{00000000-0010-0000-0100-000007000000}" name="APR" dataDxfId="9" dataCellStyle="Comma 3"/>
    <tableColumn id="8" xr3:uid="{00000000-0010-0000-0100-000008000000}" name="MAY" dataDxfId="8" dataCellStyle="Comma 3"/>
    <tableColumn id="9" xr3:uid="{00000000-0010-0000-0100-000009000000}" name="JUN" dataDxfId="7" dataCellStyle="Comma 3"/>
    <tableColumn id="10" xr3:uid="{00000000-0010-0000-0100-00000A000000}" name="JUL" dataDxfId="6" dataCellStyle="Comma 3"/>
    <tableColumn id="11" xr3:uid="{00000000-0010-0000-0100-00000B000000}" name="AUG" dataDxfId="5" dataCellStyle="Comma 3"/>
    <tableColumn id="12" xr3:uid="{00000000-0010-0000-0100-00000C000000}" name="SEP" dataDxfId="4" dataCellStyle="Comma 3"/>
    <tableColumn id="13" xr3:uid="{00000000-0010-0000-0100-00000D000000}" name="OCT" dataDxfId="3" dataCellStyle="Comma 3"/>
    <tableColumn id="14" xr3:uid="{00000000-0010-0000-0100-00000E000000}" name="NOV" dataDxfId="2" dataCellStyle="Comma 3"/>
    <tableColumn id="15" xr3:uid="{00000000-0010-0000-0100-00000F000000}" name="DEC" dataDxfId="1" dataCellStyle="Comma 3">
      <calculatedColumnFormula>ROUND(N2*110%,2)</calculatedColumnFormula>
    </tableColumn>
    <tableColumn id="16" xr3:uid="{00000000-0010-0000-0100-000010000000}" name="TOTAL" dataDxfId="0" dataCellStyle="Comma 3">
      <calculatedColumnFormula>SUM(Table2[[#This Row],[JAN]:[DEC]])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449C-2D82-493E-9633-1522157B4158}">
  <dimension ref="A1:C16"/>
  <sheetViews>
    <sheetView workbookViewId="0">
      <selection activeCell="B16" sqref="B16"/>
    </sheetView>
  </sheetViews>
  <sheetFormatPr defaultRowHeight="15" x14ac:dyDescent="0.25"/>
  <cols>
    <col min="1" max="1" width="9.140625" style="131"/>
    <col min="2" max="2" width="28.42578125" style="131" customWidth="1"/>
    <col min="3" max="3" width="19.85546875" style="131" customWidth="1"/>
    <col min="4" max="16384" width="9.140625" style="131"/>
  </cols>
  <sheetData>
    <row r="1" spans="1:3" x14ac:dyDescent="0.25">
      <c r="A1" s="132" t="s">
        <v>80</v>
      </c>
      <c r="B1" s="132" t="s">
        <v>32</v>
      </c>
      <c r="C1" s="132" t="s">
        <v>33</v>
      </c>
    </row>
    <row r="2" spans="1:3" x14ac:dyDescent="0.25">
      <c r="A2" s="133">
        <f>IF(B2&lt;&gt;"",COUNTA($B$2:B2),"")</f>
        <v>1</v>
      </c>
      <c r="B2" s="133" t="s">
        <v>3</v>
      </c>
      <c r="C2" s="133" t="s">
        <v>1</v>
      </c>
    </row>
    <row r="3" spans="1:3" x14ac:dyDescent="0.25">
      <c r="A3" s="133">
        <f>IF(B3&lt;&gt;"",COUNTA($B$2:B3),"")</f>
        <v>2</v>
      </c>
      <c r="B3" s="133" t="s">
        <v>5</v>
      </c>
      <c r="C3" s="133" t="s">
        <v>1</v>
      </c>
    </row>
    <row r="4" spans="1:3" x14ac:dyDescent="0.25">
      <c r="A4" s="133" t="str">
        <f>IF(B4&lt;&gt;"",COUNTA($B$2:B4),"")</f>
        <v/>
      </c>
      <c r="B4" s="133"/>
      <c r="C4" s="133" t="s">
        <v>8</v>
      </c>
    </row>
    <row r="5" spans="1:3" x14ac:dyDescent="0.25">
      <c r="A5" s="133" t="str">
        <f>IF(B5&lt;&gt;"",COUNTA($B$2:B5),"")</f>
        <v/>
      </c>
      <c r="B5" s="133"/>
      <c r="C5" s="133" t="s">
        <v>30</v>
      </c>
    </row>
    <row r="6" spans="1:3" x14ac:dyDescent="0.25">
      <c r="A6" s="133">
        <f>IF(B6&lt;&gt;"",COUNTA($B$2:B6),"")</f>
        <v>3</v>
      </c>
      <c r="B6" s="133" t="s">
        <v>37</v>
      </c>
      <c r="C6" s="133" t="s">
        <v>30</v>
      </c>
    </row>
    <row r="7" spans="1:3" x14ac:dyDescent="0.25">
      <c r="A7" s="133" t="str">
        <f>IF(B7&lt;&gt;"",COUNTA($B$2:B7),"")</f>
        <v/>
      </c>
      <c r="B7" s="133"/>
      <c r="C7" s="133" t="s">
        <v>8</v>
      </c>
    </row>
    <row r="8" spans="1:3" x14ac:dyDescent="0.25">
      <c r="A8" s="133">
        <f>IF(B8&lt;&gt;"",COUNTA($B$2:B8),"")</f>
        <v>4</v>
      </c>
      <c r="B8" s="133" t="s">
        <v>38</v>
      </c>
      <c r="C8" s="133" t="s">
        <v>8</v>
      </c>
    </row>
    <row r="9" spans="1:3" x14ac:dyDescent="0.25">
      <c r="A9" s="133"/>
      <c r="B9" s="133"/>
      <c r="C9" s="133"/>
    </row>
    <row r="10" spans="1:3" x14ac:dyDescent="0.25">
      <c r="A10" s="133"/>
      <c r="B10" s="133"/>
      <c r="C10" s="133"/>
    </row>
    <row r="11" spans="1:3" x14ac:dyDescent="0.25">
      <c r="A11" s="133">
        <f>IF(B11&lt;&gt;"",COUNTA($B$2:B11),"")</f>
        <v>5</v>
      </c>
      <c r="B11" s="133" t="s">
        <v>19</v>
      </c>
      <c r="C11" s="133" t="s">
        <v>8</v>
      </c>
    </row>
    <row r="12" spans="1:3" x14ac:dyDescent="0.25">
      <c r="A12" s="133">
        <f>IF(B12&lt;&gt;"",COUNTA($B$2:B12),"")</f>
        <v>6</v>
      </c>
      <c r="B12" s="133" t="s">
        <v>21</v>
      </c>
      <c r="C12" s="133" t="s">
        <v>22</v>
      </c>
    </row>
    <row r="16" spans="1:3" x14ac:dyDescent="0.25">
      <c r="B16" s="131">
        <f>COUNTA(B2:B12)</f>
        <v>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N24"/>
  <sheetViews>
    <sheetView workbookViewId="0">
      <selection activeCell="A14" sqref="A14"/>
    </sheetView>
  </sheetViews>
  <sheetFormatPr defaultRowHeight="15" x14ac:dyDescent="0.25"/>
  <cols>
    <col min="1" max="1" width="25.140625" customWidth="1"/>
  </cols>
  <sheetData>
    <row r="4" spans="1:1" x14ac:dyDescent="0.25">
      <c r="A4" t="s">
        <v>76</v>
      </c>
    </row>
    <row r="5" spans="1:1" x14ac:dyDescent="0.25">
      <c r="A5" t="s">
        <v>76</v>
      </c>
    </row>
    <row r="10" spans="1:1" x14ac:dyDescent="0.25">
      <c r="A10" t="str">
        <f>LEFT(A4,FIND(" ",A4)-1)</f>
        <v>Sree_Sajib</v>
      </c>
    </row>
    <row r="11" spans="1:1" x14ac:dyDescent="0.25">
      <c r="A11" t="str">
        <f>LEFT(A5,FIND(" ",A5)-1)</f>
        <v>Sree_Sajib</v>
      </c>
    </row>
    <row r="12" spans="1:1" x14ac:dyDescent="0.25">
      <c r="A12" t="s">
        <v>77</v>
      </c>
    </row>
    <row r="13" spans="1:1" x14ac:dyDescent="0.25">
      <c r="A13" t="str">
        <f>MID(A4,FIND(" ",A4)+1,FIND(" ",A4,FIND(" ",A4)+1)-1-FIND(" ",A4))</f>
        <v>Sarker</v>
      </c>
    </row>
    <row r="14" spans="1:1" x14ac:dyDescent="0.25">
      <c r="A14" t="str">
        <f>MID(A5,FIND(" ",A5)+1,FIND(" ",A5,FIND(" ",A5)+1)-1-FIND(" ",A5))</f>
        <v>Sarker</v>
      </c>
    </row>
    <row r="16" spans="1:1" x14ac:dyDescent="0.25">
      <c r="A16" t="str">
        <f>RIGHT(A4,LEN(A4)-FIND(" ",A4,FIND(" ",A4)+1))</f>
        <v>ORIG</v>
      </c>
    </row>
    <row r="17" spans="1:14" x14ac:dyDescent="0.25">
      <c r="A17" t="str">
        <f>RIGHT(A5,LEN(A5)-FIND(" ",A5,FIND(" ",A5)+1))</f>
        <v>ORIG</v>
      </c>
    </row>
    <row r="24" spans="1:14" x14ac:dyDescent="0.25">
      <c r="N24" t="str">
        <f>RIGHT(A5,LEN(A5)-FIND(" ",A5,FIND(" ",A5)+1))</f>
        <v>ORIG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1"/>
  <sheetViews>
    <sheetView topLeftCell="A163" zoomScale="80" zoomScaleNormal="80" workbookViewId="0">
      <selection activeCell="I186" sqref="I186"/>
    </sheetView>
  </sheetViews>
  <sheetFormatPr defaultRowHeight="12.75" x14ac:dyDescent="0.2"/>
  <cols>
    <col min="1" max="1" width="6.140625" style="70" customWidth="1"/>
    <col min="2" max="2" width="10.7109375" style="70" customWidth="1"/>
    <col min="3" max="3" width="25.85546875" style="69" customWidth="1"/>
    <col min="4" max="14" width="18.140625" style="69" bestFit="1" customWidth="1"/>
    <col min="15" max="15" width="18.140625" style="69" customWidth="1"/>
    <col min="16" max="16" width="16.7109375" style="69" bestFit="1" customWidth="1"/>
    <col min="17" max="256" width="9.140625" style="69"/>
    <col min="257" max="257" width="6.140625" style="69" customWidth="1"/>
    <col min="258" max="258" width="10.28515625" style="69" customWidth="1"/>
    <col min="259" max="259" width="27.85546875" style="69" customWidth="1"/>
    <col min="260" max="270" width="18.140625" style="69" bestFit="1" customWidth="1"/>
    <col min="271" max="271" width="19.42578125" style="69" bestFit="1" customWidth="1"/>
    <col min="272" max="512" width="9.140625" style="69"/>
    <col min="513" max="513" width="6.140625" style="69" customWidth="1"/>
    <col min="514" max="514" width="10.28515625" style="69" customWidth="1"/>
    <col min="515" max="515" width="27.85546875" style="69" customWidth="1"/>
    <col min="516" max="526" width="18.140625" style="69" bestFit="1" customWidth="1"/>
    <col min="527" max="527" width="19.42578125" style="69" bestFit="1" customWidth="1"/>
    <col min="528" max="768" width="9.140625" style="69"/>
    <col min="769" max="769" width="6.140625" style="69" customWidth="1"/>
    <col min="770" max="770" width="10.28515625" style="69" customWidth="1"/>
    <col min="771" max="771" width="27.85546875" style="69" customWidth="1"/>
    <col min="772" max="782" width="18.140625" style="69" bestFit="1" customWidth="1"/>
    <col min="783" max="783" width="19.42578125" style="69" bestFit="1" customWidth="1"/>
    <col min="784" max="1024" width="9.140625" style="69"/>
    <col min="1025" max="1025" width="6.140625" style="69" customWidth="1"/>
    <col min="1026" max="1026" width="10.28515625" style="69" customWidth="1"/>
    <col min="1027" max="1027" width="27.85546875" style="69" customWidth="1"/>
    <col min="1028" max="1038" width="18.140625" style="69" bestFit="1" customWidth="1"/>
    <col min="1039" max="1039" width="19.42578125" style="69" bestFit="1" customWidth="1"/>
    <col min="1040" max="1280" width="9.140625" style="69"/>
    <col min="1281" max="1281" width="6.140625" style="69" customWidth="1"/>
    <col min="1282" max="1282" width="10.28515625" style="69" customWidth="1"/>
    <col min="1283" max="1283" width="27.85546875" style="69" customWidth="1"/>
    <col min="1284" max="1294" width="18.140625" style="69" bestFit="1" customWidth="1"/>
    <col min="1295" max="1295" width="19.42578125" style="69" bestFit="1" customWidth="1"/>
    <col min="1296" max="1536" width="9.140625" style="69"/>
    <col min="1537" max="1537" width="6.140625" style="69" customWidth="1"/>
    <col min="1538" max="1538" width="10.28515625" style="69" customWidth="1"/>
    <col min="1539" max="1539" width="27.85546875" style="69" customWidth="1"/>
    <col min="1540" max="1550" width="18.140625" style="69" bestFit="1" customWidth="1"/>
    <col min="1551" max="1551" width="19.42578125" style="69" bestFit="1" customWidth="1"/>
    <col min="1552" max="1792" width="9.140625" style="69"/>
    <col min="1793" max="1793" width="6.140625" style="69" customWidth="1"/>
    <col min="1794" max="1794" width="10.28515625" style="69" customWidth="1"/>
    <col min="1795" max="1795" width="27.85546875" style="69" customWidth="1"/>
    <col min="1796" max="1806" width="18.140625" style="69" bestFit="1" customWidth="1"/>
    <col min="1807" max="1807" width="19.42578125" style="69" bestFit="1" customWidth="1"/>
    <col min="1808" max="2048" width="9.140625" style="69"/>
    <col min="2049" max="2049" width="6.140625" style="69" customWidth="1"/>
    <col min="2050" max="2050" width="10.28515625" style="69" customWidth="1"/>
    <col min="2051" max="2051" width="27.85546875" style="69" customWidth="1"/>
    <col min="2052" max="2062" width="18.140625" style="69" bestFit="1" customWidth="1"/>
    <col min="2063" max="2063" width="19.42578125" style="69" bestFit="1" customWidth="1"/>
    <col min="2064" max="2304" width="9.140625" style="69"/>
    <col min="2305" max="2305" width="6.140625" style="69" customWidth="1"/>
    <col min="2306" max="2306" width="10.28515625" style="69" customWidth="1"/>
    <col min="2307" max="2307" width="27.85546875" style="69" customWidth="1"/>
    <col min="2308" max="2318" width="18.140625" style="69" bestFit="1" customWidth="1"/>
    <col min="2319" max="2319" width="19.42578125" style="69" bestFit="1" customWidth="1"/>
    <col min="2320" max="2560" width="9.140625" style="69"/>
    <col min="2561" max="2561" width="6.140625" style="69" customWidth="1"/>
    <col min="2562" max="2562" width="10.28515625" style="69" customWidth="1"/>
    <col min="2563" max="2563" width="27.85546875" style="69" customWidth="1"/>
    <col min="2564" max="2574" width="18.140625" style="69" bestFit="1" customWidth="1"/>
    <col min="2575" max="2575" width="19.42578125" style="69" bestFit="1" customWidth="1"/>
    <col min="2576" max="2816" width="9.140625" style="69"/>
    <col min="2817" max="2817" width="6.140625" style="69" customWidth="1"/>
    <col min="2818" max="2818" width="10.28515625" style="69" customWidth="1"/>
    <col min="2819" max="2819" width="27.85546875" style="69" customWidth="1"/>
    <col min="2820" max="2830" width="18.140625" style="69" bestFit="1" customWidth="1"/>
    <col min="2831" max="2831" width="19.42578125" style="69" bestFit="1" customWidth="1"/>
    <col min="2832" max="3072" width="9.140625" style="69"/>
    <col min="3073" max="3073" width="6.140625" style="69" customWidth="1"/>
    <col min="3074" max="3074" width="10.28515625" style="69" customWidth="1"/>
    <col min="3075" max="3075" width="27.85546875" style="69" customWidth="1"/>
    <col min="3076" max="3086" width="18.140625" style="69" bestFit="1" customWidth="1"/>
    <col min="3087" max="3087" width="19.42578125" style="69" bestFit="1" customWidth="1"/>
    <col min="3088" max="3328" width="9.140625" style="69"/>
    <col min="3329" max="3329" width="6.140625" style="69" customWidth="1"/>
    <col min="3330" max="3330" width="10.28515625" style="69" customWidth="1"/>
    <col min="3331" max="3331" width="27.85546875" style="69" customWidth="1"/>
    <col min="3332" max="3342" width="18.140625" style="69" bestFit="1" customWidth="1"/>
    <col min="3343" max="3343" width="19.42578125" style="69" bestFit="1" customWidth="1"/>
    <col min="3344" max="3584" width="9.140625" style="69"/>
    <col min="3585" max="3585" width="6.140625" style="69" customWidth="1"/>
    <col min="3586" max="3586" width="10.28515625" style="69" customWidth="1"/>
    <col min="3587" max="3587" width="27.85546875" style="69" customWidth="1"/>
    <col min="3588" max="3598" width="18.140625" style="69" bestFit="1" customWidth="1"/>
    <col min="3599" max="3599" width="19.42578125" style="69" bestFit="1" customWidth="1"/>
    <col min="3600" max="3840" width="9.140625" style="69"/>
    <col min="3841" max="3841" width="6.140625" style="69" customWidth="1"/>
    <col min="3842" max="3842" width="10.28515625" style="69" customWidth="1"/>
    <col min="3843" max="3843" width="27.85546875" style="69" customWidth="1"/>
    <col min="3844" max="3854" width="18.140625" style="69" bestFit="1" customWidth="1"/>
    <col min="3855" max="3855" width="19.42578125" style="69" bestFit="1" customWidth="1"/>
    <col min="3856" max="4096" width="9.140625" style="69"/>
    <col min="4097" max="4097" width="6.140625" style="69" customWidth="1"/>
    <col min="4098" max="4098" width="10.28515625" style="69" customWidth="1"/>
    <col min="4099" max="4099" width="27.85546875" style="69" customWidth="1"/>
    <col min="4100" max="4110" width="18.140625" style="69" bestFit="1" customWidth="1"/>
    <col min="4111" max="4111" width="19.42578125" style="69" bestFit="1" customWidth="1"/>
    <col min="4112" max="4352" width="9.140625" style="69"/>
    <col min="4353" max="4353" width="6.140625" style="69" customWidth="1"/>
    <col min="4354" max="4354" width="10.28515625" style="69" customWidth="1"/>
    <col min="4355" max="4355" width="27.85546875" style="69" customWidth="1"/>
    <col min="4356" max="4366" width="18.140625" style="69" bestFit="1" customWidth="1"/>
    <col min="4367" max="4367" width="19.42578125" style="69" bestFit="1" customWidth="1"/>
    <col min="4368" max="4608" width="9.140625" style="69"/>
    <col min="4609" max="4609" width="6.140625" style="69" customWidth="1"/>
    <col min="4610" max="4610" width="10.28515625" style="69" customWidth="1"/>
    <col min="4611" max="4611" width="27.85546875" style="69" customWidth="1"/>
    <col min="4612" max="4622" width="18.140625" style="69" bestFit="1" customWidth="1"/>
    <col min="4623" max="4623" width="19.42578125" style="69" bestFit="1" customWidth="1"/>
    <col min="4624" max="4864" width="9.140625" style="69"/>
    <col min="4865" max="4865" width="6.140625" style="69" customWidth="1"/>
    <col min="4866" max="4866" width="10.28515625" style="69" customWidth="1"/>
    <col min="4867" max="4867" width="27.85546875" style="69" customWidth="1"/>
    <col min="4868" max="4878" width="18.140625" style="69" bestFit="1" customWidth="1"/>
    <col min="4879" max="4879" width="19.42578125" style="69" bestFit="1" customWidth="1"/>
    <col min="4880" max="5120" width="9.140625" style="69"/>
    <col min="5121" max="5121" width="6.140625" style="69" customWidth="1"/>
    <col min="5122" max="5122" width="10.28515625" style="69" customWidth="1"/>
    <col min="5123" max="5123" width="27.85546875" style="69" customWidth="1"/>
    <col min="5124" max="5134" width="18.140625" style="69" bestFit="1" customWidth="1"/>
    <col min="5135" max="5135" width="19.42578125" style="69" bestFit="1" customWidth="1"/>
    <col min="5136" max="5376" width="9.140625" style="69"/>
    <col min="5377" max="5377" width="6.140625" style="69" customWidth="1"/>
    <col min="5378" max="5378" width="10.28515625" style="69" customWidth="1"/>
    <col min="5379" max="5379" width="27.85546875" style="69" customWidth="1"/>
    <col min="5380" max="5390" width="18.140625" style="69" bestFit="1" customWidth="1"/>
    <col min="5391" max="5391" width="19.42578125" style="69" bestFit="1" customWidth="1"/>
    <col min="5392" max="5632" width="9.140625" style="69"/>
    <col min="5633" max="5633" width="6.140625" style="69" customWidth="1"/>
    <col min="5634" max="5634" width="10.28515625" style="69" customWidth="1"/>
    <col min="5635" max="5635" width="27.85546875" style="69" customWidth="1"/>
    <col min="5636" max="5646" width="18.140625" style="69" bestFit="1" customWidth="1"/>
    <col min="5647" max="5647" width="19.42578125" style="69" bestFit="1" customWidth="1"/>
    <col min="5648" max="5888" width="9.140625" style="69"/>
    <col min="5889" max="5889" width="6.140625" style="69" customWidth="1"/>
    <col min="5890" max="5890" width="10.28515625" style="69" customWidth="1"/>
    <col min="5891" max="5891" width="27.85546875" style="69" customWidth="1"/>
    <col min="5892" max="5902" width="18.140625" style="69" bestFit="1" customWidth="1"/>
    <col min="5903" max="5903" width="19.42578125" style="69" bestFit="1" customWidth="1"/>
    <col min="5904" max="6144" width="9.140625" style="69"/>
    <col min="6145" max="6145" width="6.140625" style="69" customWidth="1"/>
    <col min="6146" max="6146" width="10.28515625" style="69" customWidth="1"/>
    <col min="6147" max="6147" width="27.85546875" style="69" customWidth="1"/>
    <col min="6148" max="6158" width="18.140625" style="69" bestFit="1" customWidth="1"/>
    <col min="6159" max="6159" width="19.42578125" style="69" bestFit="1" customWidth="1"/>
    <col min="6160" max="6400" width="9.140625" style="69"/>
    <col min="6401" max="6401" width="6.140625" style="69" customWidth="1"/>
    <col min="6402" max="6402" width="10.28515625" style="69" customWidth="1"/>
    <col min="6403" max="6403" width="27.85546875" style="69" customWidth="1"/>
    <col min="6404" max="6414" width="18.140625" style="69" bestFit="1" customWidth="1"/>
    <col min="6415" max="6415" width="19.42578125" style="69" bestFit="1" customWidth="1"/>
    <col min="6416" max="6656" width="9.140625" style="69"/>
    <col min="6657" max="6657" width="6.140625" style="69" customWidth="1"/>
    <col min="6658" max="6658" width="10.28515625" style="69" customWidth="1"/>
    <col min="6659" max="6659" width="27.85546875" style="69" customWidth="1"/>
    <col min="6660" max="6670" width="18.140625" style="69" bestFit="1" customWidth="1"/>
    <col min="6671" max="6671" width="19.42578125" style="69" bestFit="1" customWidth="1"/>
    <col min="6672" max="6912" width="9.140625" style="69"/>
    <col min="6913" max="6913" width="6.140625" style="69" customWidth="1"/>
    <col min="6914" max="6914" width="10.28515625" style="69" customWidth="1"/>
    <col min="6915" max="6915" width="27.85546875" style="69" customWidth="1"/>
    <col min="6916" max="6926" width="18.140625" style="69" bestFit="1" customWidth="1"/>
    <col min="6927" max="6927" width="19.42578125" style="69" bestFit="1" customWidth="1"/>
    <col min="6928" max="7168" width="9.140625" style="69"/>
    <col min="7169" max="7169" width="6.140625" style="69" customWidth="1"/>
    <col min="7170" max="7170" width="10.28515625" style="69" customWidth="1"/>
    <col min="7171" max="7171" width="27.85546875" style="69" customWidth="1"/>
    <col min="7172" max="7182" width="18.140625" style="69" bestFit="1" customWidth="1"/>
    <col min="7183" max="7183" width="19.42578125" style="69" bestFit="1" customWidth="1"/>
    <col min="7184" max="7424" width="9.140625" style="69"/>
    <col min="7425" max="7425" width="6.140625" style="69" customWidth="1"/>
    <col min="7426" max="7426" width="10.28515625" style="69" customWidth="1"/>
    <col min="7427" max="7427" width="27.85546875" style="69" customWidth="1"/>
    <col min="7428" max="7438" width="18.140625" style="69" bestFit="1" customWidth="1"/>
    <col min="7439" max="7439" width="19.42578125" style="69" bestFit="1" customWidth="1"/>
    <col min="7440" max="7680" width="9.140625" style="69"/>
    <col min="7681" max="7681" width="6.140625" style="69" customWidth="1"/>
    <col min="7682" max="7682" width="10.28515625" style="69" customWidth="1"/>
    <col min="7683" max="7683" width="27.85546875" style="69" customWidth="1"/>
    <col min="7684" max="7694" width="18.140625" style="69" bestFit="1" customWidth="1"/>
    <col min="7695" max="7695" width="19.42578125" style="69" bestFit="1" customWidth="1"/>
    <col min="7696" max="7936" width="9.140625" style="69"/>
    <col min="7937" max="7937" width="6.140625" style="69" customWidth="1"/>
    <col min="7938" max="7938" width="10.28515625" style="69" customWidth="1"/>
    <col min="7939" max="7939" width="27.85546875" style="69" customWidth="1"/>
    <col min="7940" max="7950" width="18.140625" style="69" bestFit="1" customWidth="1"/>
    <col min="7951" max="7951" width="19.42578125" style="69" bestFit="1" customWidth="1"/>
    <col min="7952" max="8192" width="9.140625" style="69"/>
    <col min="8193" max="8193" width="6.140625" style="69" customWidth="1"/>
    <col min="8194" max="8194" width="10.28515625" style="69" customWidth="1"/>
    <col min="8195" max="8195" width="27.85546875" style="69" customWidth="1"/>
    <col min="8196" max="8206" width="18.140625" style="69" bestFit="1" customWidth="1"/>
    <col min="8207" max="8207" width="19.42578125" style="69" bestFit="1" customWidth="1"/>
    <col min="8208" max="8448" width="9.140625" style="69"/>
    <col min="8449" max="8449" width="6.140625" style="69" customWidth="1"/>
    <col min="8450" max="8450" width="10.28515625" style="69" customWidth="1"/>
    <col min="8451" max="8451" width="27.85546875" style="69" customWidth="1"/>
    <col min="8452" max="8462" width="18.140625" style="69" bestFit="1" customWidth="1"/>
    <col min="8463" max="8463" width="19.42578125" style="69" bestFit="1" customWidth="1"/>
    <col min="8464" max="8704" width="9.140625" style="69"/>
    <col min="8705" max="8705" width="6.140625" style="69" customWidth="1"/>
    <col min="8706" max="8706" width="10.28515625" style="69" customWidth="1"/>
    <col min="8707" max="8707" width="27.85546875" style="69" customWidth="1"/>
    <col min="8708" max="8718" width="18.140625" style="69" bestFit="1" customWidth="1"/>
    <col min="8719" max="8719" width="19.42578125" style="69" bestFit="1" customWidth="1"/>
    <col min="8720" max="8960" width="9.140625" style="69"/>
    <col min="8961" max="8961" width="6.140625" style="69" customWidth="1"/>
    <col min="8962" max="8962" width="10.28515625" style="69" customWidth="1"/>
    <col min="8963" max="8963" width="27.85546875" style="69" customWidth="1"/>
    <col min="8964" max="8974" width="18.140625" style="69" bestFit="1" customWidth="1"/>
    <col min="8975" max="8975" width="19.42578125" style="69" bestFit="1" customWidth="1"/>
    <col min="8976" max="9216" width="9.140625" style="69"/>
    <col min="9217" max="9217" width="6.140625" style="69" customWidth="1"/>
    <col min="9218" max="9218" width="10.28515625" style="69" customWidth="1"/>
    <col min="9219" max="9219" width="27.85546875" style="69" customWidth="1"/>
    <col min="9220" max="9230" width="18.140625" style="69" bestFit="1" customWidth="1"/>
    <col min="9231" max="9231" width="19.42578125" style="69" bestFit="1" customWidth="1"/>
    <col min="9232" max="9472" width="9.140625" style="69"/>
    <col min="9473" max="9473" width="6.140625" style="69" customWidth="1"/>
    <col min="9474" max="9474" width="10.28515625" style="69" customWidth="1"/>
    <col min="9475" max="9475" width="27.85546875" style="69" customWidth="1"/>
    <col min="9476" max="9486" width="18.140625" style="69" bestFit="1" customWidth="1"/>
    <col min="9487" max="9487" width="19.42578125" style="69" bestFit="1" customWidth="1"/>
    <col min="9488" max="9728" width="9.140625" style="69"/>
    <col min="9729" max="9729" width="6.140625" style="69" customWidth="1"/>
    <col min="9730" max="9730" width="10.28515625" style="69" customWidth="1"/>
    <col min="9731" max="9731" width="27.85546875" style="69" customWidth="1"/>
    <col min="9732" max="9742" width="18.140625" style="69" bestFit="1" customWidth="1"/>
    <col min="9743" max="9743" width="19.42578125" style="69" bestFit="1" customWidth="1"/>
    <col min="9744" max="9984" width="9.140625" style="69"/>
    <col min="9985" max="9985" width="6.140625" style="69" customWidth="1"/>
    <col min="9986" max="9986" width="10.28515625" style="69" customWidth="1"/>
    <col min="9987" max="9987" width="27.85546875" style="69" customWidth="1"/>
    <col min="9988" max="9998" width="18.140625" style="69" bestFit="1" customWidth="1"/>
    <col min="9999" max="9999" width="19.42578125" style="69" bestFit="1" customWidth="1"/>
    <col min="10000" max="10240" width="9.140625" style="69"/>
    <col min="10241" max="10241" width="6.140625" style="69" customWidth="1"/>
    <col min="10242" max="10242" width="10.28515625" style="69" customWidth="1"/>
    <col min="10243" max="10243" width="27.85546875" style="69" customWidth="1"/>
    <col min="10244" max="10254" width="18.140625" style="69" bestFit="1" customWidth="1"/>
    <col min="10255" max="10255" width="19.42578125" style="69" bestFit="1" customWidth="1"/>
    <col min="10256" max="10496" width="9.140625" style="69"/>
    <col min="10497" max="10497" width="6.140625" style="69" customWidth="1"/>
    <col min="10498" max="10498" width="10.28515625" style="69" customWidth="1"/>
    <col min="10499" max="10499" width="27.85546875" style="69" customWidth="1"/>
    <col min="10500" max="10510" width="18.140625" style="69" bestFit="1" customWidth="1"/>
    <col min="10511" max="10511" width="19.42578125" style="69" bestFit="1" customWidth="1"/>
    <col min="10512" max="10752" width="9.140625" style="69"/>
    <col min="10753" max="10753" width="6.140625" style="69" customWidth="1"/>
    <col min="10754" max="10754" width="10.28515625" style="69" customWidth="1"/>
    <col min="10755" max="10755" width="27.85546875" style="69" customWidth="1"/>
    <col min="10756" max="10766" width="18.140625" style="69" bestFit="1" customWidth="1"/>
    <col min="10767" max="10767" width="19.42578125" style="69" bestFit="1" customWidth="1"/>
    <col min="10768" max="11008" width="9.140625" style="69"/>
    <col min="11009" max="11009" width="6.140625" style="69" customWidth="1"/>
    <col min="11010" max="11010" width="10.28515625" style="69" customWidth="1"/>
    <col min="11011" max="11011" width="27.85546875" style="69" customWidth="1"/>
    <col min="11012" max="11022" width="18.140625" style="69" bestFit="1" customWidth="1"/>
    <col min="11023" max="11023" width="19.42578125" style="69" bestFit="1" customWidth="1"/>
    <col min="11024" max="11264" width="9.140625" style="69"/>
    <col min="11265" max="11265" width="6.140625" style="69" customWidth="1"/>
    <col min="11266" max="11266" width="10.28515625" style="69" customWidth="1"/>
    <col min="11267" max="11267" width="27.85546875" style="69" customWidth="1"/>
    <col min="11268" max="11278" width="18.140625" style="69" bestFit="1" customWidth="1"/>
    <col min="11279" max="11279" width="19.42578125" style="69" bestFit="1" customWidth="1"/>
    <col min="11280" max="11520" width="9.140625" style="69"/>
    <col min="11521" max="11521" width="6.140625" style="69" customWidth="1"/>
    <col min="11522" max="11522" width="10.28515625" style="69" customWidth="1"/>
    <col min="11523" max="11523" width="27.85546875" style="69" customWidth="1"/>
    <col min="11524" max="11534" width="18.140625" style="69" bestFit="1" customWidth="1"/>
    <col min="11535" max="11535" width="19.42578125" style="69" bestFit="1" customWidth="1"/>
    <col min="11536" max="11776" width="9.140625" style="69"/>
    <col min="11777" max="11777" width="6.140625" style="69" customWidth="1"/>
    <col min="11778" max="11778" width="10.28515625" style="69" customWidth="1"/>
    <col min="11779" max="11779" width="27.85546875" style="69" customWidth="1"/>
    <col min="11780" max="11790" width="18.140625" style="69" bestFit="1" customWidth="1"/>
    <col min="11791" max="11791" width="19.42578125" style="69" bestFit="1" customWidth="1"/>
    <col min="11792" max="12032" width="9.140625" style="69"/>
    <col min="12033" max="12033" width="6.140625" style="69" customWidth="1"/>
    <col min="12034" max="12034" width="10.28515625" style="69" customWidth="1"/>
    <col min="12035" max="12035" width="27.85546875" style="69" customWidth="1"/>
    <col min="12036" max="12046" width="18.140625" style="69" bestFit="1" customWidth="1"/>
    <col min="12047" max="12047" width="19.42578125" style="69" bestFit="1" customWidth="1"/>
    <col min="12048" max="12288" width="9.140625" style="69"/>
    <col min="12289" max="12289" width="6.140625" style="69" customWidth="1"/>
    <col min="12290" max="12290" width="10.28515625" style="69" customWidth="1"/>
    <col min="12291" max="12291" width="27.85546875" style="69" customWidth="1"/>
    <col min="12292" max="12302" width="18.140625" style="69" bestFit="1" customWidth="1"/>
    <col min="12303" max="12303" width="19.42578125" style="69" bestFit="1" customWidth="1"/>
    <col min="12304" max="12544" width="9.140625" style="69"/>
    <col min="12545" max="12545" width="6.140625" style="69" customWidth="1"/>
    <col min="12546" max="12546" width="10.28515625" style="69" customWidth="1"/>
    <col min="12547" max="12547" width="27.85546875" style="69" customWidth="1"/>
    <col min="12548" max="12558" width="18.140625" style="69" bestFit="1" customWidth="1"/>
    <col min="12559" max="12559" width="19.42578125" style="69" bestFit="1" customWidth="1"/>
    <col min="12560" max="12800" width="9.140625" style="69"/>
    <col min="12801" max="12801" width="6.140625" style="69" customWidth="1"/>
    <col min="12802" max="12802" width="10.28515625" style="69" customWidth="1"/>
    <col min="12803" max="12803" width="27.85546875" style="69" customWidth="1"/>
    <col min="12804" max="12814" width="18.140625" style="69" bestFit="1" customWidth="1"/>
    <col min="12815" max="12815" width="19.42578125" style="69" bestFit="1" customWidth="1"/>
    <col min="12816" max="13056" width="9.140625" style="69"/>
    <col min="13057" max="13057" width="6.140625" style="69" customWidth="1"/>
    <col min="13058" max="13058" width="10.28515625" style="69" customWidth="1"/>
    <col min="13059" max="13059" width="27.85546875" style="69" customWidth="1"/>
    <col min="13060" max="13070" width="18.140625" style="69" bestFit="1" customWidth="1"/>
    <col min="13071" max="13071" width="19.42578125" style="69" bestFit="1" customWidth="1"/>
    <col min="13072" max="13312" width="9.140625" style="69"/>
    <col min="13313" max="13313" width="6.140625" style="69" customWidth="1"/>
    <col min="13314" max="13314" width="10.28515625" style="69" customWidth="1"/>
    <col min="13315" max="13315" width="27.85546875" style="69" customWidth="1"/>
    <col min="13316" max="13326" width="18.140625" style="69" bestFit="1" customWidth="1"/>
    <col min="13327" max="13327" width="19.42578125" style="69" bestFit="1" customWidth="1"/>
    <col min="13328" max="13568" width="9.140625" style="69"/>
    <col min="13569" max="13569" width="6.140625" style="69" customWidth="1"/>
    <col min="13570" max="13570" width="10.28515625" style="69" customWidth="1"/>
    <col min="13571" max="13571" width="27.85546875" style="69" customWidth="1"/>
    <col min="13572" max="13582" width="18.140625" style="69" bestFit="1" customWidth="1"/>
    <col min="13583" max="13583" width="19.42578125" style="69" bestFit="1" customWidth="1"/>
    <col min="13584" max="13824" width="9.140625" style="69"/>
    <col min="13825" max="13825" width="6.140625" style="69" customWidth="1"/>
    <col min="13826" max="13826" width="10.28515625" style="69" customWidth="1"/>
    <col min="13827" max="13827" width="27.85546875" style="69" customWidth="1"/>
    <col min="13828" max="13838" width="18.140625" style="69" bestFit="1" customWidth="1"/>
    <col min="13839" max="13839" width="19.42578125" style="69" bestFit="1" customWidth="1"/>
    <col min="13840" max="14080" width="9.140625" style="69"/>
    <col min="14081" max="14081" width="6.140625" style="69" customWidth="1"/>
    <col min="14082" max="14082" width="10.28515625" style="69" customWidth="1"/>
    <col min="14083" max="14083" width="27.85546875" style="69" customWidth="1"/>
    <col min="14084" max="14094" width="18.140625" style="69" bestFit="1" customWidth="1"/>
    <col min="14095" max="14095" width="19.42578125" style="69" bestFit="1" customWidth="1"/>
    <col min="14096" max="14336" width="9.140625" style="69"/>
    <col min="14337" max="14337" width="6.140625" style="69" customWidth="1"/>
    <col min="14338" max="14338" width="10.28515625" style="69" customWidth="1"/>
    <col min="14339" max="14339" width="27.85546875" style="69" customWidth="1"/>
    <col min="14340" max="14350" width="18.140625" style="69" bestFit="1" customWidth="1"/>
    <col min="14351" max="14351" width="19.42578125" style="69" bestFit="1" customWidth="1"/>
    <col min="14352" max="14592" width="9.140625" style="69"/>
    <col min="14593" max="14593" width="6.140625" style="69" customWidth="1"/>
    <col min="14594" max="14594" width="10.28515625" style="69" customWidth="1"/>
    <col min="14595" max="14595" width="27.85546875" style="69" customWidth="1"/>
    <col min="14596" max="14606" width="18.140625" style="69" bestFit="1" customWidth="1"/>
    <col min="14607" max="14607" width="19.42578125" style="69" bestFit="1" customWidth="1"/>
    <col min="14608" max="14848" width="9.140625" style="69"/>
    <col min="14849" max="14849" width="6.140625" style="69" customWidth="1"/>
    <col min="14850" max="14850" width="10.28515625" style="69" customWidth="1"/>
    <col min="14851" max="14851" width="27.85546875" style="69" customWidth="1"/>
    <col min="14852" max="14862" width="18.140625" style="69" bestFit="1" customWidth="1"/>
    <col min="14863" max="14863" width="19.42578125" style="69" bestFit="1" customWidth="1"/>
    <col min="14864" max="15104" width="9.140625" style="69"/>
    <col min="15105" max="15105" width="6.140625" style="69" customWidth="1"/>
    <col min="15106" max="15106" width="10.28515625" style="69" customWidth="1"/>
    <col min="15107" max="15107" width="27.85546875" style="69" customWidth="1"/>
    <col min="15108" max="15118" width="18.140625" style="69" bestFit="1" customWidth="1"/>
    <col min="15119" max="15119" width="19.42578125" style="69" bestFit="1" customWidth="1"/>
    <col min="15120" max="15360" width="9.140625" style="69"/>
    <col min="15361" max="15361" width="6.140625" style="69" customWidth="1"/>
    <col min="15362" max="15362" width="10.28515625" style="69" customWidth="1"/>
    <col min="15363" max="15363" width="27.85546875" style="69" customWidth="1"/>
    <col min="15364" max="15374" width="18.140625" style="69" bestFit="1" customWidth="1"/>
    <col min="15375" max="15375" width="19.42578125" style="69" bestFit="1" customWidth="1"/>
    <col min="15376" max="15616" width="9.140625" style="69"/>
    <col min="15617" max="15617" width="6.140625" style="69" customWidth="1"/>
    <col min="15618" max="15618" width="10.28515625" style="69" customWidth="1"/>
    <col min="15619" max="15619" width="27.85546875" style="69" customWidth="1"/>
    <col min="15620" max="15630" width="18.140625" style="69" bestFit="1" customWidth="1"/>
    <col min="15631" max="15631" width="19.42578125" style="69" bestFit="1" customWidth="1"/>
    <col min="15632" max="15872" width="9.140625" style="69"/>
    <col min="15873" max="15873" width="6.140625" style="69" customWidth="1"/>
    <col min="15874" max="15874" width="10.28515625" style="69" customWidth="1"/>
    <col min="15875" max="15875" width="27.85546875" style="69" customWidth="1"/>
    <col min="15876" max="15886" width="18.140625" style="69" bestFit="1" customWidth="1"/>
    <col min="15887" max="15887" width="19.42578125" style="69" bestFit="1" customWidth="1"/>
    <col min="15888" max="16128" width="9.140625" style="69"/>
    <col min="16129" max="16129" width="6.140625" style="69" customWidth="1"/>
    <col min="16130" max="16130" width="10.28515625" style="69" customWidth="1"/>
    <col min="16131" max="16131" width="27.85546875" style="69" customWidth="1"/>
    <col min="16132" max="16142" width="18.140625" style="69" bestFit="1" customWidth="1"/>
    <col min="16143" max="16143" width="19.42578125" style="69" bestFit="1" customWidth="1"/>
    <col min="16144" max="16384" width="9.140625" style="69"/>
  </cols>
  <sheetData>
    <row r="1" spans="1:16" s="70" customFormat="1" x14ac:dyDescent="0.25">
      <c r="A1" s="71" t="s">
        <v>80</v>
      </c>
      <c r="B1" s="71" t="s">
        <v>281</v>
      </c>
      <c r="C1" s="71" t="s">
        <v>81</v>
      </c>
      <c r="D1" s="71" t="s">
        <v>282</v>
      </c>
      <c r="E1" s="71" t="s">
        <v>283</v>
      </c>
      <c r="F1" s="71" t="s">
        <v>284</v>
      </c>
      <c r="G1" s="71" t="s">
        <v>285</v>
      </c>
      <c r="H1" s="71" t="s">
        <v>286</v>
      </c>
      <c r="I1" s="75" t="s">
        <v>287</v>
      </c>
      <c r="J1" s="71" t="s">
        <v>288</v>
      </c>
      <c r="K1" s="71" t="s">
        <v>289</v>
      </c>
      <c r="L1" s="71" t="s">
        <v>290</v>
      </c>
      <c r="M1" s="71" t="s">
        <v>291</v>
      </c>
      <c r="N1" s="71" t="s">
        <v>292</v>
      </c>
      <c r="O1" s="71" t="s">
        <v>293</v>
      </c>
      <c r="P1" s="68" t="s">
        <v>82</v>
      </c>
    </row>
    <row r="2" spans="1:16" x14ac:dyDescent="0.2">
      <c r="A2" s="70">
        <v>484</v>
      </c>
      <c r="B2" s="70">
        <v>81324</v>
      </c>
      <c r="C2" s="69" t="s">
        <v>239</v>
      </c>
      <c r="D2" s="73">
        <v>67887662.030000001</v>
      </c>
      <c r="E2" s="73">
        <v>65359918.200000003</v>
      </c>
      <c r="F2" s="73">
        <v>66163138.460000001</v>
      </c>
      <c r="G2" s="73">
        <v>65472249.520000003</v>
      </c>
      <c r="H2" s="73">
        <v>63193810.93</v>
      </c>
      <c r="I2" s="73">
        <v>62733386.640000001</v>
      </c>
      <c r="J2" s="73">
        <v>62522741.619999997</v>
      </c>
      <c r="K2" s="73">
        <v>63643914.68</v>
      </c>
      <c r="L2" s="73">
        <v>62642515.590000004</v>
      </c>
      <c r="M2" s="73">
        <v>65611984.039999999</v>
      </c>
      <c r="N2" s="73">
        <v>77721767.719999999</v>
      </c>
      <c r="O2" s="73">
        <f t="shared" ref="O2:O33" si="0">ROUND(N2*110%,2)</f>
        <v>85493944.489999995</v>
      </c>
      <c r="P2" s="74">
        <f>SUM(Table2[[#This Row],[JAN]:[DEC]])</f>
        <v>808447033.91999996</v>
      </c>
    </row>
    <row r="3" spans="1:16" x14ac:dyDescent="0.2">
      <c r="A3" s="70">
        <v>380</v>
      </c>
      <c r="B3" s="70">
        <v>81192</v>
      </c>
      <c r="C3" s="69" t="s">
        <v>210</v>
      </c>
      <c r="D3" s="73">
        <v>13027834.390000001</v>
      </c>
      <c r="E3" s="73">
        <v>42493634.579999998</v>
      </c>
      <c r="F3" s="73">
        <v>9647393.3300000001</v>
      </c>
      <c r="G3" s="73">
        <v>12053708.07</v>
      </c>
      <c r="H3" s="73">
        <v>18240686.68</v>
      </c>
      <c r="I3" s="73">
        <v>53945181.420000002</v>
      </c>
      <c r="J3" s="73">
        <v>11356885.199999999</v>
      </c>
      <c r="K3" s="73">
        <v>15829238.91</v>
      </c>
      <c r="L3" s="73">
        <v>49084282.270000003</v>
      </c>
      <c r="M3" s="73">
        <v>10208423.34</v>
      </c>
      <c r="N3" s="73">
        <v>35424643.899999999</v>
      </c>
      <c r="O3" s="73">
        <f t="shared" si="0"/>
        <v>38967108.289999999</v>
      </c>
      <c r="P3" s="74">
        <f>SUM(Table2[[#This Row],[JAN]:[DEC]])</f>
        <v>310279020.38000005</v>
      </c>
    </row>
    <row r="4" spans="1:16" x14ac:dyDescent="0.2">
      <c r="A4" s="70">
        <v>43</v>
      </c>
      <c r="B4" s="71">
        <v>11065</v>
      </c>
      <c r="C4" s="72" t="s">
        <v>100</v>
      </c>
      <c r="D4" s="73">
        <v>0</v>
      </c>
      <c r="E4" s="73">
        <v>0</v>
      </c>
      <c r="F4" s="73">
        <v>10631097.800000001</v>
      </c>
      <c r="G4" s="73">
        <v>34160067.520000003</v>
      </c>
      <c r="H4" s="73">
        <v>34136986.170000002</v>
      </c>
      <c r="I4" s="73">
        <v>34424470.380000003</v>
      </c>
      <c r="J4" s="73">
        <v>30467334</v>
      </c>
      <c r="K4" s="73">
        <v>30461930.710000001</v>
      </c>
      <c r="L4" s="73">
        <v>29709281.82</v>
      </c>
      <c r="M4" s="73">
        <v>27417455.84</v>
      </c>
      <c r="N4" s="73">
        <v>25676647.699999999</v>
      </c>
      <c r="O4" s="73">
        <f t="shared" si="0"/>
        <v>28244312.469999999</v>
      </c>
      <c r="P4" s="74">
        <f>SUM(Table2[[#This Row],[JAN]:[DEC]])</f>
        <v>285329584.40999997</v>
      </c>
    </row>
    <row r="5" spans="1:16" x14ac:dyDescent="0.2">
      <c r="A5" s="70">
        <v>487</v>
      </c>
      <c r="B5" s="70">
        <v>81327</v>
      </c>
      <c r="C5" s="69" t="s">
        <v>240</v>
      </c>
      <c r="D5" s="73">
        <v>13908148.539999999</v>
      </c>
      <c r="E5" s="73">
        <v>15422645.289999999</v>
      </c>
      <c r="F5" s="73">
        <v>16128315.09</v>
      </c>
      <c r="G5" s="73">
        <v>15413312.449999999</v>
      </c>
      <c r="H5" s="73">
        <v>15106139.859999999</v>
      </c>
      <c r="I5" s="73">
        <v>22134107.539999999</v>
      </c>
      <c r="J5" s="73">
        <v>28866888.489999998</v>
      </c>
      <c r="K5" s="73">
        <v>22726585.289999999</v>
      </c>
      <c r="L5" s="73">
        <v>20595393.670000002</v>
      </c>
      <c r="M5" s="73">
        <v>19307856.109999999</v>
      </c>
      <c r="N5" s="73">
        <v>19268698.109999999</v>
      </c>
      <c r="O5" s="73">
        <f t="shared" si="0"/>
        <v>21195567.920000002</v>
      </c>
      <c r="P5" s="74">
        <f>SUM(Table2[[#This Row],[JAN]:[DEC]])</f>
        <v>230073658.36000007</v>
      </c>
    </row>
    <row r="6" spans="1:16" x14ac:dyDescent="0.2">
      <c r="A6" s="70">
        <v>41</v>
      </c>
      <c r="B6" s="71">
        <v>11063</v>
      </c>
      <c r="C6" s="72" t="s">
        <v>98</v>
      </c>
      <c r="D6" s="73">
        <v>0</v>
      </c>
      <c r="E6" s="73">
        <v>0</v>
      </c>
      <c r="F6" s="73">
        <v>7967524.6900000004</v>
      </c>
      <c r="G6" s="73">
        <v>32415743.649999999</v>
      </c>
      <c r="H6" s="73">
        <v>25785511.890000001</v>
      </c>
      <c r="I6" s="73">
        <v>25575194.48</v>
      </c>
      <c r="J6" s="73">
        <v>23435176.780000001</v>
      </c>
      <c r="K6" s="73">
        <v>23347855.539999999</v>
      </c>
      <c r="L6" s="73">
        <v>20665543.469999999</v>
      </c>
      <c r="M6" s="73">
        <v>20927763.600000001</v>
      </c>
      <c r="N6" s="73">
        <v>19172236.309999999</v>
      </c>
      <c r="O6" s="73">
        <f t="shared" si="0"/>
        <v>21089459.940000001</v>
      </c>
      <c r="P6" s="74">
        <f>SUM(Table2[[#This Row],[JAN]:[DEC]])</f>
        <v>220382010.34999999</v>
      </c>
    </row>
    <row r="7" spans="1:16" x14ac:dyDescent="0.2">
      <c r="A7" s="70">
        <v>310</v>
      </c>
      <c r="B7" s="70">
        <v>81101</v>
      </c>
      <c r="C7" s="69" t="s">
        <v>181</v>
      </c>
      <c r="D7" s="73">
        <v>11805934.99</v>
      </c>
      <c r="E7" s="73">
        <v>11938863.34</v>
      </c>
      <c r="F7" s="73">
        <v>13186459.140000001</v>
      </c>
      <c r="G7" s="73">
        <v>14817961.43</v>
      </c>
      <c r="H7" s="73">
        <v>16462366.859999999</v>
      </c>
      <c r="I7" s="73">
        <v>16153777.560000001</v>
      </c>
      <c r="J7" s="73">
        <v>18779876.850000001</v>
      </c>
      <c r="K7" s="73">
        <v>18970982.859999999</v>
      </c>
      <c r="L7" s="73">
        <v>17084208.02</v>
      </c>
      <c r="M7" s="73">
        <v>19407401.640000001</v>
      </c>
      <c r="N7" s="73">
        <v>17604036.469999999</v>
      </c>
      <c r="O7" s="73">
        <f t="shared" si="0"/>
        <v>19364440.120000001</v>
      </c>
      <c r="P7" s="74">
        <f>SUM(Table2[[#This Row],[JAN]:[DEC]])</f>
        <v>195576309.28</v>
      </c>
    </row>
    <row r="8" spans="1:16" x14ac:dyDescent="0.2">
      <c r="A8" s="70">
        <v>578</v>
      </c>
      <c r="B8" s="70">
        <v>261005</v>
      </c>
      <c r="C8" s="69" t="s">
        <v>274</v>
      </c>
      <c r="D8" s="73">
        <v>8873380.7100000009</v>
      </c>
      <c r="E8" s="73">
        <v>19102666.949999999</v>
      </c>
      <c r="F8" s="73">
        <v>12648444.210000001</v>
      </c>
      <c r="G8" s="73">
        <v>8493775.5600000005</v>
      </c>
      <c r="H8" s="73">
        <v>16458759.5</v>
      </c>
      <c r="I8" s="73">
        <v>9687291.3800000008</v>
      </c>
      <c r="J8" s="73">
        <v>13706578.59</v>
      </c>
      <c r="K8" s="73">
        <v>13702425.470000001</v>
      </c>
      <c r="L8" s="73">
        <v>13124127.939999999</v>
      </c>
      <c r="M8" s="73">
        <v>23470712.100000001</v>
      </c>
      <c r="N8" s="73">
        <v>12991142.619999999</v>
      </c>
      <c r="O8" s="73">
        <f t="shared" si="0"/>
        <v>14290256.880000001</v>
      </c>
      <c r="P8" s="74">
        <f>SUM(Table2[[#This Row],[JAN]:[DEC]])</f>
        <v>166549561.91</v>
      </c>
    </row>
    <row r="9" spans="1:16" x14ac:dyDescent="0.2">
      <c r="A9" s="70">
        <v>72</v>
      </c>
      <c r="B9" s="70">
        <v>31015</v>
      </c>
      <c r="C9" s="69" t="s">
        <v>112</v>
      </c>
      <c r="D9" s="73">
        <v>7480257.5</v>
      </c>
      <c r="E9" s="73">
        <v>9305998.8100000005</v>
      </c>
      <c r="F9" s="73">
        <v>10337618.890000001</v>
      </c>
      <c r="G9" s="73">
        <v>8614933.5899999999</v>
      </c>
      <c r="H9" s="73">
        <v>7992886.3399999999</v>
      </c>
      <c r="I9" s="73">
        <v>9611930.8000000007</v>
      </c>
      <c r="J9" s="73">
        <v>11384324.25</v>
      </c>
      <c r="K9" s="73">
        <v>9523524.4399999995</v>
      </c>
      <c r="L9" s="73">
        <v>9972242.3800000008</v>
      </c>
      <c r="M9" s="73">
        <v>12227505.109999999</v>
      </c>
      <c r="N9" s="73">
        <v>11701768.4</v>
      </c>
      <c r="O9" s="73">
        <f t="shared" si="0"/>
        <v>12871945.24</v>
      </c>
      <c r="P9" s="74">
        <f>SUM(Table2[[#This Row],[JAN]:[DEC]])</f>
        <v>121024935.75</v>
      </c>
    </row>
    <row r="10" spans="1:16" x14ac:dyDescent="0.2">
      <c r="A10" s="70">
        <v>12</v>
      </c>
      <c r="B10" s="70">
        <v>11018</v>
      </c>
      <c r="C10" s="69" t="s">
        <v>88</v>
      </c>
      <c r="D10" s="73">
        <v>7194920.6500000004</v>
      </c>
      <c r="E10" s="73">
        <v>6792782.2800000003</v>
      </c>
      <c r="F10" s="73">
        <v>12069123.189999999</v>
      </c>
      <c r="G10" s="73">
        <v>6592468.0999999996</v>
      </c>
      <c r="H10" s="73">
        <v>11770403.460000001</v>
      </c>
      <c r="I10" s="73">
        <v>6938356.7699999996</v>
      </c>
      <c r="J10" s="73">
        <v>7106952.6799999997</v>
      </c>
      <c r="K10" s="73">
        <v>8434118.4000000004</v>
      </c>
      <c r="L10" s="73">
        <v>15528588.58</v>
      </c>
      <c r="M10" s="73">
        <v>8391198.8200000003</v>
      </c>
      <c r="N10" s="73">
        <v>8009855.5899999999</v>
      </c>
      <c r="O10" s="73">
        <f t="shared" si="0"/>
        <v>8810841.1500000004</v>
      </c>
      <c r="P10" s="74">
        <f>SUM(Table2[[#This Row],[JAN]:[DEC]])</f>
        <v>107639609.67000002</v>
      </c>
    </row>
    <row r="11" spans="1:16" x14ac:dyDescent="0.2">
      <c r="A11" s="70">
        <v>266</v>
      </c>
      <c r="B11" s="70">
        <v>81032</v>
      </c>
      <c r="C11" s="69" t="s">
        <v>162</v>
      </c>
      <c r="D11" s="73">
        <v>9875240.6699999999</v>
      </c>
      <c r="E11" s="73">
        <v>8202849.9900000002</v>
      </c>
      <c r="F11" s="73">
        <v>10332782.630000001</v>
      </c>
      <c r="G11" s="73">
        <v>9129563.7400000002</v>
      </c>
      <c r="H11" s="73">
        <v>8382824.21</v>
      </c>
      <c r="I11" s="73">
        <v>9557136.7799999993</v>
      </c>
      <c r="J11" s="73">
        <v>8772307.0500000007</v>
      </c>
      <c r="K11" s="73">
        <v>8520772.3800000008</v>
      </c>
      <c r="L11" s="73">
        <v>8194482.7999999998</v>
      </c>
      <c r="M11" s="73">
        <v>7793049.3899999997</v>
      </c>
      <c r="N11" s="73">
        <v>8759820.3800000008</v>
      </c>
      <c r="O11" s="73">
        <f t="shared" si="0"/>
        <v>9635802.4199999999</v>
      </c>
      <c r="P11" s="74">
        <f>SUM(Table2[[#This Row],[JAN]:[DEC]])</f>
        <v>107156632.44</v>
      </c>
    </row>
    <row r="12" spans="1:16" x14ac:dyDescent="0.2">
      <c r="A12" s="70">
        <v>525</v>
      </c>
      <c r="B12" s="70">
        <v>131017</v>
      </c>
      <c r="C12" s="69" t="s">
        <v>257</v>
      </c>
      <c r="D12" s="73">
        <v>9350706.9700000007</v>
      </c>
      <c r="E12" s="73">
        <v>8496022.4299999997</v>
      </c>
      <c r="F12" s="73">
        <v>9096382.3800000008</v>
      </c>
      <c r="G12" s="73">
        <v>8942687.9399999995</v>
      </c>
      <c r="H12" s="73">
        <v>8675804.8800000008</v>
      </c>
      <c r="I12" s="73">
        <v>8013010.0599999996</v>
      </c>
      <c r="J12" s="73">
        <v>8263872.4400000004</v>
      </c>
      <c r="K12" s="73">
        <v>8004584.8399999999</v>
      </c>
      <c r="L12" s="73">
        <v>7412279.8600000003</v>
      </c>
      <c r="M12" s="73">
        <v>8473947.2799999993</v>
      </c>
      <c r="N12" s="73">
        <v>9490666.6199999992</v>
      </c>
      <c r="O12" s="73">
        <f t="shared" si="0"/>
        <v>10439733.279999999</v>
      </c>
      <c r="P12" s="74">
        <f>SUM(Table2[[#This Row],[JAN]:[DEC]])</f>
        <v>104659698.98</v>
      </c>
    </row>
    <row r="13" spans="1:16" x14ac:dyDescent="0.2">
      <c r="A13" s="70">
        <v>309</v>
      </c>
      <c r="B13" s="70">
        <v>81100</v>
      </c>
      <c r="C13" s="69" t="s">
        <v>180</v>
      </c>
      <c r="D13" s="73">
        <v>8702340.8699999992</v>
      </c>
      <c r="E13" s="73">
        <v>8113540.6399999997</v>
      </c>
      <c r="F13" s="73">
        <v>8921230.6600000001</v>
      </c>
      <c r="G13" s="73">
        <v>9099657.1600000001</v>
      </c>
      <c r="H13" s="73">
        <v>8757530.4100000001</v>
      </c>
      <c r="I13" s="73">
        <v>7544147.0800000001</v>
      </c>
      <c r="J13" s="73">
        <v>8189122.7599999998</v>
      </c>
      <c r="K13" s="73">
        <v>8560829.9800000004</v>
      </c>
      <c r="L13" s="73">
        <v>8036540.6500000004</v>
      </c>
      <c r="M13" s="73">
        <v>9808856.2899999991</v>
      </c>
      <c r="N13" s="73">
        <v>8889879.8499999996</v>
      </c>
      <c r="O13" s="73">
        <f t="shared" si="0"/>
        <v>9778867.8399999999</v>
      </c>
      <c r="P13" s="74">
        <f>SUM(Table2[[#This Row],[JAN]:[DEC]])</f>
        <v>104402544.19</v>
      </c>
    </row>
    <row r="14" spans="1:16" x14ac:dyDescent="0.2">
      <c r="A14" s="70">
        <v>619</v>
      </c>
      <c r="B14" s="70">
        <v>261052</v>
      </c>
      <c r="C14" s="69" t="s">
        <v>280</v>
      </c>
      <c r="D14" s="73">
        <v>10862906.77</v>
      </c>
      <c r="E14" s="73">
        <v>8862027.5099999998</v>
      </c>
      <c r="F14" s="73">
        <v>9084556.5800000001</v>
      </c>
      <c r="G14" s="73">
        <v>7158224.3700000001</v>
      </c>
      <c r="H14" s="73">
        <v>5643920.8899999997</v>
      </c>
      <c r="I14" s="73">
        <v>6173000.7999999998</v>
      </c>
      <c r="J14" s="73">
        <v>8028223.9699999997</v>
      </c>
      <c r="K14" s="73">
        <v>8055943.9100000001</v>
      </c>
      <c r="L14" s="73">
        <v>8160386.5800000001</v>
      </c>
      <c r="M14" s="73">
        <v>9260874.2100000009</v>
      </c>
      <c r="N14" s="73">
        <v>10038910.35</v>
      </c>
      <c r="O14" s="73">
        <f t="shared" si="0"/>
        <v>11042801.390000001</v>
      </c>
      <c r="P14" s="74">
        <f>SUM(Table2[[#This Row],[JAN]:[DEC]])</f>
        <v>102371777.33</v>
      </c>
    </row>
    <row r="15" spans="1:16" x14ac:dyDescent="0.2">
      <c r="A15" s="70">
        <v>28</v>
      </c>
      <c r="B15" s="70">
        <v>11046</v>
      </c>
      <c r="C15" s="69" t="s">
        <v>94</v>
      </c>
      <c r="D15" s="73">
        <v>10259908.140000001</v>
      </c>
      <c r="E15" s="73">
        <v>10578241.300000001</v>
      </c>
      <c r="F15" s="73">
        <v>11323413.140000001</v>
      </c>
      <c r="G15" s="73">
        <v>11070038.939999999</v>
      </c>
      <c r="H15" s="73">
        <v>11625645.73</v>
      </c>
      <c r="I15" s="73">
        <v>13606912.99</v>
      </c>
      <c r="J15" s="73">
        <v>15284086.359999999</v>
      </c>
      <c r="K15" s="73">
        <v>14078346.34</v>
      </c>
      <c r="L15" s="73">
        <v>2344150.83</v>
      </c>
      <c r="M15" s="73">
        <v>43685.94</v>
      </c>
      <c r="N15" s="73">
        <v>610.86</v>
      </c>
      <c r="O15" s="73">
        <f t="shared" si="0"/>
        <v>671.95</v>
      </c>
      <c r="P15" s="74">
        <f>SUM(Table2[[#This Row],[JAN]:[DEC]])</f>
        <v>100215712.52</v>
      </c>
    </row>
    <row r="16" spans="1:16" x14ac:dyDescent="0.2">
      <c r="A16" s="70">
        <v>441</v>
      </c>
      <c r="B16" s="70">
        <v>81266</v>
      </c>
      <c r="C16" s="69" t="s">
        <v>225</v>
      </c>
      <c r="D16" s="73">
        <v>7320965.2199999997</v>
      </c>
      <c r="E16" s="73">
        <v>7040167.3700000001</v>
      </c>
      <c r="F16" s="73">
        <v>5713566.2599999998</v>
      </c>
      <c r="G16" s="73">
        <v>8634351.4900000002</v>
      </c>
      <c r="H16" s="73">
        <v>8654895.9600000009</v>
      </c>
      <c r="I16" s="73">
        <v>8533369.6999999993</v>
      </c>
      <c r="J16" s="73">
        <v>8063524.5599999996</v>
      </c>
      <c r="K16" s="73">
        <v>8780701.3300000001</v>
      </c>
      <c r="L16" s="73">
        <v>8490368.2799999993</v>
      </c>
      <c r="M16" s="73">
        <v>9333346.3900000006</v>
      </c>
      <c r="N16" s="73">
        <v>8819277.6400000006</v>
      </c>
      <c r="O16" s="73">
        <f t="shared" si="0"/>
        <v>9701205.4000000004</v>
      </c>
      <c r="P16" s="74">
        <f>SUM(Table2[[#This Row],[JAN]:[DEC]])</f>
        <v>99085739.600000009</v>
      </c>
    </row>
    <row r="17" spans="1:16" x14ac:dyDescent="0.2">
      <c r="A17" s="70">
        <v>201</v>
      </c>
      <c r="B17" s="70">
        <v>61037</v>
      </c>
      <c r="C17" s="69" t="s">
        <v>148</v>
      </c>
      <c r="D17" s="73">
        <v>5272214.18</v>
      </c>
      <c r="E17" s="73">
        <v>7260006.4400000004</v>
      </c>
      <c r="F17" s="73">
        <v>6777487.79</v>
      </c>
      <c r="G17" s="73">
        <v>4196987.1500000004</v>
      </c>
      <c r="H17" s="73">
        <v>4492793.5999999996</v>
      </c>
      <c r="I17" s="73">
        <v>9741653.6600000001</v>
      </c>
      <c r="J17" s="73">
        <v>10571462.16</v>
      </c>
      <c r="K17" s="73">
        <v>8234959.3600000003</v>
      </c>
      <c r="L17" s="73">
        <v>8490445.3499999996</v>
      </c>
      <c r="M17" s="73">
        <v>13613343.16</v>
      </c>
      <c r="N17" s="73">
        <v>9445794.6899999995</v>
      </c>
      <c r="O17" s="73">
        <f t="shared" si="0"/>
        <v>10390374.16</v>
      </c>
      <c r="P17" s="74">
        <f>SUM(Table2[[#This Row],[JAN]:[DEC]])</f>
        <v>98487521.700000003</v>
      </c>
    </row>
    <row r="18" spans="1:16" x14ac:dyDescent="0.2">
      <c r="A18" s="70">
        <v>494</v>
      </c>
      <c r="B18" s="70">
        <v>81334</v>
      </c>
      <c r="C18" s="69" t="s">
        <v>242</v>
      </c>
      <c r="D18" s="73">
        <v>9610680.1899999995</v>
      </c>
      <c r="E18" s="73">
        <v>5734601.9400000004</v>
      </c>
      <c r="F18" s="73">
        <v>6387572.2599999998</v>
      </c>
      <c r="G18" s="73">
        <v>7291795.9299999997</v>
      </c>
      <c r="H18" s="73">
        <v>7918476.9299999997</v>
      </c>
      <c r="I18" s="73">
        <v>7132168.3700000001</v>
      </c>
      <c r="J18" s="73">
        <v>6795194.5</v>
      </c>
      <c r="K18" s="73">
        <v>7448667.7800000003</v>
      </c>
      <c r="L18" s="73">
        <v>7792821.1500000004</v>
      </c>
      <c r="M18" s="73">
        <v>8377593.9400000004</v>
      </c>
      <c r="N18" s="73">
        <v>7666596.6799999997</v>
      </c>
      <c r="O18" s="73">
        <f t="shared" si="0"/>
        <v>8433256.3499999996</v>
      </c>
      <c r="P18" s="74">
        <f>SUM(Table2[[#This Row],[JAN]:[DEC]])</f>
        <v>90589426.019999981</v>
      </c>
    </row>
    <row r="19" spans="1:16" x14ac:dyDescent="0.2">
      <c r="A19" s="70">
        <v>377</v>
      </c>
      <c r="B19" s="70">
        <v>81189</v>
      </c>
      <c r="C19" s="69" t="s">
        <v>209</v>
      </c>
      <c r="D19" s="73">
        <v>7829147.6500000004</v>
      </c>
      <c r="E19" s="73">
        <v>6897823.2999999998</v>
      </c>
      <c r="F19" s="73">
        <v>7198915.5499999998</v>
      </c>
      <c r="G19" s="73">
        <v>6778147.9100000001</v>
      </c>
      <c r="H19" s="73">
        <v>5958417.4100000001</v>
      </c>
      <c r="I19" s="73">
        <v>7815263.8099999996</v>
      </c>
      <c r="J19" s="73">
        <v>6907492.3600000003</v>
      </c>
      <c r="K19" s="73">
        <v>7521997.7000000002</v>
      </c>
      <c r="L19" s="73">
        <v>7893387.8899999997</v>
      </c>
      <c r="M19" s="73">
        <v>8523911.7899999991</v>
      </c>
      <c r="N19" s="73">
        <v>8029763.0999999996</v>
      </c>
      <c r="O19" s="73">
        <f t="shared" si="0"/>
        <v>8832739.4100000001</v>
      </c>
      <c r="P19" s="74">
        <f>SUM(Table2[[#This Row],[JAN]:[DEC]])</f>
        <v>90187007.879999995</v>
      </c>
    </row>
    <row r="20" spans="1:16" x14ac:dyDescent="0.2">
      <c r="A20" s="70">
        <v>368</v>
      </c>
      <c r="B20" s="70">
        <v>81180</v>
      </c>
      <c r="C20" s="69" t="s">
        <v>204</v>
      </c>
      <c r="D20" s="73">
        <v>7312240.2800000003</v>
      </c>
      <c r="E20" s="73">
        <v>7985552.9900000002</v>
      </c>
      <c r="F20" s="73">
        <v>8460953.2200000007</v>
      </c>
      <c r="G20" s="73">
        <v>8082746.4500000002</v>
      </c>
      <c r="H20" s="73">
        <v>6791098.0499999998</v>
      </c>
      <c r="I20" s="73">
        <v>6077053.7300000004</v>
      </c>
      <c r="J20" s="73">
        <v>5890854.1799999997</v>
      </c>
      <c r="K20" s="73">
        <v>5879000.1399999997</v>
      </c>
      <c r="L20" s="73">
        <v>6250766.2800000003</v>
      </c>
      <c r="M20" s="73">
        <v>7425152.4400000004</v>
      </c>
      <c r="N20" s="73">
        <v>9031821.8300000001</v>
      </c>
      <c r="O20" s="73">
        <f t="shared" si="0"/>
        <v>9935004.0099999998</v>
      </c>
      <c r="P20" s="74">
        <f>SUM(Table2[[#This Row],[JAN]:[DEC]])</f>
        <v>89122243.600000009</v>
      </c>
    </row>
    <row r="21" spans="1:16" x14ac:dyDescent="0.2">
      <c r="A21" s="70">
        <v>279</v>
      </c>
      <c r="B21" s="70">
        <v>81049</v>
      </c>
      <c r="C21" s="69" t="s">
        <v>168</v>
      </c>
      <c r="D21" s="73">
        <v>5515826.8099999996</v>
      </c>
      <c r="E21" s="73">
        <v>5870894.04</v>
      </c>
      <c r="F21" s="73">
        <v>6318831.9199999999</v>
      </c>
      <c r="G21" s="73">
        <v>11839875.42</v>
      </c>
      <c r="H21" s="73">
        <v>5547813.1200000001</v>
      </c>
      <c r="I21" s="73">
        <v>6617013.7599999998</v>
      </c>
      <c r="J21" s="73">
        <v>8143465.3899999997</v>
      </c>
      <c r="K21" s="73">
        <v>7413353.0499999998</v>
      </c>
      <c r="L21" s="73">
        <v>14601337.85</v>
      </c>
      <c r="M21" s="73">
        <v>5375397.5499999998</v>
      </c>
      <c r="N21" s="73">
        <v>5473059.5800000001</v>
      </c>
      <c r="O21" s="73">
        <f t="shared" si="0"/>
        <v>6020365.54</v>
      </c>
      <c r="P21" s="74">
        <f>SUM(Table2[[#This Row],[JAN]:[DEC]])</f>
        <v>88737234.029999986</v>
      </c>
    </row>
    <row r="22" spans="1:16" x14ac:dyDescent="0.2">
      <c r="A22" s="70">
        <v>321</v>
      </c>
      <c r="B22" s="70">
        <v>81121</v>
      </c>
      <c r="C22" s="69" t="s">
        <v>184</v>
      </c>
      <c r="D22" s="73">
        <v>7437711.5199999996</v>
      </c>
      <c r="E22" s="73">
        <v>6816155.5</v>
      </c>
      <c r="F22" s="73">
        <v>7107256.6699999999</v>
      </c>
      <c r="G22" s="73">
        <v>7301827.8600000003</v>
      </c>
      <c r="H22" s="73">
        <v>7420155.3300000001</v>
      </c>
      <c r="I22" s="73">
        <v>6890413.0599999996</v>
      </c>
      <c r="J22" s="73">
        <v>7116995.7599999998</v>
      </c>
      <c r="K22" s="73">
        <v>7333641.04</v>
      </c>
      <c r="L22" s="73">
        <v>7261413.2300000004</v>
      </c>
      <c r="M22" s="73">
        <v>7981418.4500000002</v>
      </c>
      <c r="N22" s="73">
        <v>6866062.6900000004</v>
      </c>
      <c r="O22" s="73">
        <f t="shared" si="0"/>
        <v>7552668.96</v>
      </c>
      <c r="P22" s="74">
        <f>SUM(Table2[[#This Row],[JAN]:[DEC]])</f>
        <v>87085720.069999993</v>
      </c>
    </row>
    <row r="23" spans="1:16" x14ac:dyDescent="0.2">
      <c r="A23" s="70">
        <v>455</v>
      </c>
      <c r="B23" s="70">
        <v>81282</v>
      </c>
      <c r="C23" s="69" t="s">
        <v>230</v>
      </c>
      <c r="D23" s="73">
        <v>7212918.8600000003</v>
      </c>
      <c r="E23" s="73">
        <v>6900111.6699999999</v>
      </c>
      <c r="F23" s="73">
        <v>5902277.9100000001</v>
      </c>
      <c r="G23" s="73">
        <v>7330530.7400000002</v>
      </c>
      <c r="H23" s="73">
        <v>8102416.1399999997</v>
      </c>
      <c r="I23" s="73">
        <v>7199327.4900000002</v>
      </c>
      <c r="J23" s="73">
        <v>6808049.7300000004</v>
      </c>
      <c r="K23" s="73">
        <v>7185876.6299999999</v>
      </c>
      <c r="L23" s="73">
        <v>6726703.8099999996</v>
      </c>
      <c r="M23" s="73">
        <v>7394513.3099999996</v>
      </c>
      <c r="N23" s="73">
        <v>6603731.8399999999</v>
      </c>
      <c r="O23" s="73">
        <f t="shared" si="0"/>
        <v>7264105.0199999996</v>
      </c>
      <c r="P23" s="74">
        <f>SUM(Table2[[#This Row],[JAN]:[DEC]])</f>
        <v>84630563.150000006</v>
      </c>
    </row>
    <row r="24" spans="1:16" x14ac:dyDescent="0.2">
      <c r="A24" s="70">
        <v>505</v>
      </c>
      <c r="B24" s="70">
        <v>81348</v>
      </c>
      <c r="C24" s="69" t="s">
        <v>251</v>
      </c>
      <c r="D24" s="73">
        <v>6513335.6200000001</v>
      </c>
      <c r="E24" s="73">
        <v>6298274.4800000004</v>
      </c>
      <c r="F24" s="73">
        <v>6513477.5999999996</v>
      </c>
      <c r="G24" s="73">
        <v>6519169.0800000001</v>
      </c>
      <c r="H24" s="73">
        <v>6811859.0800000001</v>
      </c>
      <c r="I24" s="73">
        <v>6989365.2800000003</v>
      </c>
      <c r="J24" s="73">
        <v>6966839</v>
      </c>
      <c r="K24" s="73">
        <v>7353184.4100000001</v>
      </c>
      <c r="L24" s="73">
        <v>7699681.0599999996</v>
      </c>
      <c r="M24" s="73">
        <v>7900101.5899999999</v>
      </c>
      <c r="N24" s="73">
        <v>7126427.4500000002</v>
      </c>
      <c r="O24" s="73">
        <f t="shared" si="0"/>
        <v>7839070.2000000002</v>
      </c>
      <c r="P24" s="74">
        <f>SUM(Table2[[#This Row],[JAN]:[DEC]])</f>
        <v>84530784.850000009</v>
      </c>
    </row>
    <row r="25" spans="1:16" x14ac:dyDescent="0.2">
      <c r="A25" s="70">
        <v>189</v>
      </c>
      <c r="B25" s="70">
        <v>61021</v>
      </c>
      <c r="C25" s="69" t="s">
        <v>141</v>
      </c>
      <c r="D25" s="73">
        <v>2521785.62</v>
      </c>
      <c r="E25" s="73">
        <v>5786514.1799999997</v>
      </c>
      <c r="F25" s="73">
        <v>7839111.4400000004</v>
      </c>
      <c r="G25" s="73">
        <v>5787637.79</v>
      </c>
      <c r="H25" s="73">
        <v>6135552.5300000003</v>
      </c>
      <c r="I25" s="73">
        <v>7596025.5800000001</v>
      </c>
      <c r="J25" s="73">
        <v>6935476.9900000002</v>
      </c>
      <c r="K25" s="73">
        <v>6733346.04</v>
      </c>
      <c r="L25" s="73">
        <v>8083722.29</v>
      </c>
      <c r="M25" s="73">
        <v>8911111.7899999991</v>
      </c>
      <c r="N25" s="73">
        <v>8000168.8099999996</v>
      </c>
      <c r="O25" s="73">
        <f t="shared" si="0"/>
        <v>8800185.6899999995</v>
      </c>
      <c r="P25" s="74">
        <f>SUM(Table2[[#This Row],[JAN]:[DEC]])</f>
        <v>83130638.75</v>
      </c>
    </row>
    <row r="26" spans="1:16" x14ac:dyDescent="0.2">
      <c r="A26" s="70">
        <v>499</v>
      </c>
      <c r="B26" s="70">
        <v>81340</v>
      </c>
      <c r="C26" s="69" t="s">
        <v>245</v>
      </c>
      <c r="D26" s="73">
        <v>8508022.6600000001</v>
      </c>
      <c r="E26" s="73">
        <v>5823519.0700000003</v>
      </c>
      <c r="F26" s="73">
        <v>4810130.49</v>
      </c>
      <c r="G26" s="73">
        <v>4602168.1399999997</v>
      </c>
      <c r="H26" s="73">
        <v>8569623.7899999991</v>
      </c>
      <c r="I26" s="73">
        <v>7173983.3899999997</v>
      </c>
      <c r="J26" s="73">
        <v>5265634.8</v>
      </c>
      <c r="K26" s="73">
        <v>8270298.2300000004</v>
      </c>
      <c r="L26" s="73">
        <v>7093956.4500000002</v>
      </c>
      <c r="M26" s="73">
        <v>7176472.0899999999</v>
      </c>
      <c r="N26" s="73">
        <v>6682339.6799999997</v>
      </c>
      <c r="O26" s="73">
        <f t="shared" si="0"/>
        <v>7350573.6500000004</v>
      </c>
      <c r="P26" s="74">
        <f>SUM(Table2[[#This Row],[JAN]:[DEC]])</f>
        <v>81326722.439999998</v>
      </c>
    </row>
    <row r="27" spans="1:16" x14ac:dyDescent="0.2">
      <c r="A27" s="70">
        <v>270</v>
      </c>
      <c r="B27" s="70">
        <v>81038</v>
      </c>
      <c r="C27" s="69" t="s">
        <v>163</v>
      </c>
      <c r="D27" s="73">
        <v>5955894.6900000004</v>
      </c>
      <c r="E27" s="73">
        <v>5920054.7000000002</v>
      </c>
      <c r="F27" s="73">
        <v>6527072.6299999999</v>
      </c>
      <c r="G27" s="73">
        <v>6504517.3700000001</v>
      </c>
      <c r="H27" s="73">
        <v>6858733.6799999997</v>
      </c>
      <c r="I27" s="73">
        <v>7562935.2400000002</v>
      </c>
      <c r="J27" s="73">
        <v>6568020.5899999999</v>
      </c>
      <c r="K27" s="73">
        <v>6558984.3700000001</v>
      </c>
      <c r="L27" s="73">
        <v>6916500.6699999999</v>
      </c>
      <c r="M27" s="73">
        <v>6894726.6799999997</v>
      </c>
      <c r="N27" s="73">
        <v>6583512.1600000001</v>
      </c>
      <c r="O27" s="73">
        <f t="shared" si="0"/>
        <v>7241863.3799999999</v>
      </c>
      <c r="P27" s="74">
        <f>SUM(Table2[[#This Row],[JAN]:[DEC]])</f>
        <v>80092816.159999996</v>
      </c>
    </row>
    <row r="28" spans="1:16" x14ac:dyDescent="0.2">
      <c r="A28" s="70">
        <v>483</v>
      </c>
      <c r="B28" s="70">
        <v>81323</v>
      </c>
      <c r="C28" s="69" t="s">
        <v>238</v>
      </c>
      <c r="D28" s="73">
        <v>6290216.2699999996</v>
      </c>
      <c r="E28" s="73">
        <v>6748067.2000000002</v>
      </c>
      <c r="F28" s="73">
        <v>6344036.8200000003</v>
      </c>
      <c r="G28" s="73">
        <v>6386726.4699999997</v>
      </c>
      <c r="H28" s="73">
        <v>5138937.3600000003</v>
      </c>
      <c r="I28" s="73">
        <v>7392962.2999999998</v>
      </c>
      <c r="J28" s="73">
        <v>6298672.54</v>
      </c>
      <c r="K28" s="73">
        <v>6180702.8899999997</v>
      </c>
      <c r="L28" s="73">
        <v>6595691.9299999997</v>
      </c>
      <c r="M28" s="73">
        <v>6389086.3899999997</v>
      </c>
      <c r="N28" s="73">
        <v>6080525.8600000003</v>
      </c>
      <c r="O28" s="73">
        <f t="shared" si="0"/>
        <v>6688578.4500000002</v>
      </c>
      <c r="P28" s="74">
        <f>SUM(Table2[[#This Row],[JAN]:[DEC]])</f>
        <v>76534204.480000004</v>
      </c>
    </row>
    <row r="29" spans="1:16" x14ac:dyDescent="0.2">
      <c r="A29" s="70">
        <v>504</v>
      </c>
      <c r="B29" s="70">
        <v>81347</v>
      </c>
      <c r="C29" s="69" t="s">
        <v>250</v>
      </c>
      <c r="D29" s="73">
        <v>5367126.6900000004</v>
      </c>
      <c r="E29" s="73">
        <v>5317832.25</v>
      </c>
      <c r="F29" s="73">
        <v>5642461.2000000002</v>
      </c>
      <c r="G29" s="73">
        <v>5586721.4500000002</v>
      </c>
      <c r="H29" s="73">
        <v>6106939.7400000002</v>
      </c>
      <c r="I29" s="73">
        <v>6508995.9100000001</v>
      </c>
      <c r="J29" s="73">
        <v>6493508.21</v>
      </c>
      <c r="K29" s="73">
        <v>6880986.0999999996</v>
      </c>
      <c r="L29" s="73">
        <v>7120536.6399999997</v>
      </c>
      <c r="M29" s="73">
        <v>7014860.8399999999</v>
      </c>
      <c r="N29" s="73">
        <v>6432015.8799999999</v>
      </c>
      <c r="O29" s="73">
        <f t="shared" si="0"/>
        <v>7075217.4699999997</v>
      </c>
      <c r="P29" s="74">
        <f>SUM(Table2[[#This Row],[JAN]:[DEC]])</f>
        <v>75547202.379999995</v>
      </c>
    </row>
    <row r="30" spans="1:16" x14ac:dyDescent="0.2">
      <c r="A30" s="70">
        <v>71</v>
      </c>
      <c r="B30" s="70">
        <v>31014</v>
      </c>
      <c r="C30" s="69" t="s">
        <v>111</v>
      </c>
      <c r="D30" s="73">
        <v>5101538.97</v>
      </c>
      <c r="E30" s="73">
        <v>6391139.04</v>
      </c>
      <c r="F30" s="73">
        <v>6855234.8499999996</v>
      </c>
      <c r="G30" s="73">
        <v>5668350.9100000001</v>
      </c>
      <c r="H30" s="73">
        <v>4956160.2300000004</v>
      </c>
      <c r="I30" s="73">
        <v>5388618.2000000002</v>
      </c>
      <c r="J30" s="73">
        <v>6780051.1900000004</v>
      </c>
      <c r="K30" s="73">
        <v>5680434.6799999997</v>
      </c>
      <c r="L30" s="73">
        <v>6139121.0099999998</v>
      </c>
      <c r="M30" s="73">
        <v>7395711.1299999999</v>
      </c>
      <c r="N30" s="73">
        <v>7231359.04</v>
      </c>
      <c r="O30" s="73">
        <f t="shared" si="0"/>
        <v>7954494.9400000004</v>
      </c>
      <c r="P30" s="74">
        <f>SUM(Table2[[#This Row],[JAN]:[DEC]])</f>
        <v>75542214.189999998</v>
      </c>
    </row>
    <row r="31" spans="1:16" x14ac:dyDescent="0.2">
      <c r="A31" s="70">
        <v>81</v>
      </c>
      <c r="B31" s="70">
        <v>31028</v>
      </c>
      <c r="C31" s="69" t="s">
        <v>115</v>
      </c>
      <c r="D31" s="73">
        <v>4937381.75</v>
      </c>
      <c r="E31" s="73">
        <v>6276895.6299999999</v>
      </c>
      <c r="F31" s="73">
        <v>6422533.6900000004</v>
      </c>
      <c r="G31" s="73">
        <v>5322864.3899999997</v>
      </c>
      <c r="H31" s="73">
        <v>4953380.09</v>
      </c>
      <c r="I31" s="73">
        <v>5881405.6299999999</v>
      </c>
      <c r="J31" s="73">
        <v>7786540.4100000001</v>
      </c>
      <c r="K31" s="73">
        <v>5825977.1799999997</v>
      </c>
      <c r="L31" s="73">
        <v>5864299.3200000003</v>
      </c>
      <c r="M31" s="73">
        <v>6928135.6900000004</v>
      </c>
      <c r="N31" s="73">
        <v>7126131.6100000003</v>
      </c>
      <c r="O31" s="73">
        <f t="shared" si="0"/>
        <v>7838744.7699999996</v>
      </c>
      <c r="P31" s="74">
        <f>SUM(Table2[[#This Row],[JAN]:[DEC]])</f>
        <v>75164290.159999996</v>
      </c>
    </row>
    <row r="32" spans="1:16" x14ac:dyDescent="0.2">
      <c r="A32" s="70">
        <v>417</v>
      </c>
      <c r="B32" s="70">
        <v>81241</v>
      </c>
      <c r="C32" s="69" t="s">
        <v>214</v>
      </c>
      <c r="D32" s="73">
        <v>5466533.6299999999</v>
      </c>
      <c r="E32" s="73">
        <v>5168500.33</v>
      </c>
      <c r="F32" s="73">
        <v>5844651.8300000001</v>
      </c>
      <c r="G32" s="73">
        <v>5671664.6100000003</v>
      </c>
      <c r="H32" s="73">
        <v>5746899.5800000001</v>
      </c>
      <c r="I32" s="73">
        <v>5237497.21</v>
      </c>
      <c r="J32" s="73">
        <v>5871798.2000000002</v>
      </c>
      <c r="K32" s="73">
        <v>6243112.3099999996</v>
      </c>
      <c r="L32" s="73">
        <v>5910707.2699999996</v>
      </c>
      <c r="M32" s="73">
        <v>5902114.7999999998</v>
      </c>
      <c r="N32" s="73">
        <v>5523803.5099999998</v>
      </c>
      <c r="O32" s="73">
        <f t="shared" si="0"/>
        <v>6076183.8600000003</v>
      </c>
      <c r="P32" s="74">
        <f>SUM(Table2[[#This Row],[JAN]:[DEC]])</f>
        <v>68663467.140000015</v>
      </c>
    </row>
    <row r="33" spans="1:16" x14ac:dyDescent="0.2">
      <c r="A33" s="70">
        <v>182</v>
      </c>
      <c r="B33" s="70">
        <v>61012</v>
      </c>
      <c r="C33" s="69" t="s">
        <v>136</v>
      </c>
      <c r="D33" s="73">
        <v>5516153.2599999998</v>
      </c>
      <c r="E33" s="73">
        <v>5328458.0999999996</v>
      </c>
      <c r="F33" s="73">
        <v>5657480.6200000001</v>
      </c>
      <c r="G33" s="73">
        <v>5085356.59</v>
      </c>
      <c r="H33" s="73">
        <v>4969962.3</v>
      </c>
      <c r="I33" s="73">
        <v>5300362.1500000004</v>
      </c>
      <c r="J33" s="73">
        <v>5873299.4500000002</v>
      </c>
      <c r="K33" s="73">
        <v>5102666.6900000004</v>
      </c>
      <c r="L33" s="73">
        <v>4011509.81</v>
      </c>
      <c r="M33" s="73">
        <v>7594438.3399999999</v>
      </c>
      <c r="N33" s="73">
        <v>6504071.6699999999</v>
      </c>
      <c r="O33" s="73">
        <f t="shared" si="0"/>
        <v>7154478.8399999999</v>
      </c>
      <c r="P33" s="74">
        <f>SUM(Table2[[#This Row],[JAN]:[DEC]])</f>
        <v>68098237.820000008</v>
      </c>
    </row>
    <row r="34" spans="1:16" x14ac:dyDescent="0.2">
      <c r="A34" s="70">
        <v>367</v>
      </c>
      <c r="B34" s="70">
        <v>81179</v>
      </c>
      <c r="C34" s="69" t="s">
        <v>203</v>
      </c>
      <c r="D34" s="73">
        <v>5358493.62</v>
      </c>
      <c r="E34" s="73">
        <v>5892895.7999999998</v>
      </c>
      <c r="F34" s="73">
        <v>6212562.0999999996</v>
      </c>
      <c r="G34" s="73">
        <v>5704334.6100000003</v>
      </c>
      <c r="H34" s="73">
        <v>4606810.3099999996</v>
      </c>
      <c r="I34" s="73">
        <v>4001579.41</v>
      </c>
      <c r="J34" s="73">
        <v>3966286.96</v>
      </c>
      <c r="K34" s="73">
        <v>3941802.29</v>
      </c>
      <c r="L34" s="73">
        <v>4503703.1500000004</v>
      </c>
      <c r="M34" s="73">
        <v>5726447.8799999999</v>
      </c>
      <c r="N34" s="73">
        <v>7166724.2699999996</v>
      </c>
      <c r="O34" s="73">
        <f t="shared" ref="O34:O65" si="1">ROUND(N34*110%,2)</f>
        <v>7883396.7000000002</v>
      </c>
      <c r="P34" s="74">
        <f>SUM(Table2[[#This Row],[JAN]:[DEC]])</f>
        <v>64965037.099999994</v>
      </c>
    </row>
    <row r="35" spans="1:16" x14ac:dyDescent="0.2">
      <c r="A35" s="70">
        <v>144</v>
      </c>
      <c r="B35" s="70">
        <v>51028</v>
      </c>
      <c r="C35" s="69" t="s">
        <v>128</v>
      </c>
      <c r="D35" s="73">
        <v>3098258.63</v>
      </c>
      <c r="E35" s="73">
        <v>2966089.3</v>
      </c>
      <c r="F35" s="73">
        <v>3216725.12</v>
      </c>
      <c r="G35" s="73">
        <v>3523078.65</v>
      </c>
      <c r="H35" s="73">
        <v>3966450.24</v>
      </c>
      <c r="I35" s="73">
        <v>4089679.57</v>
      </c>
      <c r="J35" s="73">
        <v>5646213.1299999999</v>
      </c>
      <c r="K35" s="73">
        <v>4753975.26</v>
      </c>
      <c r="L35" s="73">
        <v>6840830.9500000002</v>
      </c>
      <c r="M35" s="73">
        <v>8636864.1099999994</v>
      </c>
      <c r="N35" s="73">
        <v>6902269.25</v>
      </c>
      <c r="O35" s="73">
        <f t="shared" si="1"/>
        <v>7592496.1799999997</v>
      </c>
      <c r="P35" s="74">
        <f>SUM(Table2[[#This Row],[JAN]:[DEC]])</f>
        <v>61232930.390000001</v>
      </c>
    </row>
    <row r="36" spans="1:16" x14ac:dyDescent="0.2">
      <c r="A36" s="70">
        <v>497</v>
      </c>
      <c r="B36" s="70">
        <v>81337</v>
      </c>
      <c r="C36" s="69" t="s">
        <v>243</v>
      </c>
      <c r="D36" s="73">
        <v>4371674.37</v>
      </c>
      <c r="E36" s="73">
        <v>4556545.07</v>
      </c>
      <c r="F36" s="73">
        <v>4660937.88</v>
      </c>
      <c r="G36" s="73">
        <v>4703983.6399999997</v>
      </c>
      <c r="H36" s="73">
        <v>4835170.71</v>
      </c>
      <c r="I36" s="73">
        <v>4758328.7</v>
      </c>
      <c r="J36" s="73">
        <v>4777286.6100000003</v>
      </c>
      <c r="K36" s="73">
        <v>4977336.22</v>
      </c>
      <c r="L36" s="73">
        <v>5094464.84</v>
      </c>
      <c r="M36" s="73">
        <v>5189815.92</v>
      </c>
      <c r="N36" s="73">
        <v>5145643.49</v>
      </c>
      <c r="O36" s="73">
        <f t="shared" si="1"/>
        <v>5660207.8399999999</v>
      </c>
      <c r="P36" s="74">
        <f>SUM(Table2[[#This Row],[JAN]:[DEC]])</f>
        <v>58731395.290000007</v>
      </c>
    </row>
    <row r="37" spans="1:16" x14ac:dyDescent="0.2">
      <c r="A37" s="70">
        <v>482</v>
      </c>
      <c r="B37" s="70">
        <v>81322</v>
      </c>
      <c r="C37" s="69" t="s">
        <v>237</v>
      </c>
      <c r="D37" s="73">
        <v>4721639.66</v>
      </c>
      <c r="E37" s="73">
        <v>4803326.21</v>
      </c>
      <c r="F37" s="73">
        <v>4835141.83</v>
      </c>
      <c r="G37" s="73">
        <v>4886344.1900000004</v>
      </c>
      <c r="H37" s="73">
        <v>4968889.8099999996</v>
      </c>
      <c r="I37" s="73">
        <v>4907156.17</v>
      </c>
      <c r="J37" s="73">
        <v>4704202</v>
      </c>
      <c r="K37" s="73">
        <v>4787650.84</v>
      </c>
      <c r="L37" s="73">
        <v>4856524.05</v>
      </c>
      <c r="M37" s="73">
        <v>5027637.5</v>
      </c>
      <c r="N37" s="73">
        <v>4829975.63</v>
      </c>
      <c r="O37" s="73">
        <f t="shared" si="1"/>
        <v>5312973.1900000004</v>
      </c>
      <c r="P37" s="74">
        <f>SUM(Table2[[#This Row],[JAN]:[DEC]])</f>
        <v>58641461.079999991</v>
      </c>
    </row>
    <row r="38" spans="1:16" x14ac:dyDescent="0.2">
      <c r="A38" s="70">
        <v>200</v>
      </c>
      <c r="B38" s="70">
        <v>61036</v>
      </c>
      <c r="C38" s="69" t="s">
        <v>147</v>
      </c>
      <c r="D38" s="73">
        <v>5350155.74</v>
      </c>
      <c r="E38" s="73">
        <v>3327997.26</v>
      </c>
      <c r="F38" s="73">
        <v>4194512.5</v>
      </c>
      <c r="G38" s="73">
        <v>3559297.62</v>
      </c>
      <c r="H38" s="73">
        <v>3205964.58</v>
      </c>
      <c r="I38" s="73">
        <v>2763051.66</v>
      </c>
      <c r="J38" s="73">
        <v>3166310.67</v>
      </c>
      <c r="K38" s="73">
        <v>3077416.57</v>
      </c>
      <c r="L38" s="73">
        <v>3847485.09</v>
      </c>
      <c r="M38" s="73">
        <v>4559373.82</v>
      </c>
      <c r="N38" s="73">
        <v>10164176.449999999</v>
      </c>
      <c r="O38" s="73">
        <f t="shared" si="1"/>
        <v>11180594.1</v>
      </c>
      <c r="P38" s="74">
        <f>SUM(Table2[[#This Row],[JAN]:[DEC]])</f>
        <v>58396336.06000001</v>
      </c>
    </row>
    <row r="39" spans="1:16" x14ac:dyDescent="0.2">
      <c r="A39" s="70">
        <v>183</v>
      </c>
      <c r="B39" s="70">
        <v>61014</v>
      </c>
      <c r="C39" s="69" t="s">
        <v>137</v>
      </c>
      <c r="D39" s="73">
        <v>5493596.9900000002</v>
      </c>
      <c r="E39" s="73">
        <v>3110873.93</v>
      </c>
      <c r="F39" s="73">
        <v>3721517.63</v>
      </c>
      <c r="G39" s="73">
        <v>3617886.92</v>
      </c>
      <c r="H39" s="73">
        <v>3008680.47</v>
      </c>
      <c r="I39" s="73">
        <v>3212212.28</v>
      </c>
      <c r="J39" s="73">
        <v>4005396.79</v>
      </c>
      <c r="K39" s="73">
        <v>3575564.97</v>
      </c>
      <c r="L39" s="73">
        <v>3862555.26</v>
      </c>
      <c r="M39" s="73">
        <v>4443957.8600000003</v>
      </c>
      <c r="N39" s="73">
        <v>9436260.9000000004</v>
      </c>
      <c r="O39" s="73">
        <f t="shared" si="1"/>
        <v>10379886.99</v>
      </c>
      <c r="P39" s="74">
        <f>SUM(Table2[[#This Row],[JAN]:[DEC]])</f>
        <v>57868390.990000002</v>
      </c>
    </row>
    <row r="40" spans="1:16" x14ac:dyDescent="0.2">
      <c r="A40" s="70">
        <v>537</v>
      </c>
      <c r="B40" s="70">
        <v>141004</v>
      </c>
      <c r="C40" s="69" t="s">
        <v>156</v>
      </c>
      <c r="D40" s="73">
        <v>3097495.57</v>
      </c>
      <c r="E40" s="73">
        <v>2915999.55</v>
      </c>
      <c r="F40" s="73">
        <v>3183010.83</v>
      </c>
      <c r="G40" s="73">
        <v>3373704.19</v>
      </c>
      <c r="H40" s="73">
        <v>4467963.53</v>
      </c>
      <c r="I40" s="73">
        <v>6862871.6200000001</v>
      </c>
      <c r="J40" s="73">
        <v>5409791.6699999999</v>
      </c>
      <c r="K40" s="73">
        <v>5576731.3099999996</v>
      </c>
      <c r="L40" s="73">
        <v>6123756.5300000003</v>
      </c>
      <c r="M40" s="73">
        <v>5959460.5099999998</v>
      </c>
      <c r="N40" s="73">
        <v>4669151.05</v>
      </c>
      <c r="O40" s="73">
        <f t="shared" si="1"/>
        <v>5136066.16</v>
      </c>
      <c r="P40" s="74">
        <f>SUM(Table2[[#This Row],[JAN]:[DEC]])</f>
        <v>56776002.519999996</v>
      </c>
    </row>
    <row r="41" spans="1:16" x14ac:dyDescent="0.2">
      <c r="A41" s="70">
        <v>561</v>
      </c>
      <c r="B41" s="70">
        <v>171002</v>
      </c>
      <c r="C41" s="69" t="s">
        <v>266</v>
      </c>
      <c r="D41" s="73">
        <v>1114912.25</v>
      </c>
      <c r="E41" s="73">
        <v>1293639.31</v>
      </c>
      <c r="F41" s="73">
        <v>2313798.27</v>
      </c>
      <c r="G41" s="73">
        <v>3336577.16</v>
      </c>
      <c r="H41" s="73">
        <v>4532690.4400000004</v>
      </c>
      <c r="I41" s="73">
        <v>26740535.010000002</v>
      </c>
      <c r="J41" s="73">
        <v>1409223.89</v>
      </c>
      <c r="K41" s="73">
        <v>4401515.58</v>
      </c>
      <c r="L41" s="73">
        <v>3008482.64</v>
      </c>
      <c r="M41" s="73">
        <v>3607719.72</v>
      </c>
      <c r="N41" s="73">
        <v>2329615.2400000002</v>
      </c>
      <c r="O41" s="73">
        <f t="shared" si="1"/>
        <v>2562576.7599999998</v>
      </c>
      <c r="P41" s="74">
        <f>SUM(Table2[[#This Row],[JAN]:[DEC]])</f>
        <v>56651286.269999996</v>
      </c>
    </row>
    <row r="42" spans="1:16" x14ac:dyDescent="0.2">
      <c r="A42" s="70">
        <v>46</v>
      </c>
      <c r="B42" s="71">
        <v>11069</v>
      </c>
      <c r="C42" s="72" t="s">
        <v>103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398514.12</v>
      </c>
      <c r="L42" s="73">
        <v>11865336.810000001</v>
      </c>
      <c r="M42" s="73">
        <v>15219384.550000001</v>
      </c>
      <c r="N42" s="73">
        <v>13418735.699999999</v>
      </c>
      <c r="O42" s="73">
        <f t="shared" si="1"/>
        <v>14760609.27</v>
      </c>
      <c r="P42" s="74">
        <f>SUM(Table2[[#This Row],[JAN]:[DEC]])</f>
        <v>55662580.450000003</v>
      </c>
    </row>
    <row r="43" spans="1:16" x14ac:dyDescent="0.2">
      <c r="A43" s="70">
        <v>134</v>
      </c>
      <c r="B43" s="70">
        <v>51017</v>
      </c>
      <c r="C43" s="69" t="s">
        <v>126</v>
      </c>
      <c r="D43" s="73">
        <v>1935705.34</v>
      </c>
      <c r="E43" s="73">
        <v>2021362.16</v>
      </c>
      <c r="F43" s="73">
        <v>2026460.56</v>
      </c>
      <c r="G43" s="73">
        <v>2444319.34</v>
      </c>
      <c r="H43" s="73">
        <v>2274582.27</v>
      </c>
      <c r="I43" s="73">
        <v>2630199.09</v>
      </c>
      <c r="J43" s="73">
        <v>7774533.2800000003</v>
      </c>
      <c r="K43" s="73">
        <v>7767475.0899999999</v>
      </c>
      <c r="L43" s="73">
        <v>5964962.9500000002</v>
      </c>
      <c r="M43" s="73">
        <v>6692433.0800000001</v>
      </c>
      <c r="N43" s="73">
        <v>5861217.6299999999</v>
      </c>
      <c r="O43" s="73">
        <f t="shared" si="1"/>
        <v>6447339.3899999997</v>
      </c>
      <c r="P43" s="74">
        <f>SUM(Table2[[#This Row],[JAN]:[DEC]])</f>
        <v>53840590.18</v>
      </c>
    </row>
    <row r="44" spans="1:16" x14ac:dyDescent="0.2">
      <c r="A44" s="70">
        <v>218</v>
      </c>
      <c r="B44" s="70">
        <v>61058</v>
      </c>
      <c r="C44" s="69" t="s">
        <v>155</v>
      </c>
      <c r="D44" s="73">
        <v>4165381.31</v>
      </c>
      <c r="E44" s="73">
        <v>3856085.02</v>
      </c>
      <c r="F44" s="73">
        <v>3295403.04</v>
      </c>
      <c r="G44" s="73">
        <v>4332752.5199999996</v>
      </c>
      <c r="H44" s="73">
        <v>4502852.88</v>
      </c>
      <c r="I44" s="73">
        <v>4669967.55</v>
      </c>
      <c r="J44" s="73">
        <v>4868177.68</v>
      </c>
      <c r="K44" s="73">
        <v>4505342.26</v>
      </c>
      <c r="L44" s="73">
        <v>4469399.78</v>
      </c>
      <c r="M44" s="73">
        <v>4869057.87</v>
      </c>
      <c r="N44" s="73">
        <v>4493603.42</v>
      </c>
      <c r="O44" s="73">
        <f t="shared" si="1"/>
        <v>4942963.76</v>
      </c>
      <c r="P44" s="74">
        <f>SUM(Table2[[#This Row],[JAN]:[DEC]])</f>
        <v>52970987.089999996</v>
      </c>
    </row>
    <row r="45" spans="1:16" x14ac:dyDescent="0.2">
      <c r="A45" s="70">
        <v>376</v>
      </c>
      <c r="B45" s="70">
        <v>81188</v>
      </c>
      <c r="C45" s="69" t="s">
        <v>208</v>
      </c>
      <c r="D45" s="73">
        <v>4893991.4800000004</v>
      </c>
      <c r="E45" s="73">
        <v>4012044.98</v>
      </c>
      <c r="F45" s="73">
        <v>3872106.13</v>
      </c>
      <c r="G45" s="73">
        <v>4068680.54</v>
      </c>
      <c r="H45" s="73">
        <v>4570569.92</v>
      </c>
      <c r="I45" s="73">
        <v>4497978.8499999996</v>
      </c>
      <c r="J45" s="73">
        <v>4081662.09</v>
      </c>
      <c r="K45" s="73">
        <v>4602293.4000000004</v>
      </c>
      <c r="L45" s="73">
        <v>4693663.8899999997</v>
      </c>
      <c r="M45" s="73">
        <v>5012706.87</v>
      </c>
      <c r="N45" s="73">
        <v>3703270.53</v>
      </c>
      <c r="O45" s="73">
        <f t="shared" si="1"/>
        <v>4073597.58</v>
      </c>
      <c r="P45" s="74">
        <f>SUM(Table2[[#This Row],[JAN]:[DEC]])</f>
        <v>52082566.259999998</v>
      </c>
    </row>
    <row r="46" spans="1:16" x14ac:dyDescent="0.2">
      <c r="A46" s="70">
        <v>411</v>
      </c>
      <c r="B46" s="70">
        <v>81235</v>
      </c>
      <c r="C46" s="69" t="s">
        <v>213</v>
      </c>
      <c r="D46" s="73">
        <v>3413349.24</v>
      </c>
      <c r="E46" s="73">
        <v>3407948.06</v>
      </c>
      <c r="F46" s="73">
        <v>3731088.22</v>
      </c>
      <c r="G46" s="73">
        <v>3516787.27</v>
      </c>
      <c r="H46" s="73">
        <v>3688570.69</v>
      </c>
      <c r="I46" s="73">
        <v>11176992.119999999</v>
      </c>
      <c r="J46" s="73">
        <v>3833941.37</v>
      </c>
      <c r="K46" s="73">
        <v>3778457.31</v>
      </c>
      <c r="L46" s="73">
        <v>3688424.6</v>
      </c>
      <c r="M46" s="73">
        <v>3812857.9</v>
      </c>
      <c r="N46" s="73">
        <v>3532279.69</v>
      </c>
      <c r="O46" s="73">
        <f t="shared" si="1"/>
        <v>3885507.66</v>
      </c>
      <c r="P46" s="74">
        <f>SUM(Table2[[#This Row],[JAN]:[DEC]])</f>
        <v>51466204.129999995</v>
      </c>
    </row>
    <row r="47" spans="1:16" x14ac:dyDescent="0.2">
      <c r="A47" s="70">
        <v>42</v>
      </c>
      <c r="B47" s="71">
        <v>11064</v>
      </c>
      <c r="C47" s="72" t="s">
        <v>99</v>
      </c>
      <c r="D47" s="73">
        <v>0</v>
      </c>
      <c r="E47" s="73">
        <v>4145.95</v>
      </c>
      <c r="F47" s="73">
        <v>7198443.4400000004</v>
      </c>
      <c r="G47" s="73">
        <v>5230023.57</v>
      </c>
      <c r="H47" s="73">
        <v>4287758.7</v>
      </c>
      <c r="I47" s="73">
        <v>4301786.91</v>
      </c>
      <c r="J47" s="73">
        <v>4911078.1900000004</v>
      </c>
      <c r="K47" s="73">
        <v>4669809.75</v>
      </c>
      <c r="L47" s="73">
        <v>4569913.41</v>
      </c>
      <c r="M47" s="73">
        <v>4927548.4000000004</v>
      </c>
      <c r="N47" s="73">
        <v>4697896.6399999997</v>
      </c>
      <c r="O47" s="73">
        <f t="shared" si="1"/>
        <v>5167686.3</v>
      </c>
      <c r="P47" s="74">
        <f>SUM(Table2[[#This Row],[JAN]:[DEC]])</f>
        <v>49966091.259999998</v>
      </c>
    </row>
    <row r="48" spans="1:16" x14ac:dyDescent="0.2">
      <c r="A48" s="70">
        <v>350</v>
      </c>
      <c r="B48" s="70">
        <v>81157</v>
      </c>
      <c r="C48" s="69" t="s">
        <v>195</v>
      </c>
      <c r="D48" s="73">
        <v>4151665.47</v>
      </c>
      <c r="E48" s="73">
        <v>3950503.9</v>
      </c>
      <c r="F48" s="73">
        <v>3996776.04</v>
      </c>
      <c r="G48" s="73">
        <v>3936127.12</v>
      </c>
      <c r="H48" s="73">
        <v>3925391.62</v>
      </c>
      <c r="I48" s="73">
        <v>3651459.16</v>
      </c>
      <c r="J48" s="73">
        <v>6144721.2699999996</v>
      </c>
      <c r="K48" s="73">
        <v>3396899.94</v>
      </c>
      <c r="L48" s="73">
        <v>3856451.46</v>
      </c>
      <c r="M48" s="73">
        <v>4094962.56</v>
      </c>
      <c r="N48" s="73">
        <v>3776355</v>
      </c>
      <c r="O48" s="73">
        <f t="shared" si="1"/>
        <v>4153990.5</v>
      </c>
      <c r="P48" s="74">
        <f>SUM(Table2[[#This Row],[JAN]:[DEC]])</f>
        <v>49035304.040000007</v>
      </c>
    </row>
    <row r="49" spans="1:16" x14ac:dyDescent="0.2">
      <c r="A49" s="70">
        <v>365</v>
      </c>
      <c r="B49" s="70">
        <v>81177</v>
      </c>
      <c r="C49" s="69" t="s">
        <v>202</v>
      </c>
      <c r="D49" s="73">
        <v>3586179.99</v>
      </c>
      <c r="E49" s="73">
        <v>3622852.25</v>
      </c>
      <c r="F49" s="73">
        <v>3784805.39</v>
      </c>
      <c r="G49" s="73">
        <v>3861102.31</v>
      </c>
      <c r="H49" s="73">
        <v>3635782.95</v>
      </c>
      <c r="I49" s="73">
        <v>4290487.5</v>
      </c>
      <c r="J49" s="73">
        <v>4711293.8499999996</v>
      </c>
      <c r="K49" s="73">
        <v>4332327.91</v>
      </c>
      <c r="L49" s="73">
        <v>3766179.09</v>
      </c>
      <c r="M49" s="73">
        <v>3988155.48</v>
      </c>
      <c r="N49" s="73">
        <v>3559310.89</v>
      </c>
      <c r="O49" s="73">
        <f t="shared" si="1"/>
        <v>3915241.98</v>
      </c>
      <c r="P49" s="74">
        <f>SUM(Table2[[#This Row],[JAN]:[DEC]])</f>
        <v>47053719.589999996</v>
      </c>
    </row>
    <row r="50" spans="1:16" x14ac:dyDescent="0.2">
      <c r="A50" s="70">
        <v>308</v>
      </c>
      <c r="B50" s="70">
        <v>81099</v>
      </c>
      <c r="C50" s="69" t="s">
        <v>179</v>
      </c>
      <c r="D50" s="73">
        <v>3635252.05</v>
      </c>
      <c r="E50" s="73">
        <v>3549461.86</v>
      </c>
      <c r="F50" s="73">
        <v>5861709.29</v>
      </c>
      <c r="G50" s="73">
        <v>3066906.89</v>
      </c>
      <c r="H50" s="73">
        <v>4170321.22</v>
      </c>
      <c r="I50" s="73">
        <v>3718397.54</v>
      </c>
      <c r="J50" s="73">
        <v>3246631.74</v>
      </c>
      <c r="K50" s="73">
        <v>3780124.34</v>
      </c>
      <c r="L50" s="73">
        <v>3782811.92</v>
      </c>
      <c r="M50" s="73">
        <v>4272928.12</v>
      </c>
      <c r="N50" s="73">
        <v>3620141.58</v>
      </c>
      <c r="O50" s="73">
        <f t="shared" si="1"/>
        <v>3982155.74</v>
      </c>
      <c r="P50" s="74">
        <f>SUM(Table2[[#This Row],[JAN]:[DEC]])</f>
        <v>46686842.289999992</v>
      </c>
    </row>
    <row r="51" spans="1:16" x14ac:dyDescent="0.2">
      <c r="A51" s="70">
        <v>331</v>
      </c>
      <c r="B51" s="70">
        <v>81133</v>
      </c>
      <c r="C51" s="69" t="s">
        <v>187</v>
      </c>
      <c r="D51" s="73">
        <v>3254115.81</v>
      </c>
      <c r="E51" s="73">
        <v>3189886.11</v>
      </c>
      <c r="F51" s="73">
        <v>3267291.77</v>
      </c>
      <c r="G51" s="73">
        <v>3404398.25</v>
      </c>
      <c r="H51" s="73">
        <v>3977777.79</v>
      </c>
      <c r="I51" s="73">
        <v>4061303.37</v>
      </c>
      <c r="J51" s="73">
        <v>3615277.09</v>
      </c>
      <c r="K51" s="73">
        <v>3955820.44</v>
      </c>
      <c r="L51" s="73">
        <v>3912016.6</v>
      </c>
      <c r="M51" s="73">
        <v>3920405.1</v>
      </c>
      <c r="N51" s="73">
        <v>3671938.6</v>
      </c>
      <c r="O51" s="73">
        <f t="shared" si="1"/>
        <v>4039132.46</v>
      </c>
      <c r="P51" s="74">
        <f>SUM(Table2[[#This Row],[JAN]:[DEC]])</f>
        <v>44269363.390000008</v>
      </c>
    </row>
    <row r="52" spans="1:16" x14ac:dyDescent="0.2">
      <c r="A52" s="70">
        <v>281</v>
      </c>
      <c r="B52" s="70">
        <v>81051</v>
      </c>
      <c r="C52" s="69" t="s">
        <v>170</v>
      </c>
      <c r="D52" s="73">
        <v>3624728.12</v>
      </c>
      <c r="E52" s="73">
        <v>3192091.2</v>
      </c>
      <c r="F52" s="73">
        <v>3436254.87</v>
      </c>
      <c r="G52" s="73">
        <v>3546335.54</v>
      </c>
      <c r="H52" s="73">
        <v>3628315.4</v>
      </c>
      <c r="I52" s="73">
        <v>3353760.36</v>
      </c>
      <c r="J52" s="73">
        <v>4172667.76</v>
      </c>
      <c r="K52" s="73">
        <v>7551035.1799999997</v>
      </c>
      <c r="L52" s="73">
        <v>2654041.42</v>
      </c>
      <c r="M52" s="73">
        <v>3071545.32</v>
      </c>
      <c r="N52" s="73">
        <v>2871930.85</v>
      </c>
      <c r="O52" s="73">
        <f t="shared" si="1"/>
        <v>3159123.94</v>
      </c>
      <c r="P52" s="74">
        <f>SUM(Table2[[#This Row],[JAN]:[DEC]])</f>
        <v>44261829.960000001</v>
      </c>
    </row>
    <row r="53" spans="1:16" x14ac:dyDescent="0.2">
      <c r="A53" s="70">
        <v>252</v>
      </c>
      <c r="B53" s="70">
        <v>81012</v>
      </c>
      <c r="C53" s="69" t="s">
        <v>160</v>
      </c>
      <c r="D53" s="73">
        <v>3622956.07</v>
      </c>
      <c r="E53" s="73">
        <v>3230997.92</v>
      </c>
      <c r="F53" s="73">
        <v>3282231.23</v>
      </c>
      <c r="G53" s="73">
        <v>3416254.42</v>
      </c>
      <c r="H53" s="73">
        <v>3717433.95</v>
      </c>
      <c r="I53" s="73">
        <v>3900529.15</v>
      </c>
      <c r="J53" s="73">
        <v>3587423.42</v>
      </c>
      <c r="K53" s="73">
        <v>3647782.82</v>
      </c>
      <c r="L53" s="73">
        <v>3767439.58</v>
      </c>
      <c r="M53" s="73">
        <v>3723020.19</v>
      </c>
      <c r="N53" s="73">
        <v>3410857.25</v>
      </c>
      <c r="O53" s="73">
        <f t="shared" si="1"/>
        <v>3751942.98</v>
      </c>
      <c r="P53" s="74">
        <f>SUM(Table2[[#This Row],[JAN]:[DEC]])</f>
        <v>43058868.979999989</v>
      </c>
    </row>
    <row r="54" spans="1:16" x14ac:dyDescent="0.2">
      <c r="A54" s="70">
        <v>347</v>
      </c>
      <c r="B54" s="70">
        <v>81152</v>
      </c>
      <c r="C54" s="69" t="s">
        <v>193</v>
      </c>
      <c r="D54" s="73">
        <v>3093022.76</v>
      </c>
      <c r="E54" s="73">
        <v>3153484</v>
      </c>
      <c r="F54" s="73">
        <v>3345864.33</v>
      </c>
      <c r="G54" s="73">
        <v>3304833.32</v>
      </c>
      <c r="H54" s="73">
        <v>3479533.19</v>
      </c>
      <c r="I54" s="73">
        <v>3654858.11</v>
      </c>
      <c r="J54" s="73">
        <v>3749555.44</v>
      </c>
      <c r="K54" s="73">
        <v>3897541.67</v>
      </c>
      <c r="L54" s="73">
        <v>3824271.06</v>
      </c>
      <c r="M54" s="73">
        <v>3874452.23</v>
      </c>
      <c r="N54" s="73">
        <v>3491571.29</v>
      </c>
      <c r="O54" s="73">
        <f t="shared" si="1"/>
        <v>3840728.42</v>
      </c>
      <c r="P54" s="74">
        <f>SUM(Table2[[#This Row],[JAN]:[DEC]])</f>
        <v>42709715.82</v>
      </c>
    </row>
    <row r="55" spans="1:16" x14ac:dyDescent="0.2">
      <c r="A55" s="70">
        <v>503</v>
      </c>
      <c r="B55" s="70">
        <v>81346</v>
      </c>
      <c r="C55" s="69" t="s">
        <v>249</v>
      </c>
      <c r="D55" s="73">
        <v>3787581.73</v>
      </c>
      <c r="E55" s="73">
        <v>3324173.32</v>
      </c>
      <c r="F55" s="73">
        <v>3180797.55</v>
      </c>
      <c r="G55" s="73">
        <v>3626395.19</v>
      </c>
      <c r="H55" s="73">
        <v>3655038.84</v>
      </c>
      <c r="I55" s="73">
        <v>3302060.16</v>
      </c>
      <c r="J55" s="73">
        <v>2997336.36</v>
      </c>
      <c r="K55" s="73">
        <v>3435641.07</v>
      </c>
      <c r="L55" s="73">
        <v>3521422.25</v>
      </c>
      <c r="M55" s="73">
        <v>3598209.22</v>
      </c>
      <c r="N55" s="73">
        <v>3454016.58</v>
      </c>
      <c r="O55" s="73">
        <f t="shared" si="1"/>
        <v>3799418.24</v>
      </c>
      <c r="P55" s="74">
        <f>SUM(Table2[[#This Row],[JAN]:[DEC]])</f>
        <v>41682090.509999998</v>
      </c>
    </row>
    <row r="56" spans="1:16" x14ac:dyDescent="0.2">
      <c r="A56" s="70">
        <v>213</v>
      </c>
      <c r="B56" s="70">
        <v>61051</v>
      </c>
      <c r="C56" s="69" t="s">
        <v>152</v>
      </c>
      <c r="D56" s="73">
        <v>2620886.27</v>
      </c>
      <c r="E56" s="73">
        <v>2657930.5299999998</v>
      </c>
      <c r="F56" s="73">
        <v>1704217.28</v>
      </c>
      <c r="G56" s="73">
        <v>3962568.47</v>
      </c>
      <c r="H56" s="73">
        <v>2233675.66</v>
      </c>
      <c r="I56" s="73">
        <v>4116723.31</v>
      </c>
      <c r="J56" s="73">
        <v>4576512.38</v>
      </c>
      <c r="K56" s="73">
        <v>4115552.42</v>
      </c>
      <c r="L56" s="73">
        <v>3686460.35</v>
      </c>
      <c r="M56" s="73">
        <v>3879794.46</v>
      </c>
      <c r="N56" s="73">
        <v>3450325.68</v>
      </c>
      <c r="O56" s="73">
        <f t="shared" si="1"/>
        <v>3795358.25</v>
      </c>
      <c r="P56" s="74">
        <f>SUM(Table2[[#This Row],[JAN]:[DEC]])</f>
        <v>40800005.060000002</v>
      </c>
    </row>
    <row r="57" spans="1:16" x14ac:dyDescent="0.2">
      <c r="A57" s="70">
        <v>8</v>
      </c>
      <c r="B57" s="70">
        <v>11011</v>
      </c>
      <c r="C57" s="69" t="s">
        <v>85</v>
      </c>
      <c r="D57" s="73">
        <v>3265586.54</v>
      </c>
      <c r="E57" s="73">
        <v>3171638.84</v>
      </c>
      <c r="F57" s="73">
        <v>3182664.66</v>
      </c>
      <c r="G57" s="73">
        <v>3423976.57</v>
      </c>
      <c r="H57" s="73">
        <v>3400473.58</v>
      </c>
      <c r="I57" s="73">
        <v>3290894.59</v>
      </c>
      <c r="J57" s="73">
        <v>3472071.38</v>
      </c>
      <c r="K57" s="73">
        <v>3690035.79</v>
      </c>
      <c r="L57" s="73">
        <v>3599434.4</v>
      </c>
      <c r="M57" s="73">
        <v>3659311.88</v>
      </c>
      <c r="N57" s="73">
        <v>3139901.89</v>
      </c>
      <c r="O57" s="73">
        <f t="shared" si="1"/>
        <v>3453892.08</v>
      </c>
      <c r="P57" s="74">
        <f>SUM(Table2[[#This Row],[JAN]:[DEC]])</f>
        <v>40749882.199999996</v>
      </c>
    </row>
    <row r="58" spans="1:16" x14ac:dyDescent="0.2">
      <c r="A58" s="70">
        <v>450</v>
      </c>
      <c r="B58" s="70">
        <v>81275</v>
      </c>
      <c r="C58" s="69" t="s">
        <v>228</v>
      </c>
      <c r="D58" s="73">
        <v>3227407.02</v>
      </c>
      <c r="E58" s="73">
        <v>3180631.79</v>
      </c>
      <c r="F58" s="73">
        <v>3182562.32</v>
      </c>
      <c r="G58" s="73">
        <v>3154311.46</v>
      </c>
      <c r="H58" s="73">
        <v>3366995.95</v>
      </c>
      <c r="I58" s="73">
        <v>3232430.98</v>
      </c>
      <c r="J58" s="73">
        <v>3251407.87</v>
      </c>
      <c r="K58" s="73">
        <v>3335024.54</v>
      </c>
      <c r="L58" s="73">
        <v>3331510.77</v>
      </c>
      <c r="M58" s="73">
        <v>3532170.96</v>
      </c>
      <c r="N58" s="73">
        <v>3360893.99</v>
      </c>
      <c r="O58" s="73">
        <f t="shared" si="1"/>
        <v>3696983.39</v>
      </c>
      <c r="P58" s="74">
        <f>SUM(Table2[[#This Row],[JAN]:[DEC]])</f>
        <v>39852331.039999999</v>
      </c>
    </row>
    <row r="59" spans="1:16" x14ac:dyDescent="0.2">
      <c r="A59" s="70">
        <v>14</v>
      </c>
      <c r="B59" s="70">
        <v>11021</v>
      </c>
      <c r="C59" s="69" t="s">
        <v>90</v>
      </c>
      <c r="D59" s="73">
        <v>3237279.48</v>
      </c>
      <c r="E59" s="73">
        <v>3419616.36</v>
      </c>
      <c r="F59" s="73">
        <v>3412069.51</v>
      </c>
      <c r="G59" s="73">
        <v>3292262.27</v>
      </c>
      <c r="H59" s="73">
        <v>3072505.53</v>
      </c>
      <c r="I59" s="73">
        <v>3097804.81</v>
      </c>
      <c r="J59" s="73">
        <v>3482788.51</v>
      </c>
      <c r="K59" s="73">
        <v>3200506.59</v>
      </c>
      <c r="L59" s="73">
        <v>3181964.56</v>
      </c>
      <c r="M59" s="73">
        <v>3097900.42</v>
      </c>
      <c r="N59" s="73">
        <v>3433615.23</v>
      </c>
      <c r="O59" s="73">
        <f t="shared" si="1"/>
        <v>3776976.75</v>
      </c>
      <c r="P59" s="74">
        <f>SUM(Table2[[#This Row],[JAN]:[DEC]])</f>
        <v>39705290.019999996</v>
      </c>
    </row>
    <row r="60" spans="1:16" x14ac:dyDescent="0.2">
      <c r="A60" s="70">
        <v>571</v>
      </c>
      <c r="B60" s="70">
        <v>171012</v>
      </c>
      <c r="C60" s="69" t="s">
        <v>272</v>
      </c>
      <c r="D60" s="73">
        <v>1724284.09</v>
      </c>
      <c r="E60" s="73">
        <v>2031737.63</v>
      </c>
      <c r="F60" s="73">
        <v>2474702.83</v>
      </c>
      <c r="G60" s="73">
        <v>3179925.37</v>
      </c>
      <c r="H60" s="73">
        <v>4800934.41</v>
      </c>
      <c r="I60" s="73">
        <v>3279426.45</v>
      </c>
      <c r="J60" s="73">
        <v>851889.11</v>
      </c>
      <c r="K60" s="73">
        <v>4346951.54</v>
      </c>
      <c r="L60" s="73">
        <v>4300488.22</v>
      </c>
      <c r="M60" s="73">
        <v>6027799.29</v>
      </c>
      <c r="N60" s="73">
        <v>2950606.98</v>
      </c>
      <c r="O60" s="73">
        <f t="shared" si="1"/>
        <v>3245667.68</v>
      </c>
      <c r="P60" s="74">
        <f>SUM(Table2[[#This Row],[JAN]:[DEC]])</f>
        <v>39214413.599999994</v>
      </c>
    </row>
    <row r="61" spans="1:16" x14ac:dyDescent="0.2">
      <c r="A61" s="70">
        <v>352</v>
      </c>
      <c r="B61" s="70">
        <v>81161</v>
      </c>
      <c r="C61" s="69" t="s">
        <v>197</v>
      </c>
      <c r="D61" s="73">
        <v>3177024.58</v>
      </c>
      <c r="E61" s="73">
        <v>3182831.33</v>
      </c>
      <c r="F61" s="73">
        <v>3153399.69</v>
      </c>
      <c r="G61" s="73">
        <v>3277587.42</v>
      </c>
      <c r="H61" s="73">
        <v>3383310.56</v>
      </c>
      <c r="I61" s="73">
        <v>3340930.42</v>
      </c>
      <c r="J61" s="73">
        <v>3173031.2</v>
      </c>
      <c r="K61" s="73">
        <v>3162841.91</v>
      </c>
      <c r="L61" s="73">
        <v>3224593.62</v>
      </c>
      <c r="M61" s="73">
        <v>3053652.17</v>
      </c>
      <c r="N61" s="73">
        <v>3281954.24</v>
      </c>
      <c r="O61" s="73">
        <f t="shared" si="1"/>
        <v>3610149.66</v>
      </c>
      <c r="P61" s="74">
        <f>SUM(Table2[[#This Row],[JAN]:[DEC]])</f>
        <v>39021306.799999997</v>
      </c>
    </row>
    <row r="62" spans="1:16" x14ac:dyDescent="0.2">
      <c r="A62" s="70">
        <v>489</v>
      </c>
      <c r="B62" s="70">
        <v>81329</v>
      </c>
      <c r="C62" s="69" t="s">
        <v>91</v>
      </c>
      <c r="D62" s="73">
        <v>2861945.82</v>
      </c>
      <c r="E62" s="73">
        <v>2887940.19</v>
      </c>
      <c r="F62" s="73">
        <v>3236099.09</v>
      </c>
      <c r="G62" s="73">
        <v>3047300.56</v>
      </c>
      <c r="H62" s="73">
        <v>3292417.24</v>
      </c>
      <c r="I62" s="73">
        <v>3329279.55</v>
      </c>
      <c r="J62" s="73">
        <v>3416069.94</v>
      </c>
      <c r="K62" s="73">
        <v>3606645.73</v>
      </c>
      <c r="L62" s="73">
        <v>3101368.66</v>
      </c>
      <c r="M62" s="73">
        <v>3274321.7</v>
      </c>
      <c r="N62" s="73">
        <v>3219038.85</v>
      </c>
      <c r="O62" s="73">
        <f t="shared" si="1"/>
        <v>3540942.74</v>
      </c>
      <c r="P62" s="74">
        <f>SUM(Table2[[#This Row],[JAN]:[DEC]])</f>
        <v>38813370.07</v>
      </c>
    </row>
    <row r="63" spans="1:16" x14ac:dyDescent="0.2">
      <c r="A63" s="70">
        <v>295</v>
      </c>
      <c r="B63" s="70">
        <v>81072</v>
      </c>
      <c r="C63" s="69" t="s">
        <v>174</v>
      </c>
      <c r="D63" s="73">
        <v>2735959.97</v>
      </c>
      <c r="E63" s="73">
        <v>2264655.58</v>
      </c>
      <c r="F63" s="73">
        <v>2315911.85</v>
      </c>
      <c r="G63" s="73">
        <v>2454872.56</v>
      </c>
      <c r="H63" s="73">
        <v>2658990.9</v>
      </c>
      <c r="I63" s="73">
        <v>2677490.14</v>
      </c>
      <c r="J63" s="73">
        <v>3002783.91</v>
      </c>
      <c r="K63" s="73">
        <v>3241454.34</v>
      </c>
      <c r="L63" s="73">
        <v>3782573.81</v>
      </c>
      <c r="M63" s="73">
        <v>4460560.13</v>
      </c>
      <c r="N63" s="73">
        <v>3954637.67</v>
      </c>
      <c r="O63" s="73">
        <f t="shared" si="1"/>
        <v>4350101.4400000004</v>
      </c>
      <c r="P63" s="74">
        <f>SUM(Table2[[#This Row],[JAN]:[DEC]])</f>
        <v>37899992.299999997</v>
      </c>
    </row>
    <row r="64" spans="1:16" x14ac:dyDescent="0.2">
      <c r="A64" s="70">
        <v>325</v>
      </c>
      <c r="B64" s="70">
        <v>81125</v>
      </c>
      <c r="C64" s="69" t="s">
        <v>186</v>
      </c>
      <c r="D64" s="73">
        <v>2619832.21</v>
      </c>
      <c r="E64" s="73">
        <v>3191600.4</v>
      </c>
      <c r="F64" s="73">
        <v>3321652.08</v>
      </c>
      <c r="G64" s="73">
        <v>3031791.36</v>
      </c>
      <c r="H64" s="73">
        <v>2883816.21</v>
      </c>
      <c r="I64" s="73">
        <v>2693610.94</v>
      </c>
      <c r="J64" s="73">
        <v>3444429.13</v>
      </c>
      <c r="K64" s="73">
        <v>2994550.53</v>
      </c>
      <c r="L64" s="73">
        <v>3062132.37</v>
      </c>
      <c r="M64" s="73">
        <v>3150643.14</v>
      </c>
      <c r="N64" s="73">
        <v>3107994.24</v>
      </c>
      <c r="O64" s="73">
        <f t="shared" si="1"/>
        <v>3418793.66</v>
      </c>
      <c r="P64" s="74">
        <f>SUM(Table2[[#This Row],[JAN]:[DEC]])</f>
        <v>36920846.269999996</v>
      </c>
    </row>
    <row r="65" spans="1:16" x14ac:dyDescent="0.2">
      <c r="A65" s="70">
        <v>373</v>
      </c>
      <c r="B65" s="70">
        <v>81185</v>
      </c>
      <c r="C65" s="69" t="s">
        <v>206</v>
      </c>
      <c r="D65" s="73">
        <v>3460254.31</v>
      </c>
      <c r="E65" s="73">
        <v>3668175.82</v>
      </c>
      <c r="F65" s="73">
        <v>2844642.87</v>
      </c>
      <c r="G65" s="73">
        <v>3111191.45</v>
      </c>
      <c r="H65" s="73">
        <v>2917104.15</v>
      </c>
      <c r="I65" s="73">
        <v>2471332</v>
      </c>
      <c r="J65" s="73">
        <v>2213976.4</v>
      </c>
      <c r="K65" s="73">
        <v>2682516.44</v>
      </c>
      <c r="L65" s="73">
        <v>2696789.92</v>
      </c>
      <c r="M65" s="73">
        <v>3046771.1</v>
      </c>
      <c r="N65" s="73">
        <v>3155518.78</v>
      </c>
      <c r="O65" s="73">
        <f t="shared" si="1"/>
        <v>3471070.66</v>
      </c>
      <c r="P65" s="74">
        <f>SUM(Table2[[#This Row],[JAN]:[DEC]])</f>
        <v>35739343.900000006</v>
      </c>
    </row>
    <row r="66" spans="1:16" x14ac:dyDescent="0.2">
      <c r="A66" s="70">
        <v>481</v>
      </c>
      <c r="B66" s="70">
        <v>81321</v>
      </c>
      <c r="C66" s="69" t="s">
        <v>236</v>
      </c>
      <c r="D66" s="73">
        <v>2516314.79</v>
      </c>
      <c r="E66" s="73">
        <v>2861738.37</v>
      </c>
      <c r="F66" s="73">
        <v>2931289.23</v>
      </c>
      <c r="G66" s="73">
        <v>3113785.71</v>
      </c>
      <c r="H66" s="73">
        <v>3262530.39</v>
      </c>
      <c r="I66" s="73">
        <v>2813626.94</v>
      </c>
      <c r="J66" s="73">
        <v>2588784.23</v>
      </c>
      <c r="K66" s="73">
        <v>2851691.34</v>
      </c>
      <c r="L66" s="73">
        <v>2790911.44</v>
      </c>
      <c r="M66" s="73">
        <v>3098024.38</v>
      </c>
      <c r="N66" s="73">
        <v>3095309.45</v>
      </c>
      <c r="O66" s="73">
        <f t="shared" ref="O66:O97" si="2">ROUND(N66*110%,2)</f>
        <v>3404840.4</v>
      </c>
      <c r="P66" s="74">
        <f>SUM(Table2[[#This Row],[JAN]:[DEC]])</f>
        <v>35328846.670000002</v>
      </c>
    </row>
    <row r="67" spans="1:16" x14ac:dyDescent="0.2">
      <c r="A67" s="70">
        <v>47</v>
      </c>
      <c r="B67" s="70">
        <v>21001</v>
      </c>
      <c r="C67" s="69" t="s">
        <v>104</v>
      </c>
      <c r="D67" s="73">
        <v>1844119.64</v>
      </c>
      <c r="E67" s="73">
        <v>1586230.75</v>
      </c>
      <c r="F67" s="73">
        <v>1607071.88</v>
      </c>
      <c r="G67" s="73">
        <v>3142244.31</v>
      </c>
      <c r="H67" s="73">
        <v>1587008.44</v>
      </c>
      <c r="I67" s="73">
        <v>1930227.04</v>
      </c>
      <c r="J67" s="73">
        <v>4052000.59</v>
      </c>
      <c r="K67" s="73">
        <v>2451801.21</v>
      </c>
      <c r="L67" s="73">
        <v>2842699.04</v>
      </c>
      <c r="M67" s="73">
        <v>3719065.24</v>
      </c>
      <c r="N67" s="73">
        <v>4660746.4000000004</v>
      </c>
      <c r="O67" s="73">
        <f t="shared" si="2"/>
        <v>5126821.04</v>
      </c>
      <c r="P67" s="74">
        <f>SUM(Table2[[#This Row],[JAN]:[DEC]])</f>
        <v>34550035.579999998</v>
      </c>
    </row>
    <row r="68" spans="1:16" x14ac:dyDescent="0.2">
      <c r="A68" s="70">
        <v>191</v>
      </c>
      <c r="B68" s="70">
        <v>61023</v>
      </c>
      <c r="C68" s="69" t="s">
        <v>143</v>
      </c>
      <c r="D68" s="73">
        <v>1821706.96</v>
      </c>
      <c r="E68" s="73">
        <v>1769368.41</v>
      </c>
      <c r="F68" s="73">
        <v>3812111.45</v>
      </c>
      <c r="G68" s="73">
        <v>2031108.46</v>
      </c>
      <c r="H68" s="73">
        <v>2179877.2200000002</v>
      </c>
      <c r="I68" s="73">
        <v>2964761.83</v>
      </c>
      <c r="J68" s="73">
        <v>2935649.02</v>
      </c>
      <c r="K68" s="73">
        <v>5094001.09</v>
      </c>
      <c r="L68" s="73">
        <v>2983006.07</v>
      </c>
      <c r="M68" s="73">
        <v>2887827.85</v>
      </c>
      <c r="N68" s="73">
        <v>2820090.84</v>
      </c>
      <c r="O68" s="73">
        <f t="shared" si="2"/>
        <v>3102099.92</v>
      </c>
      <c r="P68" s="74">
        <f>SUM(Table2[[#This Row],[JAN]:[DEC]])</f>
        <v>34401609.120000005</v>
      </c>
    </row>
    <row r="69" spans="1:16" x14ac:dyDescent="0.2">
      <c r="A69" s="70">
        <v>320</v>
      </c>
      <c r="B69" s="70">
        <v>81119</v>
      </c>
      <c r="C69" s="69" t="s">
        <v>183</v>
      </c>
      <c r="D69" s="73">
        <v>1767269.33</v>
      </c>
      <c r="E69" s="73">
        <v>1830971.5</v>
      </c>
      <c r="F69" s="73">
        <v>2020507.87</v>
      </c>
      <c r="G69" s="73">
        <v>1880297.02</v>
      </c>
      <c r="H69" s="73">
        <v>1838085.45</v>
      </c>
      <c r="I69" s="73">
        <v>2084594.48</v>
      </c>
      <c r="J69" s="73">
        <v>2876802.77</v>
      </c>
      <c r="K69" s="73">
        <v>2428828.9500000002</v>
      </c>
      <c r="L69" s="73">
        <v>11598795.720000001</v>
      </c>
      <c r="M69" s="73">
        <v>2331900.14</v>
      </c>
      <c r="N69" s="73">
        <v>1754706.58</v>
      </c>
      <c r="O69" s="73">
        <f t="shared" si="2"/>
        <v>1930177.24</v>
      </c>
      <c r="P69" s="74">
        <f>SUM(Table2[[#This Row],[JAN]:[DEC]])</f>
        <v>34342937.050000004</v>
      </c>
    </row>
    <row r="70" spans="1:16" x14ac:dyDescent="0.2">
      <c r="A70" s="70">
        <v>69</v>
      </c>
      <c r="B70" s="70">
        <v>31012</v>
      </c>
      <c r="C70" s="69" t="s">
        <v>110</v>
      </c>
      <c r="D70" s="73">
        <v>2271454.0099999998</v>
      </c>
      <c r="E70" s="73">
        <v>2825696.3</v>
      </c>
      <c r="F70" s="73">
        <v>2929395.97</v>
      </c>
      <c r="G70" s="73">
        <v>2515254.9500000002</v>
      </c>
      <c r="H70" s="73">
        <v>2335306.35</v>
      </c>
      <c r="I70" s="73">
        <v>2587315.75</v>
      </c>
      <c r="J70" s="73">
        <v>3384057.92</v>
      </c>
      <c r="K70" s="73">
        <v>2556003.71</v>
      </c>
      <c r="L70" s="73">
        <v>2561962.38</v>
      </c>
      <c r="M70" s="73">
        <v>2971942.63</v>
      </c>
      <c r="N70" s="73">
        <v>3141057.78</v>
      </c>
      <c r="O70" s="73">
        <f t="shared" si="2"/>
        <v>3455163.56</v>
      </c>
      <c r="P70" s="74">
        <f>SUM(Table2[[#This Row],[JAN]:[DEC]])</f>
        <v>33534611.309999999</v>
      </c>
    </row>
    <row r="71" spans="1:16" x14ac:dyDescent="0.2">
      <c r="A71" s="70">
        <v>510</v>
      </c>
      <c r="B71" s="71">
        <v>81354</v>
      </c>
      <c r="C71" s="72" t="s">
        <v>253</v>
      </c>
      <c r="D71" s="73">
        <v>80841.94</v>
      </c>
      <c r="E71" s="73">
        <v>4252880.17</v>
      </c>
      <c r="F71" s="73">
        <v>2872773.15</v>
      </c>
      <c r="G71" s="73">
        <v>2886430.76</v>
      </c>
      <c r="H71" s="73">
        <v>3020768.64</v>
      </c>
      <c r="I71" s="73">
        <v>2239308.29</v>
      </c>
      <c r="J71" s="73">
        <v>2576065.02</v>
      </c>
      <c r="K71" s="73">
        <v>2881230.6</v>
      </c>
      <c r="L71" s="73">
        <v>2614951.66</v>
      </c>
      <c r="M71" s="73">
        <v>3239890.67</v>
      </c>
      <c r="N71" s="73">
        <v>3135272.69</v>
      </c>
      <c r="O71" s="73">
        <f t="shared" si="2"/>
        <v>3448799.96</v>
      </c>
      <c r="P71" s="74">
        <f>SUM(Table2[[#This Row],[JAN]:[DEC]])</f>
        <v>33249213.550000001</v>
      </c>
    </row>
    <row r="72" spans="1:16" x14ac:dyDescent="0.2">
      <c r="A72" s="70">
        <v>195</v>
      </c>
      <c r="B72" s="70">
        <v>61029</v>
      </c>
      <c r="C72" s="69" t="s">
        <v>146</v>
      </c>
      <c r="D72" s="73">
        <v>2102775.17</v>
      </c>
      <c r="E72" s="73">
        <v>2822193.57</v>
      </c>
      <c r="F72" s="73">
        <v>2826296.35</v>
      </c>
      <c r="G72" s="73">
        <v>2695442.26</v>
      </c>
      <c r="H72" s="73">
        <v>2761512.46</v>
      </c>
      <c r="I72" s="73">
        <v>2811038.87</v>
      </c>
      <c r="J72" s="73">
        <v>2933806.94</v>
      </c>
      <c r="K72" s="73">
        <v>2371200.96</v>
      </c>
      <c r="L72" s="73">
        <v>2560430.0499999998</v>
      </c>
      <c r="M72" s="73">
        <v>3269014.85</v>
      </c>
      <c r="N72" s="73">
        <v>2866601.93</v>
      </c>
      <c r="O72" s="73">
        <f t="shared" si="2"/>
        <v>3153262.12</v>
      </c>
      <c r="P72" s="74">
        <f>SUM(Table2[[#This Row],[JAN]:[DEC]])</f>
        <v>33173575.530000005</v>
      </c>
    </row>
    <row r="73" spans="1:16" x14ac:dyDescent="0.2">
      <c r="A73" s="70">
        <v>300</v>
      </c>
      <c r="B73" s="70">
        <v>81080</v>
      </c>
      <c r="C73" s="69" t="s">
        <v>176</v>
      </c>
      <c r="D73" s="73">
        <v>2451160.73</v>
      </c>
      <c r="E73" s="73">
        <v>2330783.19</v>
      </c>
      <c r="F73" s="73">
        <v>3068283.87</v>
      </c>
      <c r="G73" s="73">
        <v>2504208.6800000002</v>
      </c>
      <c r="H73" s="73">
        <v>2591174.2400000002</v>
      </c>
      <c r="I73" s="73">
        <v>2399791.09</v>
      </c>
      <c r="J73" s="73">
        <v>2827846.31</v>
      </c>
      <c r="K73" s="73">
        <v>2807005.31</v>
      </c>
      <c r="L73" s="73">
        <v>2526150.0499999998</v>
      </c>
      <c r="M73" s="73">
        <v>2650632.0499999998</v>
      </c>
      <c r="N73" s="73">
        <v>3022301.71</v>
      </c>
      <c r="O73" s="73">
        <f t="shared" si="2"/>
        <v>3324531.88</v>
      </c>
      <c r="P73" s="74">
        <f>SUM(Table2[[#This Row],[JAN]:[DEC]])</f>
        <v>32503869.109999999</v>
      </c>
    </row>
    <row r="74" spans="1:16" x14ac:dyDescent="0.2">
      <c r="A74" s="70">
        <v>164</v>
      </c>
      <c r="B74" s="70">
        <v>51052</v>
      </c>
      <c r="C74" s="69" t="s">
        <v>132</v>
      </c>
      <c r="D74" s="73">
        <v>1783612.89</v>
      </c>
      <c r="E74" s="73">
        <v>1827764.69</v>
      </c>
      <c r="F74" s="73">
        <v>2504972.96</v>
      </c>
      <c r="G74" s="73">
        <v>2389406.38</v>
      </c>
      <c r="H74" s="73">
        <v>3349003.36</v>
      </c>
      <c r="I74" s="73">
        <v>2867327.18</v>
      </c>
      <c r="J74" s="73">
        <v>3514690.45</v>
      </c>
      <c r="K74" s="73">
        <v>3025410.69</v>
      </c>
      <c r="L74" s="73">
        <v>2763802.61</v>
      </c>
      <c r="M74" s="73">
        <v>3031679.98</v>
      </c>
      <c r="N74" s="73">
        <v>2589993.5099999998</v>
      </c>
      <c r="O74" s="73">
        <f t="shared" si="2"/>
        <v>2848992.86</v>
      </c>
      <c r="P74" s="74">
        <f>SUM(Table2[[#This Row],[JAN]:[DEC]])</f>
        <v>32496657.560000002</v>
      </c>
    </row>
    <row r="75" spans="1:16" x14ac:dyDescent="0.2">
      <c r="A75" s="70">
        <v>96</v>
      </c>
      <c r="B75" s="70">
        <v>41005</v>
      </c>
      <c r="C75" s="69" t="s">
        <v>124</v>
      </c>
      <c r="D75" s="73">
        <v>2749205.51</v>
      </c>
      <c r="E75" s="73">
        <v>2315093.59</v>
      </c>
      <c r="F75" s="73">
        <v>2070192.2</v>
      </c>
      <c r="G75" s="73">
        <v>1888688.6</v>
      </c>
      <c r="H75" s="73">
        <v>2313867.96</v>
      </c>
      <c r="I75" s="73">
        <v>3070014.03</v>
      </c>
      <c r="J75" s="73">
        <v>3102630.76</v>
      </c>
      <c r="K75" s="73">
        <v>2515722.9700000002</v>
      </c>
      <c r="L75" s="73">
        <v>3033418.84</v>
      </c>
      <c r="M75" s="73">
        <v>2982298.72</v>
      </c>
      <c r="N75" s="73">
        <v>2955716.35</v>
      </c>
      <c r="O75" s="73">
        <f t="shared" si="2"/>
        <v>3251287.99</v>
      </c>
      <c r="P75" s="74">
        <f>SUM(Table2[[#This Row],[JAN]:[DEC]])</f>
        <v>32248137.519999996</v>
      </c>
    </row>
    <row r="76" spans="1:16" x14ac:dyDescent="0.2">
      <c r="A76" s="70">
        <v>136</v>
      </c>
      <c r="B76" s="70">
        <v>51019</v>
      </c>
      <c r="C76" s="69" t="s">
        <v>127</v>
      </c>
      <c r="D76" s="73">
        <v>1532054.29</v>
      </c>
      <c r="E76" s="73">
        <v>1816600.36</v>
      </c>
      <c r="F76" s="73">
        <v>1910117.19</v>
      </c>
      <c r="G76" s="73">
        <v>1537902.52</v>
      </c>
      <c r="H76" s="73">
        <v>1339273.48</v>
      </c>
      <c r="I76" s="73">
        <v>1431983.34</v>
      </c>
      <c r="J76" s="73">
        <v>3965669.52</v>
      </c>
      <c r="K76" s="73">
        <v>2122996.0699999998</v>
      </c>
      <c r="L76" s="73">
        <v>2617925.65</v>
      </c>
      <c r="M76" s="73">
        <v>4166519.7</v>
      </c>
      <c r="N76" s="73">
        <v>4630386.28</v>
      </c>
      <c r="O76" s="73">
        <f t="shared" si="2"/>
        <v>5093424.91</v>
      </c>
      <c r="P76" s="74">
        <f>SUM(Table2[[#This Row],[JAN]:[DEC]])</f>
        <v>32164853.309999999</v>
      </c>
    </row>
    <row r="77" spans="1:16" x14ac:dyDescent="0.2">
      <c r="A77" s="70">
        <v>432</v>
      </c>
      <c r="B77" s="70">
        <v>81256</v>
      </c>
      <c r="C77" s="69" t="s">
        <v>220</v>
      </c>
      <c r="D77" s="73">
        <v>2754179.03</v>
      </c>
      <c r="E77" s="73">
        <v>2451108.66</v>
      </c>
      <c r="F77" s="73">
        <v>2695331.27</v>
      </c>
      <c r="G77" s="73">
        <v>2052908.92</v>
      </c>
      <c r="H77" s="73">
        <v>3424106.07</v>
      </c>
      <c r="I77" s="73">
        <v>2757998.07</v>
      </c>
      <c r="J77" s="73">
        <v>2654333.8199999998</v>
      </c>
      <c r="K77" s="73">
        <v>2696964.48</v>
      </c>
      <c r="L77" s="73">
        <v>2518707.27</v>
      </c>
      <c r="M77" s="73">
        <v>2761060.32</v>
      </c>
      <c r="N77" s="73">
        <v>2449121.3199999998</v>
      </c>
      <c r="O77" s="73">
        <f t="shared" si="2"/>
        <v>2694033.45</v>
      </c>
      <c r="P77" s="74">
        <f>SUM(Table2[[#This Row],[JAN]:[DEC]])</f>
        <v>31909852.68</v>
      </c>
    </row>
    <row r="78" spans="1:16" x14ac:dyDescent="0.2">
      <c r="A78" s="70">
        <v>24</v>
      </c>
      <c r="B78" s="70">
        <v>11041</v>
      </c>
      <c r="C78" s="69" t="s">
        <v>92</v>
      </c>
      <c r="D78" s="73">
        <v>3160005.12</v>
      </c>
      <c r="E78" s="73">
        <v>3050053.89</v>
      </c>
      <c r="F78" s="73">
        <v>3343705.01</v>
      </c>
      <c r="G78" s="73">
        <v>3567443.75</v>
      </c>
      <c r="H78" s="73">
        <v>3600703.32</v>
      </c>
      <c r="I78" s="73">
        <v>4119695.1</v>
      </c>
      <c r="J78" s="73">
        <v>4475589.7699999996</v>
      </c>
      <c r="K78" s="73">
        <v>4269559.34</v>
      </c>
      <c r="L78" s="73">
        <v>2210595.66</v>
      </c>
      <c r="M78" s="73">
        <v>96114.880000000005</v>
      </c>
      <c r="N78" s="73">
        <v>1174.46</v>
      </c>
      <c r="O78" s="73">
        <f t="shared" si="2"/>
        <v>1291.9100000000001</v>
      </c>
      <c r="P78" s="74">
        <f>SUM(Table2[[#This Row],[JAN]:[DEC]])</f>
        <v>31895932.210000001</v>
      </c>
    </row>
    <row r="79" spans="1:16" x14ac:dyDescent="0.2">
      <c r="A79" s="70">
        <v>186</v>
      </c>
      <c r="B79" s="70">
        <v>61018</v>
      </c>
      <c r="C79" s="69" t="s">
        <v>139</v>
      </c>
      <c r="D79" s="73">
        <v>1926941.95</v>
      </c>
      <c r="E79" s="73">
        <v>5103354.84</v>
      </c>
      <c r="F79" s="73">
        <v>2001638.22</v>
      </c>
      <c r="G79" s="73">
        <v>2013455.72</v>
      </c>
      <c r="H79" s="73">
        <v>1703495.06</v>
      </c>
      <c r="I79" s="73">
        <v>1669229.06</v>
      </c>
      <c r="J79" s="73">
        <v>1894371.36</v>
      </c>
      <c r="K79" s="73">
        <v>1787825.58</v>
      </c>
      <c r="L79" s="73">
        <v>2152972.59</v>
      </c>
      <c r="M79" s="73">
        <v>6237910.25</v>
      </c>
      <c r="N79" s="73">
        <v>2559467.31</v>
      </c>
      <c r="O79" s="73">
        <f t="shared" si="2"/>
        <v>2815414.04</v>
      </c>
      <c r="P79" s="74">
        <f>SUM(Table2[[#This Row],[JAN]:[DEC]])</f>
        <v>31866075.979999997</v>
      </c>
    </row>
    <row r="80" spans="1:16" x14ac:dyDescent="0.2">
      <c r="A80" s="70">
        <v>185</v>
      </c>
      <c r="B80" s="70">
        <v>61017</v>
      </c>
      <c r="C80" s="69" t="s">
        <v>138</v>
      </c>
      <c r="D80" s="73">
        <v>2255782.4500000002</v>
      </c>
      <c r="E80" s="73">
        <v>2162247.44</v>
      </c>
      <c r="F80" s="73">
        <v>2569978.2200000002</v>
      </c>
      <c r="G80" s="73">
        <v>2361980.66</v>
      </c>
      <c r="H80" s="73">
        <v>2572452.84</v>
      </c>
      <c r="I80" s="73">
        <v>2740978.92</v>
      </c>
      <c r="J80" s="73">
        <v>2904026.72</v>
      </c>
      <c r="K80" s="73">
        <v>3919195.48</v>
      </c>
      <c r="L80" s="73">
        <v>2073243.68</v>
      </c>
      <c r="M80" s="73">
        <v>2603911.41</v>
      </c>
      <c r="N80" s="73">
        <v>2358563.27</v>
      </c>
      <c r="O80" s="73">
        <f t="shared" si="2"/>
        <v>2594419.6</v>
      </c>
      <c r="P80" s="74">
        <f>SUM(Table2[[#This Row],[JAN]:[DEC]])</f>
        <v>31116780.690000001</v>
      </c>
    </row>
    <row r="81" spans="1:16" x14ac:dyDescent="0.2">
      <c r="A81" s="70">
        <v>551</v>
      </c>
      <c r="B81" s="70">
        <v>151013</v>
      </c>
      <c r="C81" s="69" t="s">
        <v>264</v>
      </c>
      <c r="D81" s="73">
        <v>2633848.35</v>
      </c>
      <c r="E81" s="73">
        <v>2687216.64</v>
      </c>
      <c r="F81" s="73">
        <v>2781488.73</v>
      </c>
      <c r="G81" s="73">
        <v>2465217.23</v>
      </c>
      <c r="H81" s="73">
        <v>2336442.02</v>
      </c>
      <c r="I81" s="73">
        <v>2135678.42</v>
      </c>
      <c r="J81" s="73">
        <v>2359677.89</v>
      </c>
      <c r="K81" s="73">
        <v>2221552.7400000002</v>
      </c>
      <c r="L81" s="73">
        <v>2288984.7599999998</v>
      </c>
      <c r="M81" s="73">
        <v>2326392.38</v>
      </c>
      <c r="N81" s="73">
        <v>3019133.59</v>
      </c>
      <c r="O81" s="73">
        <f t="shared" si="2"/>
        <v>3321046.95</v>
      </c>
      <c r="P81" s="74">
        <f>SUM(Table2[[#This Row],[JAN]:[DEC]])</f>
        <v>30576679.699999999</v>
      </c>
    </row>
    <row r="82" spans="1:16" x14ac:dyDescent="0.2">
      <c r="A82" s="70">
        <v>435</v>
      </c>
      <c r="B82" s="70">
        <v>81259</v>
      </c>
      <c r="C82" s="69" t="s">
        <v>222</v>
      </c>
      <c r="D82" s="73">
        <v>1537399.21</v>
      </c>
      <c r="E82" s="73">
        <v>2169914.65</v>
      </c>
      <c r="F82" s="73">
        <v>2163676.2999999998</v>
      </c>
      <c r="G82" s="73">
        <v>2100639.4300000002</v>
      </c>
      <c r="H82" s="73">
        <v>2128858.48</v>
      </c>
      <c r="I82" s="73">
        <v>3019300.65</v>
      </c>
      <c r="J82" s="73">
        <v>2973616.06</v>
      </c>
      <c r="K82" s="73">
        <v>3171034.9</v>
      </c>
      <c r="L82" s="73">
        <v>3521085.22</v>
      </c>
      <c r="M82" s="73">
        <v>2650182.12</v>
      </c>
      <c r="N82" s="73">
        <v>2386771.1</v>
      </c>
      <c r="O82" s="73">
        <f t="shared" si="2"/>
        <v>2625448.21</v>
      </c>
      <c r="P82" s="74">
        <f>SUM(Table2[[#This Row],[JAN]:[DEC]])</f>
        <v>30447926.330000002</v>
      </c>
    </row>
    <row r="83" spans="1:16" x14ac:dyDescent="0.2">
      <c r="A83" s="70">
        <v>478</v>
      </c>
      <c r="B83" s="70">
        <v>81318</v>
      </c>
      <c r="C83" s="69" t="s">
        <v>235</v>
      </c>
      <c r="D83" s="73">
        <v>2509610.2000000002</v>
      </c>
      <c r="E83" s="73">
        <v>2340733.92</v>
      </c>
      <c r="F83" s="73">
        <v>2375312.85</v>
      </c>
      <c r="G83" s="73">
        <v>2505044.2200000002</v>
      </c>
      <c r="H83" s="73">
        <v>2605919.61</v>
      </c>
      <c r="I83" s="73">
        <v>2482787.19</v>
      </c>
      <c r="J83" s="73">
        <v>2278940.4</v>
      </c>
      <c r="K83" s="73">
        <v>2480235.98</v>
      </c>
      <c r="L83" s="73">
        <v>2473469.17</v>
      </c>
      <c r="M83" s="73">
        <v>2555799.61</v>
      </c>
      <c r="N83" s="73">
        <v>2532105.42</v>
      </c>
      <c r="O83" s="73">
        <f t="shared" si="2"/>
        <v>2785315.96</v>
      </c>
      <c r="P83" s="74">
        <f>SUM(Table2[[#This Row],[JAN]:[DEC]])</f>
        <v>29925274.530000001</v>
      </c>
    </row>
    <row r="84" spans="1:16" x14ac:dyDescent="0.2">
      <c r="A84" s="70">
        <v>158</v>
      </c>
      <c r="B84" s="70">
        <v>51046</v>
      </c>
      <c r="C84" s="69" t="s">
        <v>130</v>
      </c>
      <c r="D84" s="73">
        <v>1968704.66</v>
      </c>
      <c r="E84" s="73">
        <v>2387028.7999999998</v>
      </c>
      <c r="F84" s="73">
        <v>2741451.71</v>
      </c>
      <c r="G84" s="73">
        <v>2217801.12</v>
      </c>
      <c r="H84" s="73">
        <v>2823148.63</v>
      </c>
      <c r="I84" s="73">
        <v>2449819.77</v>
      </c>
      <c r="J84" s="73">
        <v>2502665.36</v>
      </c>
      <c r="K84" s="73">
        <v>2069811.49</v>
      </c>
      <c r="L84" s="73">
        <v>2632340.41</v>
      </c>
      <c r="M84" s="73">
        <v>3070898.34</v>
      </c>
      <c r="N84" s="73">
        <v>2301544.84</v>
      </c>
      <c r="O84" s="73">
        <f t="shared" si="2"/>
        <v>2531699.3199999998</v>
      </c>
      <c r="P84" s="74">
        <f>SUM(Table2[[#This Row],[JAN]:[DEC]])</f>
        <v>29696914.449999996</v>
      </c>
    </row>
    <row r="85" spans="1:16" x14ac:dyDescent="0.2">
      <c r="A85" s="70">
        <v>302</v>
      </c>
      <c r="B85" s="70">
        <v>81089</v>
      </c>
      <c r="C85" s="69" t="s">
        <v>177</v>
      </c>
      <c r="D85" s="73">
        <v>2371401.39</v>
      </c>
      <c r="E85" s="73">
        <v>2210803.0699999998</v>
      </c>
      <c r="F85" s="73">
        <v>2363443.54</v>
      </c>
      <c r="G85" s="73">
        <v>2388353.37</v>
      </c>
      <c r="H85" s="73">
        <v>2465773.66</v>
      </c>
      <c r="I85" s="73">
        <v>2235012.52</v>
      </c>
      <c r="J85" s="73">
        <v>2448002.89</v>
      </c>
      <c r="K85" s="73">
        <v>2629682.11</v>
      </c>
      <c r="L85" s="73">
        <v>2500375.33</v>
      </c>
      <c r="M85" s="73">
        <v>2747466.72</v>
      </c>
      <c r="N85" s="73">
        <v>2445027.09</v>
      </c>
      <c r="O85" s="73">
        <f t="shared" si="2"/>
        <v>2689529.8</v>
      </c>
      <c r="P85" s="74">
        <f>SUM(Table2[[#This Row],[JAN]:[DEC]])</f>
        <v>29494871.490000002</v>
      </c>
    </row>
    <row r="86" spans="1:16" x14ac:dyDescent="0.2">
      <c r="A86" s="70">
        <v>370</v>
      </c>
      <c r="B86" s="70">
        <v>81182</v>
      </c>
      <c r="C86" s="69" t="s">
        <v>205</v>
      </c>
      <c r="D86" s="73">
        <v>2285667.04</v>
      </c>
      <c r="E86" s="73">
        <v>2005322.17</v>
      </c>
      <c r="F86" s="73">
        <v>2043721.41</v>
      </c>
      <c r="G86" s="73">
        <v>2234901.92</v>
      </c>
      <c r="H86" s="73">
        <v>2544488.8199999998</v>
      </c>
      <c r="I86" s="73">
        <v>2714226.61</v>
      </c>
      <c r="J86" s="73">
        <v>2620266.04</v>
      </c>
      <c r="K86" s="73">
        <v>2557342.84</v>
      </c>
      <c r="L86" s="73">
        <v>2617911.4500000002</v>
      </c>
      <c r="M86" s="73">
        <v>2664658.73</v>
      </c>
      <c r="N86" s="73">
        <v>2445926.5699999998</v>
      </c>
      <c r="O86" s="73">
        <f t="shared" si="2"/>
        <v>2690519.23</v>
      </c>
      <c r="P86" s="74">
        <f>SUM(Table2[[#This Row],[JAN]:[DEC]])</f>
        <v>29424952.829999998</v>
      </c>
    </row>
    <row r="87" spans="1:16" x14ac:dyDescent="0.2">
      <c r="A87" s="70">
        <v>421</v>
      </c>
      <c r="B87" s="70">
        <v>81245</v>
      </c>
      <c r="C87" s="69" t="s">
        <v>215</v>
      </c>
      <c r="D87" s="73">
        <v>2167185.84</v>
      </c>
      <c r="E87" s="73">
        <v>2386436.4900000002</v>
      </c>
      <c r="F87" s="73">
        <v>2171748.0499999998</v>
      </c>
      <c r="G87" s="73">
        <v>2288601.8199999998</v>
      </c>
      <c r="H87" s="73">
        <v>2284296.5099999998</v>
      </c>
      <c r="I87" s="73">
        <v>2521379.11</v>
      </c>
      <c r="J87" s="73">
        <v>2323963.7000000002</v>
      </c>
      <c r="K87" s="73">
        <v>2393663.5099999998</v>
      </c>
      <c r="L87" s="73">
        <v>2522971.64</v>
      </c>
      <c r="M87" s="73">
        <v>2033478.06</v>
      </c>
      <c r="N87" s="73">
        <v>2856521.85</v>
      </c>
      <c r="O87" s="73">
        <f t="shared" si="2"/>
        <v>3142174.04</v>
      </c>
      <c r="P87" s="74">
        <f>SUM(Table2[[#This Row],[JAN]:[DEC]])</f>
        <v>29092420.620000001</v>
      </c>
    </row>
    <row r="88" spans="1:16" x14ac:dyDescent="0.2">
      <c r="A88" s="70">
        <v>567</v>
      </c>
      <c r="B88" s="70">
        <v>171008</v>
      </c>
      <c r="C88" s="69" t="s">
        <v>269</v>
      </c>
      <c r="D88" s="73">
        <v>1742105.5</v>
      </c>
      <c r="E88" s="73">
        <v>1712453.49</v>
      </c>
      <c r="F88" s="73">
        <v>1886307.94</v>
      </c>
      <c r="G88" s="73">
        <v>2034298.38</v>
      </c>
      <c r="H88" s="73">
        <v>3358253.34</v>
      </c>
      <c r="I88" s="73">
        <v>2497228.65</v>
      </c>
      <c r="J88" s="73">
        <v>2309851.42</v>
      </c>
      <c r="K88" s="73">
        <v>1789008.87</v>
      </c>
      <c r="L88" s="73">
        <v>2910682.15</v>
      </c>
      <c r="M88" s="73">
        <v>3279765.08</v>
      </c>
      <c r="N88" s="73">
        <v>2577381.4900000002</v>
      </c>
      <c r="O88" s="73">
        <f t="shared" si="2"/>
        <v>2835119.64</v>
      </c>
      <c r="P88" s="74">
        <f>SUM(Table2[[#This Row],[JAN]:[DEC]])</f>
        <v>28932455.950000003</v>
      </c>
    </row>
    <row r="89" spans="1:16" x14ac:dyDescent="0.2">
      <c r="A89" s="70">
        <v>258</v>
      </c>
      <c r="B89" s="70">
        <v>81020</v>
      </c>
      <c r="C89" s="69" t="s">
        <v>161</v>
      </c>
      <c r="D89" s="73">
        <v>2122171.0099999998</v>
      </c>
      <c r="E89" s="73">
        <v>1968599.25</v>
      </c>
      <c r="F89" s="73">
        <v>1942971.02</v>
      </c>
      <c r="G89" s="73">
        <v>2061863.65</v>
      </c>
      <c r="H89" s="73">
        <v>2158455.87</v>
      </c>
      <c r="I89" s="73">
        <v>2451948.7799999998</v>
      </c>
      <c r="J89" s="73">
        <v>2761035.08</v>
      </c>
      <c r="K89" s="73">
        <v>2753410.58</v>
      </c>
      <c r="L89" s="73">
        <v>2846959.82</v>
      </c>
      <c r="M89" s="73">
        <v>2506861.17</v>
      </c>
      <c r="N89" s="73">
        <v>2147701.79</v>
      </c>
      <c r="O89" s="73">
        <f t="shared" si="2"/>
        <v>2362471.9700000002</v>
      </c>
      <c r="P89" s="74">
        <f>SUM(Table2[[#This Row],[JAN]:[DEC]])</f>
        <v>28084449.990000002</v>
      </c>
    </row>
    <row r="90" spans="1:16" x14ac:dyDescent="0.2">
      <c r="A90" s="70">
        <v>590</v>
      </c>
      <c r="B90" s="70">
        <v>261021</v>
      </c>
      <c r="C90" s="69" t="s">
        <v>276</v>
      </c>
      <c r="D90" s="73">
        <v>2524915.44</v>
      </c>
      <c r="E90" s="73">
        <v>1232231.25</v>
      </c>
      <c r="F90" s="73">
        <v>1350082.4</v>
      </c>
      <c r="G90" s="73">
        <v>3480099.28</v>
      </c>
      <c r="H90" s="73">
        <v>1725469.43</v>
      </c>
      <c r="I90" s="73">
        <v>3543375.54</v>
      </c>
      <c r="J90" s="73">
        <v>2227803.42</v>
      </c>
      <c r="K90" s="73">
        <v>3460835.74</v>
      </c>
      <c r="L90" s="73">
        <v>1736504.87</v>
      </c>
      <c r="M90" s="73">
        <v>3710179.65</v>
      </c>
      <c r="N90" s="73">
        <v>1341069.08</v>
      </c>
      <c r="O90" s="73">
        <f t="shared" si="2"/>
        <v>1475175.99</v>
      </c>
      <c r="P90" s="74">
        <f>SUM(Table2[[#This Row],[JAN]:[DEC]])</f>
        <v>27807742.09</v>
      </c>
    </row>
    <row r="91" spans="1:16" x14ac:dyDescent="0.2">
      <c r="A91" s="70">
        <v>304</v>
      </c>
      <c r="B91" s="70">
        <v>81092</v>
      </c>
      <c r="C91" s="69" t="s">
        <v>178</v>
      </c>
      <c r="D91" s="73">
        <v>2389058.33</v>
      </c>
      <c r="E91" s="73">
        <v>2107856.84</v>
      </c>
      <c r="F91" s="73">
        <v>2293193.29</v>
      </c>
      <c r="G91" s="73">
        <v>2358931.6800000002</v>
      </c>
      <c r="H91" s="73">
        <v>2363990.66</v>
      </c>
      <c r="I91" s="73">
        <v>2198444.12</v>
      </c>
      <c r="J91" s="73">
        <v>2147237.41</v>
      </c>
      <c r="K91" s="73">
        <v>2222218.73</v>
      </c>
      <c r="L91" s="73">
        <v>2380920.7000000002</v>
      </c>
      <c r="M91" s="73">
        <v>2251662.61</v>
      </c>
      <c r="N91" s="73">
        <v>2277193.16</v>
      </c>
      <c r="O91" s="73">
        <f t="shared" si="2"/>
        <v>2504912.48</v>
      </c>
      <c r="P91" s="74">
        <f>SUM(Table2[[#This Row],[JAN]:[DEC]])</f>
        <v>27495620.010000002</v>
      </c>
    </row>
    <row r="92" spans="1:16" x14ac:dyDescent="0.2">
      <c r="A92" s="70">
        <v>492</v>
      </c>
      <c r="B92" s="70">
        <v>81332</v>
      </c>
      <c r="C92" s="69" t="s">
        <v>241</v>
      </c>
      <c r="D92" s="73">
        <v>1689531.35</v>
      </c>
      <c r="E92" s="73">
        <v>1885582.63</v>
      </c>
      <c r="F92" s="73">
        <v>1900747.84</v>
      </c>
      <c r="G92" s="73">
        <v>1993587.92</v>
      </c>
      <c r="H92" s="73">
        <v>2254828.84</v>
      </c>
      <c r="I92" s="73">
        <v>2162295.63</v>
      </c>
      <c r="J92" s="73">
        <v>2236471.98</v>
      </c>
      <c r="K92" s="73">
        <v>2322518.0499999998</v>
      </c>
      <c r="L92" s="73">
        <v>2527042.6800000002</v>
      </c>
      <c r="M92" s="73">
        <v>2613005.15</v>
      </c>
      <c r="N92" s="73">
        <v>2651889.61</v>
      </c>
      <c r="O92" s="73">
        <f t="shared" si="2"/>
        <v>2917078.57</v>
      </c>
      <c r="P92" s="74">
        <f>SUM(Table2[[#This Row],[JAN]:[DEC]])</f>
        <v>27154580.25</v>
      </c>
    </row>
    <row r="93" spans="1:16" x14ac:dyDescent="0.2">
      <c r="A93" s="70">
        <v>249</v>
      </c>
      <c r="B93" s="70">
        <v>81008</v>
      </c>
      <c r="C93" s="69" t="s">
        <v>157</v>
      </c>
      <c r="D93" s="73">
        <v>2130809.66</v>
      </c>
      <c r="E93" s="73">
        <v>2096030.38</v>
      </c>
      <c r="F93" s="73">
        <v>2472735.46</v>
      </c>
      <c r="G93" s="73">
        <v>2526712.71</v>
      </c>
      <c r="H93" s="73">
        <v>2293882.34</v>
      </c>
      <c r="I93" s="73">
        <v>2047439.19</v>
      </c>
      <c r="J93" s="73">
        <v>2021743.54</v>
      </c>
      <c r="K93" s="73">
        <v>2110029.0099999998</v>
      </c>
      <c r="L93" s="73">
        <v>2263091.27</v>
      </c>
      <c r="M93" s="73">
        <v>2276965.1</v>
      </c>
      <c r="N93" s="73">
        <v>2192932.0099999998</v>
      </c>
      <c r="O93" s="73">
        <f t="shared" si="2"/>
        <v>2412225.21</v>
      </c>
      <c r="P93" s="74">
        <f>SUM(Table2[[#This Row],[JAN]:[DEC]])</f>
        <v>26844595.880000003</v>
      </c>
    </row>
    <row r="94" spans="1:16" x14ac:dyDescent="0.2">
      <c r="A94" s="70">
        <v>1</v>
      </c>
      <c r="B94" s="70">
        <v>11002</v>
      </c>
      <c r="C94" s="69" t="s">
        <v>83</v>
      </c>
      <c r="D94" s="73">
        <v>2147275.75</v>
      </c>
      <c r="E94" s="73">
        <v>2051947.9</v>
      </c>
      <c r="F94" s="73">
        <v>1901138.03</v>
      </c>
      <c r="G94" s="73">
        <v>2008166.37</v>
      </c>
      <c r="H94" s="73">
        <v>2074938.67</v>
      </c>
      <c r="I94" s="73">
        <v>2146504.2999999998</v>
      </c>
      <c r="J94" s="73">
        <v>2232287.38</v>
      </c>
      <c r="K94" s="73">
        <v>2349687.2799999998</v>
      </c>
      <c r="L94" s="73">
        <v>2385898.94</v>
      </c>
      <c r="M94" s="73">
        <v>2568167.61</v>
      </c>
      <c r="N94" s="73">
        <v>2271381.79</v>
      </c>
      <c r="O94" s="73">
        <f t="shared" si="2"/>
        <v>2498519.9700000002</v>
      </c>
      <c r="P94" s="74">
        <f>SUM(Table2[[#This Row],[JAN]:[DEC]])</f>
        <v>26635913.989999998</v>
      </c>
    </row>
    <row r="95" spans="1:16" x14ac:dyDescent="0.2">
      <c r="A95" s="70">
        <v>576</v>
      </c>
      <c r="B95" s="70">
        <v>261003</v>
      </c>
      <c r="C95" s="69" t="s">
        <v>273</v>
      </c>
      <c r="D95" s="73">
        <v>1326946.26</v>
      </c>
      <c r="E95" s="73">
        <v>1465366.47</v>
      </c>
      <c r="F95" s="73">
        <v>3146045.1</v>
      </c>
      <c r="G95" s="73">
        <v>1397628.47</v>
      </c>
      <c r="H95" s="73">
        <v>3701287.07</v>
      </c>
      <c r="I95" s="73">
        <v>1614851.72</v>
      </c>
      <c r="J95" s="73">
        <v>3595122.34</v>
      </c>
      <c r="K95" s="73">
        <v>1540147</v>
      </c>
      <c r="L95" s="73">
        <v>1774938.51</v>
      </c>
      <c r="M95" s="73">
        <v>4096726.51</v>
      </c>
      <c r="N95" s="73">
        <v>1377844.26</v>
      </c>
      <c r="O95" s="73">
        <f t="shared" si="2"/>
        <v>1515628.69</v>
      </c>
      <c r="P95" s="74">
        <f>SUM(Table2[[#This Row],[JAN]:[DEC]])</f>
        <v>26552532.400000006</v>
      </c>
    </row>
    <row r="96" spans="1:16" x14ac:dyDescent="0.2">
      <c r="A96" s="70">
        <v>364</v>
      </c>
      <c r="B96" s="70">
        <v>81175</v>
      </c>
      <c r="C96" s="69" t="s">
        <v>201</v>
      </c>
      <c r="D96" s="73">
        <v>2008073.74</v>
      </c>
      <c r="E96" s="73">
        <v>1978264.48</v>
      </c>
      <c r="F96" s="73">
        <v>2087337.84</v>
      </c>
      <c r="G96" s="73">
        <v>2104890.2000000002</v>
      </c>
      <c r="H96" s="73">
        <v>2121826.2000000002</v>
      </c>
      <c r="I96" s="73">
        <v>2135183.2999999998</v>
      </c>
      <c r="J96" s="73">
        <v>2329357.7999999998</v>
      </c>
      <c r="K96" s="73">
        <v>2202890.41</v>
      </c>
      <c r="L96" s="73">
        <v>2288714.62</v>
      </c>
      <c r="M96" s="73">
        <v>2320364.3199999998</v>
      </c>
      <c r="N96" s="73">
        <v>2107344.0699999998</v>
      </c>
      <c r="O96" s="73">
        <f t="shared" si="2"/>
        <v>2318078.48</v>
      </c>
      <c r="P96" s="74">
        <f>SUM(Table2[[#This Row],[JAN]:[DEC]])</f>
        <v>26002325.460000005</v>
      </c>
    </row>
    <row r="97" spans="1:16" x14ac:dyDescent="0.2">
      <c r="A97" s="70">
        <v>13</v>
      </c>
      <c r="B97" s="70">
        <v>11020</v>
      </c>
      <c r="C97" s="69" t="s">
        <v>89</v>
      </c>
      <c r="D97" s="73">
        <v>1404949.23</v>
      </c>
      <c r="E97" s="73">
        <v>1664622.29</v>
      </c>
      <c r="F97" s="73">
        <v>1761798.7</v>
      </c>
      <c r="G97" s="73">
        <v>1692140.03</v>
      </c>
      <c r="H97" s="73">
        <v>1632462.19</v>
      </c>
      <c r="I97" s="73">
        <v>2431815.15</v>
      </c>
      <c r="J97" s="73">
        <v>3217721.22</v>
      </c>
      <c r="K97" s="73">
        <v>2528234.96</v>
      </c>
      <c r="L97" s="73">
        <v>2491435.2799999998</v>
      </c>
      <c r="M97" s="73">
        <v>2425181.56</v>
      </c>
      <c r="N97" s="73">
        <v>2135633.36</v>
      </c>
      <c r="O97" s="73">
        <f t="shared" si="2"/>
        <v>2349196.7000000002</v>
      </c>
      <c r="P97" s="74">
        <f>SUM(Table2[[#This Row],[JAN]:[DEC]])</f>
        <v>25735190.669999998</v>
      </c>
    </row>
    <row r="98" spans="1:16" x14ac:dyDescent="0.2">
      <c r="A98" s="70">
        <v>251</v>
      </c>
      <c r="B98" s="70">
        <v>81011</v>
      </c>
      <c r="C98" s="69" t="s">
        <v>159</v>
      </c>
      <c r="D98" s="73">
        <v>2087375.83</v>
      </c>
      <c r="E98" s="73">
        <v>2106786.8199999998</v>
      </c>
      <c r="F98" s="73">
        <v>2331850.58</v>
      </c>
      <c r="G98" s="73">
        <v>2142030.77</v>
      </c>
      <c r="H98" s="73">
        <v>2238291.69</v>
      </c>
      <c r="I98" s="73">
        <v>2011730.52</v>
      </c>
      <c r="J98" s="73">
        <v>1975328.92</v>
      </c>
      <c r="K98" s="73">
        <v>2153968.23</v>
      </c>
      <c r="L98" s="73">
        <v>2020818.23</v>
      </c>
      <c r="M98" s="73">
        <v>2131096.0099999998</v>
      </c>
      <c r="N98" s="73">
        <v>2087244</v>
      </c>
      <c r="O98" s="73">
        <f t="shared" ref="O98:O129" si="3">ROUND(N98*110%,2)</f>
        <v>2295968.4</v>
      </c>
      <c r="P98" s="74">
        <f>SUM(Table2[[#This Row],[JAN]:[DEC]])</f>
        <v>25582490</v>
      </c>
    </row>
    <row r="99" spans="1:16" x14ac:dyDescent="0.2">
      <c r="A99" s="70">
        <v>44</v>
      </c>
      <c r="B99" s="71">
        <v>11066</v>
      </c>
      <c r="C99" s="72" t="s">
        <v>101</v>
      </c>
      <c r="D99" s="73">
        <v>0</v>
      </c>
      <c r="E99" s="73">
        <v>0</v>
      </c>
      <c r="F99" s="73">
        <v>1437803.96</v>
      </c>
      <c r="G99" s="73">
        <v>3095173.13</v>
      </c>
      <c r="H99" s="73">
        <v>2669265.12</v>
      </c>
      <c r="I99" s="73">
        <v>2459180.39</v>
      </c>
      <c r="J99" s="73">
        <v>2686784.82</v>
      </c>
      <c r="K99" s="73">
        <v>2738858.69</v>
      </c>
      <c r="L99" s="73">
        <v>2538865.25</v>
      </c>
      <c r="M99" s="73">
        <v>2770653.26</v>
      </c>
      <c r="N99" s="73">
        <v>2387112.2799999998</v>
      </c>
      <c r="O99" s="73">
        <f t="shared" si="3"/>
        <v>2625823.5099999998</v>
      </c>
      <c r="P99" s="74">
        <f>SUM(Table2[[#This Row],[JAN]:[DEC]])</f>
        <v>25409520.409999996</v>
      </c>
    </row>
    <row r="100" spans="1:16" x14ac:dyDescent="0.2">
      <c r="A100" s="70">
        <v>333</v>
      </c>
      <c r="B100" s="70">
        <v>81135</v>
      </c>
      <c r="C100" s="69" t="s">
        <v>189</v>
      </c>
      <c r="D100" s="73">
        <v>2012488.68</v>
      </c>
      <c r="E100" s="73">
        <v>1943774</v>
      </c>
      <c r="F100" s="73">
        <v>2189659.36</v>
      </c>
      <c r="G100" s="73">
        <v>2016088.6</v>
      </c>
      <c r="H100" s="73">
        <v>2103002.5699999998</v>
      </c>
      <c r="I100" s="73">
        <v>2182549.4</v>
      </c>
      <c r="J100" s="73">
        <v>1989416.57</v>
      </c>
      <c r="K100" s="73">
        <v>2097747.5</v>
      </c>
      <c r="L100" s="73">
        <v>2144618.61</v>
      </c>
      <c r="M100" s="73">
        <v>2198132.92</v>
      </c>
      <c r="N100" s="73">
        <v>2117847.94</v>
      </c>
      <c r="O100" s="73">
        <f t="shared" si="3"/>
        <v>2329632.73</v>
      </c>
      <c r="P100" s="74">
        <f>SUM(Table2[[#This Row],[JAN]:[DEC]])</f>
        <v>25324958.880000003</v>
      </c>
    </row>
    <row r="101" spans="1:16" x14ac:dyDescent="0.2">
      <c r="A101" s="70">
        <v>440</v>
      </c>
      <c r="B101" s="70">
        <v>81265</v>
      </c>
      <c r="C101" s="69" t="s">
        <v>224</v>
      </c>
      <c r="D101" s="73">
        <v>1920274.46</v>
      </c>
      <c r="E101" s="73">
        <v>1854102.92</v>
      </c>
      <c r="F101" s="73">
        <v>1962661.99</v>
      </c>
      <c r="G101" s="73">
        <v>2160170.94</v>
      </c>
      <c r="H101" s="73">
        <v>2155580.2200000002</v>
      </c>
      <c r="I101" s="73">
        <v>2078503.7</v>
      </c>
      <c r="J101" s="73">
        <v>2008567.34</v>
      </c>
      <c r="K101" s="73">
        <v>2134736.67</v>
      </c>
      <c r="L101" s="73">
        <v>2147946.0099999998</v>
      </c>
      <c r="M101" s="73">
        <v>2335185.14</v>
      </c>
      <c r="N101" s="73">
        <v>2096405.42</v>
      </c>
      <c r="O101" s="73">
        <f t="shared" si="3"/>
        <v>2306045.96</v>
      </c>
      <c r="P101" s="74">
        <f>SUM(Table2[[#This Row],[JAN]:[DEC]])</f>
        <v>25160180.770000003</v>
      </c>
    </row>
    <row r="102" spans="1:16" x14ac:dyDescent="0.2">
      <c r="A102" s="70">
        <v>296</v>
      </c>
      <c r="B102" s="70">
        <v>81074</v>
      </c>
      <c r="C102" s="69" t="s">
        <v>175</v>
      </c>
      <c r="D102" s="73">
        <v>1994750.72</v>
      </c>
      <c r="E102" s="73">
        <v>1921583.68</v>
      </c>
      <c r="F102" s="73">
        <v>2895732.96</v>
      </c>
      <c r="G102" s="73">
        <v>1748225.2</v>
      </c>
      <c r="H102" s="73">
        <v>1974726.03</v>
      </c>
      <c r="I102" s="73">
        <v>2020656.25</v>
      </c>
      <c r="J102" s="73">
        <v>1879093.2</v>
      </c>
      <c r="K102" s="73">
        <v>1995761.34</v>
      </c>
      <c r="L102" s="73">
        <v>2094586.26</v>
      </c>
      <c r="M102" s="73">
        <v>2207849.2999999998</v>
      </c>
      <c r="N102" s="73">
        <v>1973157.68</v>
      </c>
      <c r="O102" s="73">
        <f t="shared" si="3"/>
        <v>2170473.4500000002</v>
      </c>
      <c r="P102" s="74">
        <f>SUM(Table2[[#This Row],[JAN]:[DEC]])</f>
        <v>24876596.069999997</v>
      </c>
    </row>
    <row r="103" spans="1:16" x14ac:dyDescent="0.2">
      <c r="A103" s="70">
        <v>83</v>
      </c>
      <c r="B103" s="70">
        <v>31030</v>
      </c>
      <c r="C103" s="69" t="s">
        <v>116</v>
      </c>
      <c r="D103" s="73">
        <v>1460995.06</v>
      </c>
      <c r="E103" s="73">
        <v>1916773.62</v>
      </c>
      <c r="F103" s="73">
        <v>1821032.41</v>
      </c>
      <c r="G103" s="73">
        <v>1722817.23</v>
      </c>
      <c r="H103" s="73">
        <v>1642586.3</v>
      </c>
      <c r="I103" s="73">
        <v>2151584.6</v>
      </c>
      <c r="J103" s="73">
        <v>2777063.61</v>
      </c>
      <c r="K103" s="73">
        <v>2003938.91</v>
      </c>
      <c r="L103" s="73">
        <v>2125516.21</v>
      </c>
      <c r="M103" s="73">
        <v>2486214.84</v>
      </c>
      <c r="N103" s="73">
        <v>2174344.46</v>
      </c>
      <c r="O103" s="73">
        <f t="shared" si="3"/>
        <v>2391778.91</v>
      </c>
      <c r="P103" s="74">
        <f>SUM(Table2[[#This Row],[JAN]:[DEC]])</f>
        <v>24674646.16</v>
      </c>
    </row>
    <row r="104" spans="1:16" x14ac:dyDescent="0.2">
      <c r="A104" s="70">
        <v>513</v>
      </c>
      <c r="B104" s="71">
        <v>81358</v>
      </c>
      <c r="C104" s="72" t="s">
        <v>254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390978.07</v>
      </c>
      <c r="J104" s="73">
        <v>5107311.8</v>
      </c>
      <c r="K104" s="73">
        <v>3622713.46</v>
      </c>
      <c r="L104" s="73">
        <v>3244906.97</v>
      </c>
      <c r="M104" s="73">
        <v>3069534.15</v>
      </c>
      <c r="N104" s="73">
        <v>4304418.34</v>
      </c>
      <c r="O104" s="73">
        <f t="shared" si="3"/>
        <v>4734860.17</v>
      </c>
      <c r="P104" s="74">
        <f>SUM(Table2[[#This Row],[JAN]:[DEC]])</f>
        <v>24474722.960000001</v>
      </c>
    </row>
    <row r="105" spans="1:16" x14ac:dyDescent="0.2">
      <c r="A105" s="70">
        <v>188</v>
      </c>
      <c r="B105" s="70">
        <v>61020</v>
      </c>
      <c r="C105" s="69" t="s">
        <v>140</v>
      </c>
      <c r="D105" s="73">
        <v>1837316.65</v>
      </c>
      <c r="E105" s="73">
        <v>1748803.65</v>
      </c>
      <c r="F105" s="73">
        <v>2433563.21</v>
      </c>
      <c r="G105" s="73">
        <v>1420641.51</v>
      </c>
      <c r="H105" s="73">
        <v>1737094.42</v>
      </c>
      <c r="I105" s="73">
        <v>1755112.56</v>
      </c>
      <c r="J105" s="73">
        <v>1726110.59</v>
      </c>
      <c r="K105" s="73">
        <v>2330631.38</v>
      </c>
      <c r="L105" s="73">
        <v>2065332.57</v>
      </c>
      <c r="M105" s="73">
        <v>2349954.85</v>
      </c>
      <c r="N105" s="73">
        <v>2241470.77</v>
      </c>
      <c r="O105" s="73">
        <f t="shared" si="3"/>
        <v>2465617.85</v>
      </c>
      <c r="P105" s="74">
        <f>SUM(Table2[[#This Row],[JAN]:[DEC]])</f>
        <v>24111650.010000002</v>
      </c>
    </row>
    <row r="106" spans="1:16" x14ac:dyDescent="0.2">
      <c r="A106" s="70">
        <v>356</v>
      </c>
      <c r="B106" s="70">
        <v>81166</v>
      </c>
      <c r="C106" s="69" t="s">
        <v>198</v>
      </c>
      <c r="D106" s="73">
        <v>2014494.97</v>
      </c>
      <c r="E106" s="73">
        <v>1903149.94</v>
      </c>
      <c r="F106" s="73">
        <v>1874444.2</v>
      </c>
      <c r="G106" s="73">
        <v>2023033.72</v>
      </c>
      <c r="H106" s="73">
        <v>2128959.4700000002</v>
      </c>
      <c r="I106" s="73">
        <v>2051564.98</v>
      </c>
      <c r="J106" s="73">
        <v>2019646.55</v>
      </c>
      <c r="K106" s="73">
        <v>2079605.66</v>
      </c>
      <c r="L106" s="73">
        <v>2095221.16</v>
      </c>
      <c r="M106" s="73">
        <v>2267915.98</v>
      </c>
      <c r="N106" s="73">
        <v>1580062.61</v>
      </c>
      <c r="O106" s="73">
        <f t="shared" si="3"/>
        <v>1738068.87</v>
      </c>
      <c r="P106" s="74">
        <f>SUM(Table2[[#This Row],[JAN]:[DEC]])</f>
        <v>23776168.110000003</v>
      </c>
    </row>
    <row r="107" spans="1:16" x14ac:dyDescent="0.2">
      <c r="A107" s="70">
        <v>294</v>
      </c>
      <c r="B107" s="70">
        <v>81070</v>
      </c>
      <c r="C107" s="69" t="s">
        <v>173</v>
      </c>
      <c r="D107" s="73">
        <v>1774295.16</v>
      </c>
      <c r="E107" s="73">
        <v>3555228.85</v>
      </c>
      <c r="F107" s="73">
        <v>1203149.79</v>
      </c>
      <c r="G107" s="73">
        <v>1421205.32</v>
      </c>
      <c r="H107" s="73">
        <v>1649242.36</v>
      </c>
      <c r="I107" s="73">
        <v>1775842.86</v>
      </c>
      <c r="J107" s="73">
        <v>1830577.4</v>
      </c>
      <c r="K107" s="73">
        <v>3910737.88</v>
      </c>
      <c r="L107" s="73">
        <v>1212534.52</v>
      </c>
      <c r="M107" s="73">
        <v>1614749.75</v>
      </c>
      <c r="N107" s="73">
        <v>1586067.88</v>
      </c>
      <c r="O107" s="73">
        <f t="shared" si="3"/>
        <v>1744674.67</v>
      </c>
      <c r="P107" s="74">
        <f>SUM(Table2[[#This Row],[JAN]:[DEC]])</f>
        <v>23278306.439999998</v>
      </c>
    </row>
    <row r="108" spans="1:16" x14ac:dyDescent="0.2">
      <c r="A108" s="70">
        <v>500</v>
      </c>
      <c r="B108" s="70">
        <v>81341</v>
      </c>
      <c r="C108" s="69" t="s">
        <v>246</v>
      </c>
      <c r="D108" s="73">
        <v>1944713.95</v>
      </c>
      <c r="E108" s="73">
        <v>1921054.08</v>
      </c>
      <c r="F108" s="73">
        <v>1920485.97</v>
      </c>
      <c r="G108" s="73">
        <v>1914094.27</v>
      </c>
      <c r="H108" s="73">
        <v>1876322.52</v>
      </c>
      <c r="I108" s="73">
        <v>1791426.18</v>
      </c>
      <c r="J108" s="73">
        <v>1844693.31</v>
      </c>
      <c r="K108" s="73">
        <v>1854916.85</v>
      </c>
      <c r="L108" s="73">
        <v>1887152.32</v>
      </c>
      <c r="M108" s="73">
        <v>2033238.47</v>
      </c>
      <c r="N108" s="73">
        <v>1985961.03</v>
      </c>
      <c r="O108" s="73">
        <f t="shared" si="3"/>
        <v>2184557.13</v>
      </c>
      <c r="P108" s="74">
        <f>SUM(Table2[[#This Row],[JAN]:[DEC]])</f>
        <v>23158616.079999998</v>
      </c>
    </row>
    <row r="109" spans="1:16" x14ac:dyDescent="0.2">
      <c r="A109" s="70">
        <v>79</v>
      </c>
      <c r="B109" s="70">
        <v>31026</v>
      </c>
      <c r="C109" s="69" t="s">
        <v>114</v>
      </c>
      <c r="D109" s="73">
        <v>1960231.46</v>
      </c>
      <c r="E109" s="73">
        <v>1977111.2</v>
      </c>
      <c r="F109" s="73">
        <v>1850907.06</v>
      </c>
      <c r="G109" s="73">
        <v>1877810.12</v>
      </c>
      <c r="H109" s="73">
        <v>2232004.7999999998</v>
      </c>
      <c r="I109" s="73">
        <v>2131461.5099999998</v>
      </c>
      <c r="J109" s="73">
        <v>2186783.84</v>
      </c>
      <c r="K109" s="73">
        <v>1785697.59</v>
      </c>
      <c r="L109" s="73">
        <v>1842282.8</v>
      </c>
      <c r="M109" s="73">
        <v>1783442.16</v>
      </c>
      <c r="N109" s="73">
        <v>1633591.85</v>
      </c>
      <c r="O109" s="73">
        <f t="shared" si="3"/>
        <v>1796951.04</v>
      </c>
      <c r="P109" s="74">
        <f>SUM(Table2[[#This Row],[JAN]:[DEC]])</f>
        <v>23058275.43</v>
      </c>
    </row>
    <row r="110" spans="1:16" x14ac:dyDescent="0.2">
      <c r="A110" s="70">
        <v>210</v>
      </c>
      <c r="B110" s="70">
        <v>61048</v>
      </c>
      <c r="C110" s="69" t="s">
        <v>151</v>
      </c>
      <c r="D110" s="73">
        <v>1970486.87</v>
      </c>
      <c r="E110" s="73">
        <v>1357651.13</v>
      </c>
      <c r="F110" s="73">
        <v>1582912.31</v>
      </c>
      <c r="G110" s="73">
        <v>1615324.05</v>
      </c>
      <c r="H110" s="73">
        <v>1141848.54</v>
      </c>
      <c r="I110" s="73">
        <v>1306298.4099999999</v>
      </c>
      <c r="J110" s="73">
        <v>1704527.32</v>
      </c>
      <c r="K110" s="73">
        <v>1427124.25</v>
      </c>
      <c r="L110" s="73">
        <v>1515680.35</v>
      </c>
      <c r="M110" s="73">
        <v>1864529.58</v>
      </c>
      <c r="N110" s="73">
        <v>3508536.27</v>
      </c>
      <c r="O110" s="73">
        <f t="shared" si="3"/>
        <v>3859389.9</v>
      </c>
      <c r="P110" s="74">
        <f>SUM(Table2[[#This Row],[JAN]:[DEC]])</f>
        <v>22854308.98</v>
      </c>
    </row>
    <row r="111" spans="1:16" x14ac:dyDescent="0.2">
      <c r="A111" s="70">
        <v>11</v>
      </c>
      <c r="B111" s="70">
        <v>11017</v>
      </c>
      <c r="C111" s="69" t="s">
        <v>87</v>
      </c>
      <c r="D111" s="73">
        <v>1735526.6</v>
      </c>
      <c r="E111" s="73">
        <v>1468963.74</v>
      </c>
      <c r="F111" s="73">
        <v>2806605.3</v>
      </c>
      <c r="G111" s="73">
        <v>1645869.33</v>
      </c>
      <c r="H111" s="73">
        <v>2392477.54</v>
      </c>
      <c r="I111" s="73">
        <v>1505974.11</v>
      </c>
      <c r="J111" s="73">
        <v>1620696.29</v>
      </c>
      <c r="K111" s="73">
        <v>1551121.93</v>
      </c>
      <c r="L111" s="73">
        <v>2802412.61</v>
      </c>
      <c r="M111" s="73">
        <v>1807243.95</v>
      </c>
      <c r="N111" s="73">
        <v>1602880.8</v>
      </c>
      <c r="O111" s="73">
        <f t="shared" si="3"/>
        <v>1763168.88</v>
      </c>
      <c r="P111" s="74">
        <f>SUM(Table2[[#This Row],[JAN]:[DEC]])</f>
        <v>22702941.079999998</v>
      </c>
    </row>
    <row r="112" spans="1:16" x14ac:dyDescent="0.2">
      <c r="A112" s="70">
        <v>88</v>
      </c>
      <c r="B112" s="70">
        <v>31035</v>
      </c>
      <c r="C112" s="69" t="s">
        <v>119</v>
      </c>
      <c r="D112" s="73">
        <v>1358223.86</v>
      </c>
      <c r="E112" s="73">
        <v>1782394.93</v>
      </c>
      <c r="F112" s="73">
        <v>1842004.31</v>
      </c>
      <c r="G112" s="73">
        <v>1559931.64</v>
      </c>
      <c r="H112" s="73">
        <v>1612175.33</v>
      </c>
      <c r="I112" s="73">
        <v>1989309.73</v>
      </c>
      <c r="J112" s="73">
        <v>2220595.98</v>
      </c>
      <c r="K112" s="73">
        <v>1783336.47</v>
      </c>
      <c r="L112" s="73">
        <v>1993668.28</v>
      </c>
      <c r="M112" s="73">
        <v>2161517.83</v>
      </c>
      <c r="N112" s="73">
        <v>2015213.4</v>
      </c>
      <c r="O112" s="73">
        <f t="shared" si="3"/>
        <v>2216734.7400000002</v>
      </c>
      <c r="P112" s="74">
        <f>SUM(Table2[[#This Row],[JAN]:[DEC]])</f>
        <v>22535106.5</v>
      </c>
    </row>
    <row r="113" spans="1:16" x14ac:dyDescent="0.2">
      <c r="A113" s="70">
        <v>375</v>
      </c>
      <c r="B113" s="70">
        <v>81187</v>
      </c>
      <c r="C113" s="69" t="s">
        <v>207</v>
      </c>
      <c r="D113" s="73">
        <v>2352334.62</v>
      </c>
      <c r="E113" s="73">
        <v>2133966.25</v>
      </c>
      <c r="F113" s="73">
        <v>1742644.65</v>
      </c>
      <c r="G113" s="73">
        <v>1918158.45</v>
      </c>
      <c r="H113" s="73">
        <v>1876781.3</v>
      </c>
      <c r="I113" s="73">
        <v>1564101.15</v>
      </c>
      <c r="J113" s="73">
        <v>1422583</v>
      </c>
      <c r="K113" s="73">
        <v>1589789.21</v>
      </c>
      <c r="L113" s="73">
        <v>1732348.9</v>
      </c>
      <c r="M113" s="73">
        <v>1908048.25</v>
      </c>
      <c r="N113" s="73">
        <v>1974678.74</v>
      </c>
      <c r="O113" s="73">
        <f t="shared" si="3"/>
        <v>2172146.61</v>
      </c>
      <c r="P113" s="74">
        <f>SUM(Table2[[#This Row],[JAN]:[DEC]])</f>
        <v>22387581.129999999</v>
      </c>
    </row>
    <row r="114" spans="1:16" x14ac:dyDescent="0.2">
      <c r="A114" s="70">
        <v>463</v>
      </c>
      <c r="B114" s="70">
        <v>81292</v>
      </c>
      <c r="C114" s="69" t="s">
        <v>232</v>
      </c>
      <c r="D114" s="73">
        <v>1505991.25</v>
      </c>
      <c r="E114" s="73">
        <v>1487992.66</v>
      </c>
      <c r="F114" s="73">
        <v>2080452.88</v>
      </c>
      <c r="G114" s="73">
        <v>1845495.19</v>
      </c>
      <c r="H114" s="73">
        <v>1865559.67</v>
      </c>
      <c r="I114" s="73">
        <v>1846455.06</v>
      </c>
      <c r="J114" s="73">
        <v>1731842.62</v>
      </c>
      <c r="K114" s="73">
        <v>1795281.35</v>
      </c>
      <c r="L114" s="73">
        <v>1877202.62</v>
      </c>
      <c r="M114" s="73">
        <v>1907407.93</v>
      </c>
      <c r="N114" s="73">
        <v>1948120.65</v>
      </c>
      <c r="O114" s="73">
        <f t="shared" si="3"/>
        <v>2142932.7200000002</v>
      </c>
      <c r="P114" s="74">
        <f>SUM(Table2[[#This Row],[JAN]:[DEC]])</f>
        <v>22034734.599999998</v>
      </c>
    </row>
    <row r="115" spans="1:16" x14ac:dyDescent="0.2">
      <c r="A115" s="70">
        <v>157</v>
      </c>
      <c r="B115" s="70">
        <v>51045</v>
      </c>
      <c r="C115" s="69" t="s">
        <v>129</v>
      </c>
      <c r="D115" s="73">
        <v>1315036.69</v>
      </c>
      <c r="E115" s="73">
        <v>1376498.14</v>
      </c>
      <c r="F115" s="73">
        <v>1369628</v>
      </c>
      <c r="G115" s="73">
        <v>1707095.34</v>
      </c>
      <c r="H115" s="73">
        <v>1867083.39</v>
      </c>
      <c r="I115" s="73">
        <v>2097687.06</v>
      </c>
      <c r="J115" s="73">
        <v>2409110.19</v>
      </c>
      <c r="K115" s="73">
        <v>2012738.02</v>
      </c>
      <c r="L115" s="73">
        <v>2050048.18</v>
      </c>
      <c r="M115" s="73">
        <v>2093232.41</v>
      </c>
      <c r="N115" s="73">
        <v>1772965.62</v>
      </c>
      <c r="O115" s="73">
        <f t="shared" si="3"/>
        <v>1950262.18</v>
      </c>
      <c r="P115" s="74">
        <f>SUM(Table2[[#This Row],[JAN]:[DEC]])</f>
        <v>22021385.219999999</v>
      </c>
    </row>
    <row r="116" spans="1:16" x14ac:dyDescent="0.2">
      <c r="A116" s="70">
        <v>192</v>
      </c>
      <c r="B116" s="70">
        <v>61024</v>
      </c>
      <c r="C116" s="69" t="s">
        <v>144</v>
      </c>
      <c r="D116" s="73">
        <v>1579740.01</v>
      </c>
      <c r="E116" s="73">
        <v>1501009.31</v>
      </c>
      <c r="F116" s="73">
        <v>2075179.52</v>
      </c>
      <c r="G116" s="73">
        <v>1194541.6499999999</v>
      </c>
      <c r="H116" s="73">
        <v>1741102.68</v>
      </c>
      <c r="I116" s="73">
        <v>1936315.44</v>
      </c>
      <c r="J116" s="73">
        <v>1870634.26</v>
      </c>
      <c r="K116" s="73">
        <v>2983721.62</v>
      </c>
      <c r="L116" s="73">
        <v>1429121.53</v>
      </c>
      <c r="M116" s="73">
        <v>1782527.07</v>
      </c>
      <c r="N116" s="73">
        <v>1749202.62</v>
      </c>
      <c r="O116" s="73">
        <f t="shared" si="3"/>
        <v>1924122.88</v>
      </c>
      <c r="P116" s="74">
        <f>SUM(Table2[[#This Row],[JAN]:[DEC]])</f>
        <v>21767218.589999996</v>
      </c>
    </row>
    <row r="117" spans="1:16" x14ac:dyDescent="0.2">
      <c r="A117" s="70">
        <v>426</v>
      </c>
      <c r="B117" s="70">
        <v>81250</v>
      </c>
      <c r="C117" s="69" t="s">
        <v>217</v>
      </c>
      <c r="D117" s="73">
        <v>1751207</v>
      </c>
      <c r="E117" s="73">
        <v>1640393.28</v>
      </c>
      <c r="F117" s="73">
        <v>1635193.12</v>
      </c>
      <c r="G117" s="73">
        <v>1919300.76</v>
      </c>
      <c r="H117" s="73">
        <v>1969874.62</v>
      </c>
      <c r="I117" s="73">
        <v>1905652.31</v>
      </c>
      <c r="J117" s="73">
        <v>1760789.3</v>
      </c>
      <c r="K117" s="73">
        <v>1604450.26</v>
      </c>
      <c r="L117" s="73">
        <v>1794083.22</v>
      </c>
      <c r="M117" s="73">
        <v>1821332.55</v>
      </c>
      <c r="N117" s="73">
        <v>1696756.72</v>
      </c>
      <c r="O117" s="73">
        <f t="shared" si="3"/>
        <v>1866432.39</v>
      </c>
      <c r="P117" s="74">
        <f>SUM(Table2[[#This Row],[JAN]:[DEC]])</f>
        <v>21365465.530000001</v>
      </c>
    </row>
    <row r="118" spans="1:16" x14ac:dyDescent="0.2">
      <c r="A118" s="70">
        <v>604</v>
      </c>
      <c r="B118" s="70">
        <v>261037</v>
      </c>
      <c r="C118" s="69" t="s">
        <v>279</v>
      </c>
      <c r="D118" s="73">
        <v>1490580.11</v>
      </c>
      <c r="E118" s="73">
        <v>1674262.9</v>
      </c>
      <c r="F118" s="73">
        <v>2415441.5099999998</v>
      </c>
      <c r="G118" s="73">
        <v>1413165.48</v>
      </c>
      <c r="H118" s="73">
        <v>1447865.68</v>
      </c>
      <c r="I118" s="73">
        <v>2488385.5099999998</v>
      </c>
      <c r="J118" s="73">
        <v>1245016.1399999999</v>
      </c>
      <c r="K118" s="73">
        <v>1505336.56</v>
      </c>
      <c r="L118" s="73">
        <v>2866711.66</v>
      </c>
      <c r="M118" s="73">
        <v>1446381.8</v>
      </c>
      <c r="N118" s="73">
        <v>1449012.99</v>
      </c>
      <c r="O118" s="73">
        <f t="shared" si="3"/>
        <v>1593914.29</v>
      </c>
      <c r="P118" s="74">
        <f>SUM(Table2[[#This Row],[JAN]:[DEC]])</f>
        <v>21036074.629999999</v>
      </c>
    </row>
    <row r="119" spans="1:16" x14ac:dyDescent="0.2">
      <c r="A119" s="70">
        <v>45</v>
      </c>
      <c r="B119" s="71">
        <v>11067</v>
      </c>
      <c r="C119" s="72" t="s">
        <v>102</v>
      </c>
      <c r="D119" s="73">
        <v>0</v>
      </c>
      <c r="E119" s="73">
        <v>0</v>
      </c>
      <c r="F119" s="73">
        <v>0</v>
      </c>
      <c r="G119" s="73">
        <v>0</v>
      </c>
      <c r="H119" s="73">
        <v>0</v>
      </c>
      <c r="I119" s="73">
        <v>0</v>
      </c>
      <c r="J119" s="73">
        <v>0</v>
      </c>
      <c r="K119" s="73">
        <v>11280.5</v>
      </c>
      <c r="L119" s="73">
        <v>2495217.12</v>
      </c>
      <c r="M119" s="73">
        <v>6413482.6500000004</v>
      </c>
      <c r="N119" s="73">
        <v>5723057.71</v>
      </c>
      <c r="O119" s="73">
        <f t="shared" si="3"/>
        <v>6295363.4800000004</v>
      </c>
      <c r="P119" s="74">
        <f>SUM(Table2[[#This Row],[JAN]:[DEC]])</f>
        <v>20938401.460000001</v>
      </c>
    </row>
    <row r="120" spans="1:16" x14ac:dyDescent="0.2">
      <c r="A120" s="70">
        <v>286</v>
      </c>
      <c r="B120" s="70">
        <v>81059</v>
      </c>
      <c r="C120" s="69" t="s">
        <v>171</v>
      </c>
      <c r="D120" s="73">
        <v>1495120.31</v>
      </c>
      <c r="E120" s="73">
        <v>1929847.05</v>
      </c>
      <c r="F120" s="73">
        <v>1740870.48</v>
      </c>
      <c r="G120" s="73">
        <v>1669499.99</v>
      </c>
      <c r="H120" s="73">
        <v>1470846.99</v>
      </c>
      <c r="I120" s="73">
        <v>1300339.6299999999</v>
      </c>
      <c r="J120" s="73">
        <v>1490065.03</v>
      </c>
      <c r="K120" s="73">
        <v>1749985.75</v>
      </c>
      <c r="L120" s="73">
        <v>1904561.36</v>
      </c>
      <c r="M120" s="73">
        <v>1832891.56</v>
      </c>
      <c r="N120" s="73">
        <v>1954074.01</v>
      </c>
      <c r="O120" s="73">
        <f t="shared" si="3"/>
        <v>2149481.41</v>
      </c>
      <c r="P120" s="74">
        <f>SUM(Table2[[#This Row],[JAN]:[DEC]])</f>
        <v>20687583.57</v>
      </c>
    </row>
    <row r="121" spans="1:16" x14ac:dyDescent="0.2">
      <c r="A121" s="70">
        <v>90</v>
      </c>
      <c r="B121" s="70">
        <v>31039</v>
      </c>
      <c r="C121" s="69" t="s">
        <v>121</v>
      </c>
      <c r="D121" s="73">
        <v>1241149.42</v>
      </c>
      <c r="E121" s="73">
        <v>1537403.82</v>
      </c>
      <c r="F121" s="73">
        <v>1596626.75</v>
      </c>
      <c r="G121" s="73">
        <v>1462198.49</v>
      </c>
      <c r="H121" s="73">
        <v>1399796.1</v>
      </c>
      <c r="I121" s="73">
        <v>1546789.94</v>
      </c>
      <c r="J121" s="73">
        <v>1730378.09</v>
      </c>
      <c r="K121" s="73">
        <v>1575234.99</v>
      </c>
      <c r="L121" s="73">
        <v>1881396.41</v>
      </c>
      <c r="M121" s="73">
        <v>2126428.25</v>
      </c>
      <c r="N121" s="73">
        <v>2078391.28</v>
      </c>
      <c r="O121" s="73">
        <f t="shared" si="3"/>
        <v>2286230.41</v>
      </c>
      <c r="P121" s="74">
        <f>SUM(Table2[[#This Row],[JAN]:[DEC]])</f>
        <v>20462023.949999999</v>
      </c>
    </row>
    <row r="122" spans="1:16" x14ac:dyDescent="0.2">
      <c r="A122" s="70">
        <v>563</v>
      </c>
      <c r="B122" s="70">
        <v>171004</v>
      </c>
      <c r="C122" s="69" t="s">
        <v>268</v>
      </c>
      <c r="D122" s="73">
        <v>1044990.99</v>
      </c>
      <c r="E122" s="73">
        <v>1082265.95</v>
      </c>
      <c r="F122" s="73">
        <v>1374116.07</v>
      </c>
      <c r="G122" s="73">
        <v>1962010.72</v>
      </c>
      <c r="H122" s="73">
        <v>2734004.5</v>
      </c>
      <c r="I122" s="73">
        <v>1502688.7</v>
      </c>
      <c r="J122" s="73">
        <v>1849566.51</v>
      </c>
      <c r="K122" s="73">
        <v>1279561.51</v>
      </c>
      <c r="L122" s="73">
        <v>2226160.7799999998</v>
      </c>
      <c r="M122" s="73">
        <v>2332245.56</v>
      </c>
      <c r="N122" s="73">
        <v>1406153.22</v>
      </c>
      <c r="O122" s="73">
        <f t="shared" si="3"/>
        <v>1546768.54</v>
      </c>
      <c r="P122" s="74">
        <f>SUM(Table2[[#This Row],[JAN]:[DEC]])</f>
        <v>20340533.049999997</v>
      </c>
    </row>
    <row r="123" spans="1:16" x14ac:dyDescent="0.2">
      <c r="A123" s="70">
        <v>443</v>
      </c>
      <c r="B123" s="70">
        <v>81268</v>
      </c>
      <c r="C123" s="69" t="s">
        <v>226</v>
      </c>
      <c r="D123" s="73">
        <v>1514338.1</v>
      </c>
      <c r="E123" s="73">
        <v>1521398.74</v>
      </c>
      <c r="F123" s="73">
        <v>1854145.45</v>
      </c>
      <c r="G123" s="73">
        <v>1386711.44</v>
      </c>
      <c r="H123" s="73">
        <v>1524753.79</v>
      </c>
      <c r="I123" s="73">
        <v>1661033.06</v>
      </c>
      <c r="J123" s="73">
        <v>1484289.16</v>
      </c>
      <c r="K123" s="73">
        <v>1826700.46</v>
      </c>
      <c r="L123" s="73">
        <v>2016917.42</v>
      </c>
      <c r="M123" s="73">
        <v>1919422.82</v>
      </c>
      <c r="N123" s="73">
        <v>1712668.73</v>
      </c>
      <c r="O123" s="73">
        <f t="shared" si="3"/>
        <v>1883935.6</v>
      </c>
      <c r="P123" s="74">
        <f>SUM(Table2[[#This Row],[JAN]:[DEC]])</f>
        <v>20306314.77</v>
      </c>
    </row>
    <row r="124" spans="1:16" x14ac:dyDescent="0.2">
      <c r="A124" s="70">
        <v>94</v>
      </c>
      <c r="B124" s="70">
        <v>41002</v>
      </c>
      <c r="C124" s="69" t="s">
        <v>122</v>
      </c>
      <c r="D124" s="73">
        <v>2170456.98</v>
      </c>
      <c r="E124" s="73">
        <v>1941011.51</v>
      </c>
      <c r="F124" s="73">
        <v>2013010.19</v>
      </c>
      <c r="G124" s="73">
        <v>2020789.91</v>
      </c>
      <c r="H124" s="73">
        <v>1457789.64</v>
      </c>
      <c r="I124" s="73">
        <v>1146056.76</v>
      </c>
      <c r="J124" s="73">
        <v>946762.47</v>
      </c>
      <c r="K124" s="73">
        <v>1113099.6299999999</v>
      </c>
      <c r="L124" s="73">
        <v>1233044.04</v>
      </c>
      <c r="M124" s="73">
        <v>1402706.82</v>
      </c>
      <c r="N124" s="73">
        <v>2294334.0299999998</v>
      </c>
      <c r="O124" s="73">
        <f t="shared" si="3"/>
        <v>2523767.4300000002</v>
      </c>
      <c r="P124" s="74">
        <f>SUM(Table2[[#This Row],[JAN]:[DEC]])</f>
        <v>20262829.41</v>
      </c>
    </row>
    <row r="125" spans="1:16" x14ac:dyDescent="0.2">
      <c r="A125" s="70">
        <v>451</v>
      </c>
      <c r="B125" s="70">
        <v>81276</v>
      </c>
      <c r="C125" s="69" t="s">
        <v>229</v>
      </c>
      <c r="D125" s="73">
        <v>1591615.27</v>
      </c>
      <c r="E125" s="73">
        <v>1608999.58</v>
      </c>
      <c r="F125" s="73">
        <v>1588853.62</v>
      </c>
      <c r="G125" s="73">
        <v>1612320.81</v>
      </c>
      <c r="H125" s="73">
        <v>1755565.18</v>
      </c>
      <c r="I125" s="73">
        <v>1600844.99</v>
      </c>
      <c r="J125" s="73">
        <v>1617699.93</v>
      </c>
      <c r="K125" s="73">
        <v>1791878.33</v>
      </c>
      <c r="L125" s="73">
        <v>1707364.92</v>
      </c>
      <c r="M125" s="73">
        <v>1792010.49</v>
      </c>
      <c r="N125" s="73">
        <v>1637669.77</v>
      </c>
      <c r="O125" s="73">
        <f t="shared" si="3"/>
        <v>1801436.75</v>
      </c>
      <c r="P125" s="74">
        <f>SUM(Table2[[#This Row],[JAN]:[DEC]])</f>
        <v>20106259.640000001</v>
      </c>
    </row>
    <row r="126" spans="1:16" x14ac:dyDescent="0.2">
      <c r="A126" s="70">
        <v>318</v>
      </c>
      <c r="B126" s="70">
        <v>81115</v>
      </c>
      <c r="C126" s="69" t="s">
        <v>182</v>
      </c>
      <c r="D126" s="73">
        <v>1544628.08</v>
      </c>
      <c r="E126" s="73">
        <v>1535188.38</v>
      </c>
      <c r="F126" s="73">
        <v>1653397.54</v>
      </c>
      <c r="G126" s="73">
        <v>1769757.96</v>
      </c>
      <c r="H126" s="73">
        <v>1857859.9</v>
      </c>
      <c r="I126" s="73">
        <v>1768805.76</v>
      </c>
      <c r="J126" s="73">
        <v>1596409.54</v>
      </c>
      <c r="K126" s="73">
        <v>1564746.15</v>
      </c>
      <c r="L126" s="73">
        <v>1699370.27</v>
      </c>
      <c r="M126" s="73">
        <v>1725324.21</v>
      </c>
      <c r="N126" s="73">
        <v>1573192</v>
      </c>
      <c r="O126" s="73">
        <f t="shared" si="3"/>
        <v>1730511.2</v>
      </c>
      <c r="P126" s="74">
        <f>SUM(Table2[[#This Row],[JAN]:[DEC]])</f>
        <v>20019190.989999998</v>
      </c>
    </row>
    <row r="127" spans="1:16" x14ac:dyDescent="0.2">
      <c r="A127" s="70">
        <v>517</v>
      </c>
      <c r="B127" s="70">
        <v>111001</v>
      </c>
      <c r="C127" s="69" t="s">
        <v>255</v>
      </c>
      <c r="D127" s="73">
        <v>691979.3</v>
      </c>
      <c r="E127" s="73">
        <v>1153664.75</v>
      </c>
      <c r="F127" s="73">
        <v>1262641.67</v>
      </c>
      <c r="G127" s="73">
        <v>2366355.21</v>
      </c>
      <c r="H127" s="73">
        <v>1877213.35</v>
      </c>
      <c r="I127" s="73">
        <v>2211906.39</v>
      </c>
      <c r="J127" s="73">
        <v>1416553.25</v>
      </c>
      <c r="K127" s="73">
        <v>1600435.94</v>
      </c>
      <c r="L127" s="73">
        <v>2230485.0299999998</v>
      </c>
      <c r="M127" s="73">
        <v>2122080.61</v>
      </c>
      <c r="N127" s="73">
        <v>1438737.54</v>
      </c>
      <c r="O127" s="73">
        <f t="shared" si="3"/>
        <v>1582611.29</v>
      </c>
      <c r="P127" s="74">
        <f>SUM(Table2[[#This Row],[JAN]:[DEC]])</f>
        <v>19954664.329999998</v>
      </c>
    </row>
    <row r="128" spans="1:16" x14ac:dyDescent="0.2">
      <c r="A128" s="70">
        <v>430</v>
      </c>
      <c r="B128" s="70">
        <v>81254</v>
      </c>
      <c r="C128" s="69" t="s">
        <v>218</v>
      </c>
      <c r="D128" s="73">
        <v>1506658.13</v>
      </c>
      <c r="E128" s="73">
        <v>1597341.41</v>
      </c>
      <c r="F128" s="73">
        <v>1511750.15</v>
      </c>
      <c r="G128" s="73">
        <v>1558114.33</v>
      </c>
      <c r="H128" s="73">
        <v>1693803.15</v>
      </c>
      <c r="I128" s="73">
        <v>1675129.32</v>
      </c>
      <c r="J128" s="73">
        <v>1633231.87</v>
      </c>
      <c r="K128" s="73">
        <v>1598162.3</v>
      </c>
      <c r="L128" s="73">
        <v>1719689.3</v>
      </c>
      <c r="M128" s="73">
        <v>1789993.12</v>
      </c>
      <c r="N128" s="73">
        <v>1722932.78</v>
      </c>
      <c r="O128" s="73">
        <f t="shared" si="3"/>
        <v>1895226.06</v>
      </c>
      <c r="P128" s="74">
        <f>SUM(Table2[[#This Row],[JAN]:[DEC]])</f>
        <v>19902031.920000002</v>
      </c>
    </row>
    <row r="129" spans="1:16" x14ac:dyDescent="0.2">
      <c r="A129" s="70">
        <v>280</v>
      </c>
      <c r="B129" s="70">
        <v>81050</v>
      </c>
      <c r="C129" s="69" t="s">
        <v>169</v>
      </c>
      <c r="D129" s="73">
        <v>1149681.81</v>
      </c>
      <c r="E129" s="73">
        <v>1010041.6</v>
      </c>
      <c r="F129" s="73">
        <v>1079845.05</v>
      </c>
      <c r="G129" s="73">
        <v>1265292.29</v>
      </c>
      <c r="H129" s="73">
        <v>1592770.37</v>
      </c>
      <c r="I129" s="73">
        <v>1744786.78</v>
      </c>
      <c r="J129" s="73">
        <v>1703913.03</v>
      </c>
      <c r="K129" s="73">
        <v>2315522.34</v>
      </c>
      <c r="L129" s="73">
        <v>2112454.38</v>
      </c>
      <c r="M129" s="73">
        <v>2104105.27</v>
      </c>
      <c r="N129" s="73">
        <v>1691571.95</v>
      </c>
      <c r="O129" s="73">
        <f t="shared" si="3"/>
        <v>1860729.15</v>
      </c>
      <c r="P129" s="74">
        <f>SUM(Table2[[#This Row],[JAN]:[DEC]])</f>
        <v>19630714.019999996</v>
      </c>
    </row>
    <row r="130" spans="1:16" x14ac:dyDescent="0.2">
      <c r="A130" s="70">
        <v>357</v>
      </c>
      <c r="B130" s="70">
        <v>81167</v>
      </c>
      <c r="C130" s="69" t="s">
        <v>199</v>
      </c>
      <c r="D130" s="73">
        <v>1408961.53</v>
      </c>
      <c r="E130" s="73">
        <v>1480663.45</v>
      </c>
      <c r="F130" s="73">
        <v>1423147.47</v>
      </c>
      <c r="G130" s="73">
        <v>1575061.96</v>
      </c>
      <c r="H130" s="73">
        <v>1737093.89</v>
      </c>
      <c r="I130" s="73">
        <v>1732382.03</v>
      </c>
      <c r="J130" s="73">
        <v>1750601.78</v>
      </c>
      <c r="K130" s="73">
        <v>1667868.91</v>
      </c>
      <c r="L130" s="73">
        <v>1817074.14</v>
      </c>
      <c r="M130" s="73">
        <v>1743630.83</v>
      </c>
      <c r="N130" s="73">
        <v>1558830.07</v>
      </c>
      <c r="O130" s="73">
        <f t="shared" ref="O130:O161" si="4">ROUND(N130*110%,2)</f>
        <v>1714713.08</v>
      </c>
      <c r="P130" s="74">
        <f>SUM(Table2[[#This Row],[JAN]:[DEC]])</f>
        <v>19610029.140000001</v>
      </c>
    </row>
    <row r="131" spans="1:16" x14ac:dyDescent="0.2">
      <c r="A131" s="70">
        <v>162</v>
      </c>
      <c r="B131" s="70">
        <v>51050</v>
      </c>
      <c r="C131" s="69" t="s">
        <v>131</v>
      </c>
      <c r="D131" s="73">
        <v>1612482.12</v>
      </c>
      <c r="E131" s="73">
        <v>1511997.07</v>
      </c>
      <c r="F131" s="73">
        <v>1361075.61</v>
      </c>
      <c r="G131" s="73">
        <v>1219960.3799999999</v>
      </c>
      <c r="H131" s="73">
        <v>1806504.66</v>
      </c>
      <c r="I131" s="73">
        <v>1685594.55</v>
      </c>
      <c r="J131" s="73">
        <v>1781240.96</v>
      </c>
      <c r="K131" s="73">
        <v>1796362.55</v>
      </c>
      <c r="L131" s="73">
        <v>1785145.28</v>
      </c>
      <c r="M131" s="73">
        <v>1182328.99</v>
      </c>
      <c r="N131" s="73">
        <v>1827599.83</v>
      </c>
      <c r="O131" s="73">
        <f t="shared" si="4"/>
        <v>2010359.81</v>
      </c>
      <c r="P131" s="74">
        <f>SUM(Table2[[#This Row],[JAN]:[DEC]])</f>
        <v>19580651.809999999</v>
      </c>
    </row>
    <row r="132" spans="1:16" x14ac:dyDescent="0.2">
      <c r="A132" s="70">
        <v>529</v>
      </c>
      <c r="B132" s="70">
        <v>131021</v>
      </c>
      <c r="C132" s="69" t="s">
        <v>261</v>
      </c>
      <c r="D132" s="73">
        <v>1706368.91</v>
      </c>
      <c r="E132" s="73">
        <v>1677094.18</v>
      </c>
      <c r="F132" s="73">
        <v>1958424.76</v>
      </c>
      <c r="G132" s="73">
        <v>1640515.52</v>
      </c>
      <c r="H132" s="73">
        <v>1389070.02</v>
      </c>
      <c r="I132" s="73">
        <v>1289499.1299999999</v>
      </c>
      <c r="J132" s="73">
        <v>1447568.9</v>
      </c>
      <c r="K132" s="73">
        <v>1292129.98</v>
      </c>
      <c r="L132" s="73">
        <v>1127178.97</v>
      </c>
      <c r="M132" s="73">
        <v>1484809.73</v>
      </c>
      <c r="N132" s="73">
        <v>2161924.77</v>
      </c>
      <c r="O132" s="73">
        <f t="shared" si="4"/>
        <v>2378117.25</v>
      </c>
      <c r="P132" s="74">
        <f>SUM(Table2[[#This Row],[JAN]:[DEC]])</f>
        <v>19552702.120000001</v>
      </c>
    </row>
    <row r="133" spans="1:16" x14ac:dyDescent="0.2">
      <c r="A133" s="70">
        <v>33</v>
      </c>
      <c r="B133" s="70">
        <v>11052</v>
      </c>
      <c r="C133" s="69" t="s">
        <v>95</v>
      </c>
      <c r="D133" s="73">
        <v>1449125.3</v>
      </c>
      <c r="E133" s="73">
        <v>1391187.17</v>
      </c>
      <c r="F133" s="73">
        <v>1482203.3</v>
      </c>
      <c r="G133" s="73">
        <v>1528771.63</v>
      </c>
      <c r="H133" s="73">
        <v>1702025.17</v>
      </c>
      <c r="I133" s="73">
        <v>1486054.55</v>
      </c>
      <c r="J133" s="73">
        <v>1522158.1</v>
      </c>
      <c r="K133" s="73">
        <v>1741284.81</v>
      </c>
      <c r="L133" s="73">
        <v>1682414.09</v>
      </c>
      <c r="M133" s="73">
        <v>1868705.53</v>
      </c>
      <c r="N133" s="73">
        <v>1746989</v>
      </c>
      <c r="O133" s="73">
        <f t="shared" si="4"/>
        <v>1921687.9</v>
      </c>
      <c r="P133" s="74">
        <f>SUM(Table2[[#This Row],[JAN]:[DEC]])</f>
        <v>19522606.549999997</v>
      </c>
    </row>
    <row r="134" spans="1:16" x14ac:dyDescent="0.2">
      <c r="A134" s="70">
        <v>217</v>
      </c>
      <c r="B134" s="70">
        <v>61057</v>
      </c>
      <c r="C134" s="69" t="s">
        <v>154</v>
      </c>
      <c r="D134" s="73">
        <v>1041574.31</v>
      </c>
      <c r="E134" s="73">
        <v>1461450.32</v>
      </c>
      <c r="F134" s="73">
        <v>1898966.45</v>
      </c>
      <c r="G134" s="73">
        <v>1299036.3</v>
      </c>
      <c r="H134" s="73">
        <v>1032230.63</v>
      </c>
      <c r="I134" s="73">
        <v>934074.94</v>
      </c>
      <c r="J134" s="73">
        <v>1048239.01</v>
      </c>
      <c r="K134" s="73">
        <v>1007939.5</v>
      </c>
      <c r="L134" s="73">
        <v>1230162.48</v>
      </c>
      <c r="M134" s="73">
        <v>1528272.51</v>
      </c>
      <c r="N134" s="73">
        <v>3303810.22</v>
      </c>
      <c r="O134" s="73">
        <f t="shared" si="4"/>
        <v>3634191.24</v>
      </c>
      <c r="P134" s="74">
        <f>SUM(Table2[[#This Row],[JAN]:[DEC]])</f>
        <v>19419947.91</v>
      </c>
    </row>
    <row r="135" spans="1:16" x14ac:dyDescent="0.2">
      <c r="A135" s="70">
        <v>536</v>
      </c>
      <c r="B135" s="70">
        <v>141003</v>
      </c>
      <c r="C135" s="69" t="s">
        <v>262</v>
      </c>
      <c r="D135" s="73">
        <v>686774.5</v>
      </c>
      <c r="E135" s="73">
        <v>806532.44</v>
      </c>
      <c r="F135" s="73">
        <v>917018.3</v>
      </c>
      <c r="G135" s="73">
        <v>944364.77</v>
      </c>
      <c r="H135" s="73">
        <v>1386558.72</v>
      </c>
      <c r="I135" s="73">
        <v>2581199.11</v>
      </c>
      <c r="J135" s="73">
        <v>1854806.78</v>
      </c>
      <c r="K135" s="73">
        <v>1873659.83</v>
      </c>
      <c r="L135" s="73">
        <v>2796642.85</v>
      </c>
      <c r="M135" s="73">
        <v>2438941.59</v>
      </c>
      <c r="N135" s="73">
        <v>1447524.91</v>
      </c>
      <c r="O135" s="73">
        <f t="shared" si="4"/>
        <v>1592277.4</v>
      </c>
      <c r="P135" s="74">
        <f>SUM(Table2[[#This Row],[JAN]:[DEC]])</f>
        <v>19326301.199999996</v>
      </c>
    </row>
    <row r="136" spans="1:16" x14ac:dyDescent="0.2">
      <c r="A136" s="70">
        <v>348</v>
      </c>
      <c r="B136" s="70">
        <v>81155</v>
      </c>
      <c r="C136" s="69" t="s">
        <v>194</v>
      </c>
      <c r="D136" s="73">
        <v>1437839.67</v>
      </c>
      <c r="E136" s="73">
        <v>1411495.45</v>
      </c>
      <c r="F136" s="73">
        <v>1390798.03</v>
      </c>
      <c r="G136" s="73">
        <v>1570030.53</v>
      </c>
      <c r="H136" s="73">
        <v>1741535.09</v>
      </c>
      <c r="I136" s="73">
        <v>1656525.78</v>
      </c>
      <c r="J136" s="73">
        <v>1582450.74</v>
      </c>
      <c r="K136" s="73">
        <v>1672554.97</v>
      </c>
      <c r="L136" s="73">
        <v>1771278.46</v>
      </c>
      <c r="M136" s="73">
        <v>1385952.97</v>
      </c>
      <c r="N136" s="73">
        <v>1511536.65</v>
      </c>
      <c r="O136" s="73">
        <f t="shared" si="4"/>
        <v>1662690.32</v>
      </c>
      <c r="P136" s="74">
        <f>SUM(Table2[[#This Row],[JAN]:[DEC]])</f>
        <v>18794688.660000004</v>
      </c>
    </row>
    <row r="137" spans="1:16" x14ac:dyDescent="0.2">
      <c r="A137" s="70">
        <v>549</v>
      </c>
      <c r="B137" s="70">
        <v>151011</v>
      </c>
      <c r="C137" s="69" t="s">
        <v>263</v>
      </c>
      <c r="D137" s="73">
        <v>1641321.84</v>
      </c>
      <c r="E137" s="73">
        <v>1436022.33</v>
      </c>
      <c r="F137" s="73">
        <v>1654070.67</v>
      </c>
      <c r="G137" s="73">
        <v>1520359.12</v>
      </c>
      <c r="H137" s="73">
        <v>1609791.37</v>
      </c>
      <c r="I137" s="73">
        <v>1332313.94</v>
      </c>
      <c r="J137" s="73">
        <v>1304712.67</v>
      </c>
      <c r="K137" s="73">
        <v>1568727.38</v>
      </c>
      <c r="L137" s="73">
        <v>1310170.75</v>
      </c>
      <c r="M137" s="73">
        <v>1443521.71</v>
      </c>
      <c r="N137" s="73">
        <v>1805700.96</v>
      </c>
      <c r="O137" s="73">
        <f t="shared" si="4"/>
        <v>1986271.06</v>
      </c>
      <c r="P137" s="74">
        <f>SUM(Table2[[#This Row],[JAN]:[DEC]])</f>
        <v>18612983.800000001</v>
      </c>
    </row>
    <row r="138" spans="1:16" x14ac:dyDescent="0.2">
      <c r="A138" s="70">
        <v>209</v>
      </c>
      <c r="B138" s="70">
        <v>61047</v>
      </c>
      <c r="C138" s="69" t="s">
        <v>150</v>
      </c>
      <c r="D138" s="73">
        <v>1576196.02</v>
      </c>
      <c r="E138" s="73">
        <v>824287.93</v>
      </c>
      <c r="F138" s="73">
        <v>1644288.16</v>
      </c>
      <c r="G138" s="73">
        <v>128870.1</v>
      </c>
      <c r="H138" s="73">
        <v>1073877.82</v>
      </c>
      <c r="I138" s="73">
        <v>1607528.49</v>
      </c>
      <c r="J138" s="73">
        <v>2135806.9700000002</v>
      </c>
      <c r="K138" s="73">
        <v>2063304.88</v>
      </c>
      <c r="L138" s="73">
        <v>2022728.87</v>
      </c>
      <c r="M138" s="73">
        <v>1968741.3</v>
      </c>
      <c r="N138" s="73">
        <v>1641502.4</v>
      </c>
      <c r="O138" s="73">
        <f t="shared" si="4"/>
        <v>1805652.64</v>
      </c>
      <c r="P138" s="74">
        <f>SUM(Table2[[#This Row],[JAN]:[DEC]])</f>
        <v>18492785.580000002</v>
      </c>
    </row>
    <row r="139" spans="1:16" x14ac:dyDescent="0.2">
      <c r="A139" s="70">
        <v>322</v>
      </c>
      <c r="B139" s="70">
        <v>81122</v>
      </c>
      <c r="C139" s="69" t="s">
        <v>185</v>
      </c>
      <c r="D139" s="73">
        <v>1273082.96</v>
      </c>
      <c r="E139" s="73">
        <v>1212201.29</v>
      </c>
      <c r="F139" s="73">
        <v>1356582.75</v>
      </c>
      <c r="G139" s="73">
        <v>1494096.78</v>
      </c>
      <c r="H139" s="73">
        <v>1657143.62</v>
      </c>
      <c r="I139" s="73">
        <v>1707235.74</v>
      </c>
      <c r="J139" s="73">
        <v>1366159.58</v>
      </c>
      <c r="K139" s="73">
        <v>1757527.42</v>
      </c>
      <c r="L139" s="73">
        <v>1675340.5</v>
      </c>
      <c r="M139" s="73">
        <v>1649807.69</v>
      </c>
      <c r="N139" s="73">
        <v>1420047.22</v>
      </c>
      <c r="O139" s="73">
        <f t="shared" si="4"/>
        <v>1562051.94</v>
      </c>
      <c r="P139" s="74">
        <f>SUM(Table2[[#This Row],[JAN]:[DEC]])</f>
        <v>18131277.490000002</v>
      </c>
    </row>
    <row r="140" spans="1:16" x14ac:dyDescent="0.2">
      <c r="A140" s="70">
        <v>68</v>
      </c>
      <c r="B140" s="70">
        <v>31011</v>
      </c>
      <c r="C140" s="69" t="s">
        <v>109</v>
      </c>
      <c r="D140" s="73">
        <v>1201311.44</v>
      </c>
      <c r="E140" s="73">
        <v>1132150.48</v>
      </c>
      <c r="F140" s="73">
        <v>1081090.02</v>
      </c>
      <c r="G140" s="73">
        <v>1182098.45</v>
      </c>
      <c r="H140" s="73">
        <v>1252153.69</v>
      </c>
      <c r="I140" s="73">
        <v>1414311.29</v>
      </c>
      <c r="J140" s="73">
        <v>1534261.15</v>
      </c>
      <c r="K140" s="73">
        <v>1591755.88</v>
      </c>
      <c r="L140" s="73">
        <v>1786972.12</v>
      </c>
      <c r="M140" s="73">
        <v>2178581.8199999998</v>
      </c>
      <c r="N140" s="73">
        <v>1739139.69</v>
      </c>
      <c r="O140" s="73">
        <f t="shared" si="4"/>
        <v>1913053.66</v>
      </c>
      <c r="P140" s="74">
        <f>SUM(Table2[[#This Row],[JAN]:[DEC]])</f>
        <v>18006879.689999998</v>
      </c>
    </row>
    <row r="141" spans="1:16" x14ac:dyDescent="0.2">
      <c r="A141" s="70">
        <v>528</v>
      </c>
      <c r="B141" s="70">
        <v>131020</v>
      </c>
      <c r="C141" s="69" t="s">
        <v>260</v>
      </c>
      <c r="D141" s="73">
        <v>1482671.72</v>
      </c>
      <c r="E141" s="73">
        <v>1228420.0900000001</v>
      </c>
      <c r="F141" s="73">
        <v>1334208.1499999999</v>
      </c>
      <c r="G141" s="73">
        <v>1377321.17</v>
      </c>
      <c r="H141" s="73">
        <v>1596916.33</v>
      </c>
      <c r="I141" s="73">
        <v>1489989.36</v>
      </c>
      <c r="J141" s="73">
        <v>1539150.15</v>
      </c>
      <c r="K141" s="73">
        <v>1450789.42</v>
      </c>
      <c r="L141" s="73">
        <v>1363216.21</v>
      </c>
      <c r="M141" s="73">
        <v>1594612.24</v>
      </c>
      <c r="N141" s="73">
        <v>1570662.19</v>
      </c>
      <c r="O141" s="73">
        <f t="shared" si="4"/>
        <v>1727728.41</v>
      </c>
      <c r="P141" s="74">
        <f>SUM(Table2[[#This Row],[JAN]:[DEC]])</f>
        <v>17755685.440000001</v>
      </c>
    </row>
    <row r="142" spans="1:16" x14ac:dyDescent="0.2">
      <c r="A142" s="70">
        <v>384</v>
      </c>
      <c r="B142" s="70">
        <v>81201</v>
      </c>
      <c r="C142" s="69" t="s">
        <v>211</v>
      </c>
      <c r="D142" s="73">
        <v>1658657.72</v>
      </c>
      <c r="E142" s="73">
        <v>1502745.74</v>
      </c>
      <c r="F142" s="73">
        <v>1572288.82</v>
      </c>
      <c r="G142" s="73">
        <v>1587730.43</v>
      </c>
      <c r="H142" s="73">
        <v>1602628.01</v>
      </c>
      <c r="I142" s="73">
        <v>1417408.28</v>
      </c>
      <c r="J142" s="73">
        <v>1485443.77</v>
      </c>
      <c r="K142" s="73">
        <v>1495718.06</v>
      </c>
      <c r="L142" s="73">
        <v>1357555.51</v>
      </c>
      <c r="M142" s="73">
        <v>1361068.64</v>
      </c>
      <c r="N142" s="73">
        <v>1233888.3500000001</v>
      </c>
      <c r="O142" s="73">
        <f t="shared" si="4"/>
        <v>1357277.19</v>
      </c>
      <c r="P142" s="74">
        <f>SUM(Table2[[#This Row],[JAN]:[DEC]])</f>
        <v>17632410.52</v>
      </c>
    </row>
    <row r="143" spans="1:16" x14ac:dyDescent="0.2">
      <c r="A143" s="70">
        <v>524</v>
      </c>
      <c r="B143" s="70">
        <v>131016</v>
      </c>
      <c r="C143" s="69" t="s">
        <v>256</v>
      </c>
      <c r="D143" s="73">
        <v>1687093.38</v>
      </c>
      <c r="E143" s="73">
        <v>1494524.35</v>
      </c>
      <c r="F143" s="73">
        <v>1544749.55</v>
      </c>
      <c r="G143" s="73">
        <v>1531466.13</v>
      </c>
      <c r="H143" s="73">
        <v>1464626.59</v>
      </c>
      <c r="I143" s="73">
        <v>1392155.87</v>
      </c>
      <c r="J143" s="73">
        <v>1380539.84</v>
      </c>
      <c r="K143" s="73">
        <v>1288378.3500000001</v>
      </c>
      <c r="L143" s="73">
        <v>1197951.3799999999</v>
      </c>
      <c r="M143" s="73">
        <v>1305876.96</v>
      </c>
      <c r="N143" s="73">
        <v>1586438.2</v>
      </c>
      <c r="O143" s="73">
        <f t="shared" si="4"/>
        <v>1745082.02</v>
      </c>
      <c r="P143" s="74">
        <f>SUM(Table2[[#This Row],[JAN]:[DEC]])</f>
        <v>17618882.620000001</v>
      </c>
    </row>
    <row r="144" spans="1:16" x14ac:dyDescent="0.2">
      <c r="A144" s="70">
        <v>3</v>
      </c>
      <c r="B144" s="70">
        <v>11004</v>
      </c>
      <c r="C144" s="69" t="s">
        <v>84</v>
      </c>
      <c r="D144" s="73">
        <v>1436345.16</v>
      </c>
      <c r="E144" s="73">
        <v>1519252.84</v>
      </c>
      <c r="F144" s="73">
        <v>1335913.6299999999</v>
      </c>
      <c r="G144" s="73">
        <v>1452499.81</v>
      </c>
      <c r="H144" s="73">
        <v>1372719.95</v>
      </c>
      <c r="I144" s="73">
        <v>1292746.3799999999</v>
      </c>
      <c r="J144" s="73">
        <v>1372317.16</v>
      </c>
      <c r="K144" s="73">
        <v>1448593.58</v>
      </c>
      <c r="L144" s="73">
        <v>1531685.7</v>
      </c>
      <c r="M144" s="73">
        <v>1507072.17</v>
      </c>
      <c r="N144" s="73">
        <v>1516950.31</v>
      </c>
      <c r="O144" s="73">
        <f t="shared" si="4"/>
        <v>1668645.34</v>
      </c>
      <c r="P144" s="74">
        <f>SUM(Table2[[#This Row],[JAN]:[DEC]])</f>
        <v>17454742.030000001</v>
      </c>
    </row>
    <row r="145" spans="1:16" x14ac:dyDescent="0.2">
      <c r="A145" s="70">
        <v>469</v>
      </c>
      <c r="B145" s="70">
        <v>81303</v>
      </c>
      <c r="C145" s="69" t="s">
        <v>233</v>
      </c>
      <c r="D145" s="73">
        <v>1442801.26</v>
      </c>
      <c r="E145" s="73">
        <v>1459750.27</v>
      </c>
      <c r="F145" s="73">
        <v>1443834.01</v>
      </c>
      <c r="G145" s="73">
        <v>1461588.52</v>
      </c>
      <c r="H145" s="73">
        <v>1477888.39</v>
      </c>
      <c r="I145" s="73">
        <v>1447730.22</v>
      </c>
      <c r="J145" s="73">
        <v>1416613.17</v>
      </c>
      <c r="K145" s="73">
        <v>1391993.78</v>
      </c>
      <c r="L145" s="73">
        <v>1422585.07</v>
      </c>
      <c r="M145" s="73">
        <v>1468999.47</v>
      </c>
      <c r="N145" s="73">
        <v>1428443.88</v>
      </c>
      <c r="O145" s="73">
        <f t="shared" si="4"/>
        <v>1571288.27</v>
      </c>
      <c r="P145" s="74">
        <f>SUM(Table2[[#This Row],[JAN]:[DEC]])</f>
        <v>17433516.309999999</v>
      </c>
    </row>
    <row r="146" spans="1:16" x14ac:dyDescent="0.2">
      <c r="A146" s="70">
        <v>208</v>
      </c>
      <c r="B146" s="70">
        <v>61046</v>
      </c>
      <c r="C146" s="69" t="s">
        <v>149</v>
      </c>
      <c r="D146" s="73">
        <v>161846.88</v>
      </c>
      <c r="E146" s="73">
        <v>1362512.22</v>
      </c>
      <c r="F146" s="73">
        <v>863934.42</v>
      </c>
      <c r="G146" s="73">
        <v>1279880.29</v>
      </c>
      <c r="H146" s="73">
        <v>863040.5</v>
      </c>
      <c r="I146" s="73">
        <v>1715176.1</v>
      </c>
      <c r="J146" s="73">
        <v>1877423.31</v>
      </c>
      <c r="K146" s="73">
        <v>2264492.69</v>
      </c>
      <c r="L146" s="73">
        <v>1297057.6000000001</v>
      </c>
      <c r="M146" s="73">
        <v>2016573.58</v>
      </c>
      <c r="N146" s="73">
        <v>1681142.1</v>
      </c>
      <c r="O146" s="73">
        <f t="shared" si="4"/>
        <v>1849256.31</v>
      </c>
      <c r="P146" s="74">
        <f>SUM(Table2[[#This Row],[JAN]:[DEC]])</f>
        <v>17232336</v>
      </c>
    </row>
    <row r="147" spans="1:16" x14ac:dyDescent="0.2">
      <c r="A147" s="70">
        <v>569</v>
      </c>
      <c r="B147" s="70">
        <v>171010</v>
      </c>
      <c r="C147" s="69" t="s">
        <v>270</v>
      </c>
      <c r="D147" s="73">
        <v>1551423.43</v>
      </c>
      <c r="E147" s="73">
        <v>1008225.64</v>
      </c>
      <c r="F147" s="73">
        <v>1129273.6200000001</v>
      </c>
      <c r="G147" s="73">
        <v>1693786.56</v>
      </c>
      <c r="H147" s="73">
        <v>1797558.03</v>
      </c>
      <c r="I147" s="73">
        <v>1229439.04</v>
      </c>
      <c r="J147" s="73">
        <v>1558592.66</v>
      </c>
      <c r="K147" s="73">
        <v>1008800.35</v>
      </c>
      <c r="L147" s="73">
        <v>1409099.24</v>
      </c>
      <c r="M147" s="73">
        <v>1787624</v>
      </c>
      <c r="N147" s="73">
        <v>1440565.78</v>
      </c>
      <c r="O147" s="73">
        <f t="shared" si="4"/>
        <v>1584622.36</v>
      </c>
      <c r="P147" s="74">
        <f>SUM(Table2[[#This Row],[JAN]:[DEC]])</f>
        <v>17199010.710000001</v>
      </c>
    </row>
    <row r="148" spans="1:16" x14ac:dyDescent="0.2">
      <c r="A148" s="70">
        <v>526</v>
      </c>
      <c r="B148" s="70">
        <v>131018</v>
      </c>
      <c r="C148" s="69" t="s">
        <v>258</v>
      </c>
      <c r="D148" s="73">
        <v>1450715.2</v>
      </c>
      <c r="E148" s="73">
        <v>1309896.3899999999</v>
      </c>
      <c r="F148" s="73">
        <v>1422977.08</v>
      </c>
      <c r="G148" s="73">
        <v>1464117.44</v>
      </c>
      <c r="H148" s="73">
        <v>1417875.79</v>
      </c>
      <c r="I148" s="73">
        <v>1252596.26</v>
      </c>
      <c r="J148" s="73">
        <v>1394350.35</v>
      </c>
      <c r="K148" s="73">
        <v>1342960.57</v>
      </c>
      <c r="L148" s="73">
        <v>1211533.94</v>
      </c>
      <c r="M148" s="73">
        <v>1379005.55</v>
      </c>
      <c r="N148" s="73">
        <v>1598516.36</v>
      </c>
      <c r="O148" s="73">
        <f t="shared" si="4"/>
        <v>1758368</v>
      </c>
      <c r="P148" s="74">
        <f>SUM(Table2[[#This Row],[JAN]:[DEC]])</f>
        <v>17002912.93</v>
      </c>
    </row>
    <row r="149" spans="1:16" x14ac:dyDescent="0.2">
      <c r="A149" s="70">
        <v>125</v>
      </c>
      <c r="B149" s="70">
        <v>51008</v>
      </c>
      <c r="C149" s="69" t="s">
        <v>125</v>
      </c>
      <c r="D149" s="73">
        <v>822131.26</v>
      </c>
      <c r="E149" s="73">
        <v>821187.97</v>
      </c>
      <c r="F149" s="73">
        <v>1772793.42</v>
      </c>
      <c r="G149" s="73">
        <v>1059474.6599999999</v>
      </c>
      <c r="H149" s="73">
        <v>1453685.82</v>
      </c>
      <c r="I149" s="73">
        <v>1870256.4</v>
      </c>
      <c r="J149" s="73">
        <v>1713316.94</v>
      </c>
      <c r="K149" s="73">
        <v>2055561.7</v>
      </c>
      <c r="L149" s="73">
        <v>1220318.33</v>
      </c>
      <c r="M149" s="73">
        <v>1554429.14</v>
      </c>
      <c r="N149" s="73">
        <v>1213909.97</v>
      </c>
      <c r="O149" s="73">
        <f t="shared" si="4"/>
        <v>1335300.97</v>
      </c>
      <c r="P149" s="74">
        <f>SUM(Table2[[#This Row],[JAN]:[DEC]])</f>
        <v>16892366.579999998</v>
      </c>
    </row>
    <row r="150" spans="1:16" x14ac:dyDescent="0.2">
      <c r="A150" s="70">
        <v>351</v>
      </c>
      <c r="B150" s="70">
        <v>81158</v>
      </c>
      <c r="C150" s="69" t="s">
        <v>196</v>
      </c>
      <c r="D150" s="73">
        <v>810435.03</v>
      </c>
      <c r="E150" s="73">
        <v>395366.11</v>
      </c>
      <c r="F150" s="73">
        <v>1712917.52</v>
      </c>
      <c r="G150" s="73">
        <v>1711862.71</v>
      </c>
      <c r="H150" s="73">
        <v>1521233.63</v>
      </c>
      <c r="I150" s="73">
        <v>1447718.73</v>
      </c>
      <c r="J150" s="73">
        <v>2486286.61</v>
      </c>
      <c r="K150" s="73">
        <v>1035244.15</v>
      </c>
      <c r="L150" s="73">
        <v>1387861.21</v>
      </c>
      <c r="M150" s="73">
        <v>1411084.23</v>
      </c>
      <c r="N150" s="73">
        <v>1379703.2</v>
      </c>
      <c r="O150" s="73">
        <f t="shared" si="4"/>
        <v>1517673.52</v>
      </c>
      <c r="P150" s="74">
        <f>SUM(Table2[[#This Row],[JAN]:[DEC]])</f>
        <v>16817386.649999999</v>
      </c>
    </row>
    <row r="151" spans="1:16" x14ac:dyDescent="0.2">
      <c r="A151" s="70">
        <v>181</v>
      </c>
      <c r="B151" s="70">
        <v>61008</v>
      </c>
      <c r="C151" s="69" t="s">
        <v>135</v>
      </c>
      <c r="D151" s="73">
        <v>1425184</v>
      </c>
      <c r="E151" s="73">
        <v>1373608.91</v>
      </c>
      <c r="F151" s="73">
        <v>1465143.51</v>
      </c>
      <c r="G151" s="73">
        <v>1316620.81</v>
      </c>
      <c r="H151" s="73">
        <v>1239760.29</v>
      </c>
      <c r="I151" s="73">
        <v>1075766.58</v>
      </c>
      <c r="J151" s="73">
        <v>1327437.07</v>
      </c>
      <c r="K151" s="73">
        <v>1442824.06</v>
      </c>
      <c r="L151" s="73">
        <v>1411555.88</v>
      </c>
      <c r="M151" s="73">
        <v>1346822.67</v>
      </c>
      <c r="N151" s="73">
        <v>1545009.68</v>
      </c>
      <c r="O151" s="73">
        <f t="shared" si="4"/>
        <v>1699510.65</v>
      </c>
      <c r="P151" s="74">
        <f>SUM(Table2[[#This Row],[JAN]:[DEC]])</f>
        <v>16669244.109999999</v>
      </c>
    </row>
    <row r="152" spans="1:16" x14ac:dyDescent="0.2">
      <c r="A152" s="70">
        <v>190</v>
      </c>
      <c r="B152" s="70">
        <v>61022</v>
      </c>
      <c r="C152" s="69" t="s">
        <v>142</v>
      </c>
      <c r="D152" s="73">
        <v>965877.32</v>
      </c>
      <c r="E152" s="73">
        <v>978714.2</v>
      </c>
      <c r="F152" s="73">
        <v>1903724.29</v>
      </c>
      <c r="G152" s="73">
        <v>875628.38</v>
      </c>
      <c r="H152" s="73">
        <v>1242129.02</v>
      </c>
      <c r="I152" s="73">
        <v>1282495.74</v>
      </c>
      <c r="J152" s="73">
        <v>1349824.06</v>
      </c>
      <c r="K152" s="73">
        <v>2456893.9500000002</v>
      </c>
      <c r="L152" s="73">
        <v>1246862.94</v>
      </c>
      <c r="M152" s="73">
        <v>1470152.62</v>
      </c>
      <c r="N152" s="73">
        <v>1356814.81</v>
      </c>
      <c r="O152" s="73">
        <f t="shared" si="4"/>
        <v>1492496.29</v>
      </c>
      <c r="P152" s="74">
        <f>SUM(Table2[[#This Row],[JAN]:[DEC]])</f>
        <v>16621613.620000001</v>
      </c>
    </row>
    <row r="153" spans="1:16" x14ac:dyDescent="0.2">
      <c r="A153" s="70">
        <v>179</v>
      </c>
      <c r="B153" s="70">
        <v>61005</v>
      </c>
      <c r="C153" s="69" t="s">
        <v>134</v>
      </c>
      <c r="D153" s="73">
        <v>968144.65</v>
      </c>
      <c r="E153" s="73">
        <v>1039411.81</v>
      </c>
      <c r="F153" s="73">
        <v>981959.23</v>
      </c>
      <c r="G153" s="73">
        <v>918543.9</v>
      </c>
      <c r="H153" s="73">
        <v>1259013.75</v>
      </c>
      <c r="I153" s="73">
        <v>1067890.94</v>
      </c>
      <c r="J153" s="73">
        <v>1392903.53</v>
      </c>
      <c r="K153" s="73">
        <v>1269403.2</v>
      </c>
      <c r="L153" s="73">
        <v>1601583.04</v>
      </c>
      <c r="M153" s="73">
        <v>1856194.17</v>
      </c>
      <c r="N153" s="73">
        <v>1989544.43</v>
      </c>
      <c r="O153" s="73">
        <f t="shared" si="4"/>
        <v>2188498.87</v>
      </c>
      <c r="P153" s="74">
        <f>SUM(Table2[[#This Row],[JAN]:[DEC]])</f>
        <v>16533091.52</v>
      </c>
    </row>
    <row r="154" spans="1:16" x14ac:dyDescent="0.2">
      <c r="A154" s="70">
        <v>276</v>
      </c>
      <c r="B154" s="70">
        <v>81044</v>
      </c>
      <c r="C154" s="69" t="s">
        <v>165</v>
      </c>
      <c r="D154" s="73">
        <v>1260473.98</v>
      </c>
      <c r="E154" s="73">
        <v>1102513.78</v>
      </c>
      <c r="F154" s="73">
        <v>1253144.74</v>
      </c>
      <c r="G154" s="73">
        <v>1360082.71</v>
      </c>
      <c r="H154" s="73">
        <v>1378359.55</v>
      </c>
      <c r="I154" s="73">
        <v>1315261.6000000001</v>
      </c>
      <c r="J154" s="73">
        <v>1257520.3700000001</v>
      </c>
      <c r="K154" s="73">
        <v>1303697.28</v>
      </c>
      <c r="L154" s="73">
        <v>1367040.21</v>
      </c>
      <c r="M154" s="73">
        <v>1371781.99</v>
      </c>
      <c r="N154" s="73">
        <v>1691951.93</v>
      </c>
      <c r="O154" s="73">
        <f t="shared" si="4"/>
        <v>1861147.12</v>
      </c>
      <c r="P154" s="74">
        <f>SUM(Table2[[#This Row],[JAN]:[DEC]])</f>
        <v>16522975.259999998</v>
      </c>
    </row>
    <row r="155" spans="1:16" x14ac:dyDescent="0.2">
      <c r="A155" s="70">
        <v>570</v>
      </c>
      <c r="B155" s="70">
        <v>171011</v>
      </c>
      <c r="C155" s="69" t="s">
        <v>271</v>
      </c>
      <c r="D155" s="73">
        <v>329597.19</v>
      </c>
      <c r="E155" s="73">
        <v>309412.34000000003</v>
      </c>
      <c r="F155" s="73">
        <v>382144.37</v>
      </c>
      <c r="G155" s="73">
        <v>458346.72</v>
      </c>
      <c r="H155" s="73">
        <v>528754.74</v>
      </c>
      <c r="I155" s="73">
        <v>11389951.119999999</v>
      </c>
      <c r="J155" s="73">
        <v>344292.53</v>
      </c>
      <c r="K155" s="73">
        <v>605317.67000000004</v>
      </c>
      <c r="L155" s="73">
        <v>538727</v>
      </c>
      <c r="M155" s="73">
        <v>559767.88</v>
      </c>
      <c r="N155" s="73">
        <v>435356.48</v>
      </c>
      <c r="O155" s="73">
        <f t="shared" si="4"/>
        <v>478892.13</v>
      </c>
      <c r="P155" s="74">
        <f>SUM(Table2[[#This Row],[JAN]:[DEC]])</f>
        <v>16360560.17</v>
      </c>
    </row>
    <row r="156" spans="1:16" x14ac:dyDescent="0.2">
      <c r="A156" s="70">
        <v>337</v>
      </c>
      <c r="B156" s="70">
        <v>81140</v>
      </c>
      <c r="C156" s="69" t="s">
        <v>191</v>
      </c>
      <c r="D156" s="73">
        <v>3250290.68</v>
      </c>
      <c r="E156" s="73">
        <v>2094707.72</v>
      </c>
      <c r="F156" s="73">
        <v>3817023.86</v>
      </c>
      <c r="G156" s="73">
        <v>1929901.41</v>
      </c>
      <c r="H156" s="73">
        <v>1947179.05</v>
      </c>
      <c r="I156" s="73">
        <v>2018985.84</v>
      </c>
      <c r="J156" s="73">
        <v>675306.34</v>
      </c>
      <c r="K156" s="73">
        <v>204099.76</v>
      </c>
      <c r="L156" s="73">
        <v>3449.76</v>
      </c>
      <c r="M156" s="73">
        <v>141.57</v>
      </c>
      <c r="N156" s="73">
        <v>1387.1</v>
      </c>
      <c r="O156" s="73">
        <f t="shared" si="4"/>
        <v>1525.81</v>
      </c>
      <c r="P156" s="74">
        <f>SUM(Table2[[#This Row],[JAN]:[DEC]])</f>
        <v>15943998.9</v>
      </c>
    </row>
    <row r="157" spans="1:16" x14ac:dyDescent="0.2">
      <c r="A157" s="70">
        <v>594</v>
      </c>
      <c r="B157" s="70">
        <v>261026</v>
      </c>
      <c r="C157" s="69" t="s">
        <v>277</v>
      </c>
      <c r="D157" s="73">
        <v>653670.36</v>
      </c>
      <c r="E157" s="73">
        <v>1860718.5</v>
      </c>
      <c r="F157" s="73">
        <v>725193.65</v>
      </c>
      <c r="G157" s="73">
        <v>891196.27</v>
      </c>
      <c r="H157" s="73">
        <v>1006190.06</v>
      </c>
      <c r="I157" s="73">
        <v>2542018.9</v>
      </c>
      <c r="J157" s="73">
        <v>1029391.26</v>
      </c>
      <c r="K157" s="73">
        <v>1127404.93</v>
      </c>
      <c r="L157" s="73">
        <v>3140032.95</v>
      </c>
      <c r="M157" s="73">
        <v>959285.94</v>
      </c>
      <c r="N157" s="73">
        <v>952465.22</v>
      </c>
      <c r="O157" s="73">
        <f t="shared" si="4"/>
        <v>1047711.74</v>
      </c>
      <c r="P157" s="74">
        <f>SUM(Table2[[#This Row],[JAN]:[DEC]])</f>
        <v>15935279.779999999</v>
      </c>
    </row>
    <row r="158" spans="1:16" x14ac:dyDescent="0.2">
      <c r="A158" s="70">
        <v>501</v>
      </c>
      <c r="B158" s="70">
        <v>81342</v>
      </c>
      <c r="C158" s="69" t="s">
        <v>247</v>
      </c>
      <c r="D158" s="73">
        <v>1174509.3799999999</v>
      </c>
      <c r="E158" s="73">
        <v>1160059.29</v>
      </c>
      <c r="F158" s="73">
        <v>1233794.3500000001</v>
      </c>
      <c r="G158" s="73">
        <v>1220140.08</v>
      </c>
      <c r="H158" s="73">
        <v>1300622.17</v>
      </c>
      <c r="I158" s="73">
        <v>1270527.44</v>
      </c>
      <c r="J158" s="73">
        <v>1228613.6499999999</v>
      </c>
      <c r="K158" s="73">
        <v>1337901.1299999999</v>
      </c>
      <c r="L158" s="73">
        <v>1346717.52</v>
      </c>
      <c r="M158" s="73">
        <v>1494727.73</v>
      </c>
      <c r="N158" s="73">
        <v>1503222.82</v>
      </c>
      <c r="O158" s="73">
        <f t="shared" si="4"/>
        <v>1653545.1</v>
      </c>
      <c r="P158" s="74">
        <f>SUM(Table2[[#This Row],[JAN]:[DEC]])</f>
        <v>15924380.659999998</v>
      </c>
    </row>
    <row r="159" spans="1:16" x14ac:dyDescent="0.2">
      <c r="A159" s="70">
        <v>250</v>
      </c>
      <c r="B159" s="70">
        <v>81010</v>
      </c>
      <c r="C159" s="69" t="s">
        <v>158</v>
      </c>
      <c r="D159" s="73">
        <v>1234624.8</v>
      </c>
      <c r="E159" s="73">
        <v>1177193.08</v>
      </c>
      <c r="F159" s="73">
        <v>1262749.22</v>
      </c>
      <c r="G159" s="73">
        <v>1259270.68</v>
      </c>
      <c r="H159" s="73">
        <v>1325056.3600000001</v>
      </c>
      <c r="I159" s="73">
        <v>2018431.52</v>
      </c>
      <c r="J159" s="73">
        <v>1065955.8799999999</v>
      </c>
      <c r="K159" s="73">
        <v>1157094.68</v>
      </c>
      <c r="L159" s="73">
        <v>1165650.3600000001</v>
      </c>
      <c r="M159" s="73">
        <v>1197039.6399999999</v>
      </c>
      <c r="N159" s="73">
        <v>1134524.07</v>
      </c>
      <c r="O159" s="73">
        <f t="shared" si="4"/>
        <v>1247976.48</v>
      </c>
      <c r="P159" s="74">
        <f>SUM(Table2[[#This Row],[JAN]:[DEC]])</f>
        <v>15245566.77</v>
      </c>
    </row>
    <row r="160" spans="1:16" x14ac:dyDescent="0.2">
      <c r="A160" s="70">
        <v>49</v>
      </c>
      <c r="B160" s="70">
        <v>21003</v>
      </c>
      <c r="C160" s="69" t="s">
        <v>105</v>
      </c>
      <c r="D160" s="73">
        <v>1215062.3999999999</v>
      </c>
      <c r="E160" s="73">
        <v>1121025.57</v>
      </c>
      <c r="F160" s="73">
        <v>1120468.92</v>
      </c>
      <c r="G160" s="73">
        <v>1125816.3700000001</v>
      </c>
      <c r="H160" s="73">
        <v>1133359.0900000001</v>
      </c>
      <c r="I160" s="73">
        <v>1126289.6000000001</v>
      </c>
      <c r="J160" s="73">
        <v>1207199.5900000001</v>
      </c>
      <c r="K160" s="73">
        <v>1304953.52</v>
      </c>
      <c r="L160" s="73">
        <v>1329574.32</v>
      </c>
      <c r="M160" s="73">
        <v>1463508.79</v>
      </c>
      <c r="N160" s="73">
        <v>1348008.66</v>
      </c>
      <c r="O160" s="73">
        <f t="shared" si="4"/>
        <v>1482809.53</v>
      </c>
      <c r="P160" s="74">
        <f>SUM(Table2[[#This Row],[JAN]:[DEC]])</f>
        <v>14978076.359999998</v>
      </c>
    </row>
    <row r="161" spans="1:16" x14ac:dyDescent="0.2">
      <c r="A161" s="70">
        <v>559</v>
      </c>
      <c r="B161" s="70">
        <v>161005</v>
      </c>
      <c r="C161" s="69" t="s">
        <v>265</v>
      </c>
      <c r="D161" s="73">
        <v>1135502.27</v>
      </c>
      <c r="E161" s="73">
        <v>1039865.3</v>
      </c>
      <c r="F161" s="73">
        <v>987796.01</v>
      </c>
      <c r="G161" s="73">
        <v>1025943.89</v>
      </c>
      <c r="H161" s="73">
        <v>1104014.52</v>
      </c>
      <c r="I161" s="73">
        <v>1218157.9099999999</v>
      </c>
      <c r="J161" s="73">
        <v>1254382.56</v>
      </c>
      <c r="K161" s="73">
        <v>1021446.75</v>
      </c>
      <c r="L161" s="73">
        <v>1471350.76</v>
      </c>
      <c r="M161" s="73">
        <v>1651929.24</v>
      </c>
      <c r="N161" s="73">
        <v>1451722.99</v>
      </c>
      <c r="O161" s="73">
        <f t="shared" si="4"/>
        <v>1596895.29</v>
      </c>
      <c r="P161" s="74">
        <f>SUM(Table2[[#This Row],[JAN]:[DEC]])</f>
        <v>14959007.490000002</v>
      </c>
    </row>
    <row r="162" spans="1:16" x14ac:dyDescent="0.2">
      <c r="A162" s="70">
        <v>278</v>
      </c>
      <c r="B162" s="70">
        <v>81046</v>
      </c>
      <c r="C162" s="69" t="s">
        <v>167</v>
      </c>
      <c r="D162" s="73">
        <v>1322079.01</v>
      </c>
      <c r="E162" s="73">
        <v>1259322.58</v>
      </c>
      <c r="F162" s="73">
        <v>1312541.97</v>
      </c>
      <c r="G162" s="73">
        <v>1204328.18</v>
      </c>
      <c r="H162" s="73">
        <v>1025543.27</v>
      </c>
      <c r="I162" s="73">
        <v>1056215.1200000001</v>
      </c>
      <c r="J162" s="73">
        <v>1232260.1299999999</v>
      </c>
      <c r="K162" s="73">
        <v>1158864.28</v>
      </c>
      <c r="L162" s="73">
        <v>1128212.6000000001</v>
      </c>
      <c r="M162" s="73">
        <v>1243145.92</v>
      </c>
      <c r="N162" s="73">
        <v>1378276.7</v>
      </c>
      <c r="O162" s="73">
        <f t="shared" ref="O162:O193" si="5">ROUND(N162*110%,2)</f>
        <v>1516104.37</v>
      </c>
      <c r="P162" s="74">
        <f>SUM(Table2[[#This Row],[JAN]:[DEC]])</f>
        <v>14836894.129999999</v>
      </c>
    </row>
    <row r="163" spans="1:16" x14ac:dyDescent="0.2">
      <c r="A163" s="70">
        <v>545</v>
      </c>
      <c r="B163" s="70">
        <v>141012</v>
      </c>
      <c r="C163" s="69" t="s">
        <v>183</v>
      </c>
      <c r="D163" s="73">
        <v>425412.44</v>
      </c>
      <c r="E163" s="73">
        <v>439676.51</v>
      </c>
      <c r="F163" s="73">
        <v>524240.88</v>
      </c>
      <c r="G163" s="73">
        <v>512285.81</v>
      </c>
      <c r="H163" s="73">
        <v>865217.11</v>
      </c>
      <c r="I163" s="73">
        <v>1987277.59</v>
      </c>
      <c r="J163" s="73">
        <v>2513814.16</v>
      </c>
      <c r="K163" s="73">
        <v>2211924.31</v>
      </c>
      <c r="L163" s="73">
        <v>1626267.43</v>
      </c>
      <c r="M163" s="73">
        <v>1480794.73</v>
      </c>
      <c r="N163" s="73">
        <v>1060884.3</v>
      </c>
      <c r="O163" s="73">
        <f t="shared" si="5"/>
        <v>1166972.73</v>
      </c>
      <c r="P163" s="74">
        <f>SUM(Table2[[#This Row],[JAN]:[DEC]])</f>
        <v>14814768.000000002</v>
      </c>
    </row>
    <row r="164" spans="1:16" x14ac:dyDescent="0.2">
      <c r="A164" s="70">
        <v>176</v>
      </c>
      <c r="B164" s="70">
        <v>61002</v>
      </c>
      <c r="C164" s="69" t="s">
        <v>133</v>
      </c>
      <c r="D164" s="73">
        <v>1285595.8999999999</v>
      </c>
      <c r="E164" s="73">
        <v>1204963.22</v>
      </c>
      <c r="F164" s="73">
        <v>900529.53</v>
      </c>
      <c r="G164" s="73">
        <v>1256310.42</v>
      </c>
      <c r="H164" s="73">
        <v>1599703.91</v>
      </c>
      <c r="I164" s="73">
        <v>1364651.67</v>
      </c>
      <c r="J164" s="73">
        <v>1373490.44</v>
      </c>
      <c r="K164" s="73">
        <v>1214762.1599999999</v>
      </c>
      <c r="L164" s="73">
        <v>1253432.8999999999</v>
      </c>
      <c r="M164" s="73">
        <v>1071339</v>
      </c>
      <c r="N164" s="73">
        <v>1072856.98</v>
      </c>
      <c r="O164" s="73">
        <f t="shared" si="5"/>
        <v>1180142.68</v>
      </c>
      <c r="P164" s="74">
        <f>SUM(Table2[[#This Row],[JAN]:[DEC]])</f>
        <v>14777778.810000001</v>
      </c>
    </row>
    <row r="165" spans="1:16" x14ac:dyDescent="0.2">
      <c r="A165" s="70">
        <v>475</v>
      </c>
      <c r="B165" s="70">
        <v>81313</v>
      </c>
      <c r="C165" s="69" t="s">
        <v>234</v>
      </c>
      <c r="D165" s="73">
        <v>1050052.8700000001</v>
      </c>
      <c r="E165" s="73">
        <v>1332639.72</v>
      </c>
      <c r="F165" s="73">
        <v>1211577.3899999999</v>
      </c>
      <c r="G165" s="73">
        <v>1306409.8700000001</v>
      </c>
      <c r="H165" s="73">
        <v>1400598.66</v>
      </c>
      <c r="I165" s="73">
        <v>1146562.9099999999</v>
      </c>
      <c r="J165" s="73">
        <v>1113647.03</v>
      </c>
      <c r="K165" s="73">
        <v>1291088.29</v>
      </c>
      <c r="L165" s="73">
        <v>1167793.27</v>
      </c>
      <c r="M165" s="73">
        <v>1216869.4099999999</v>
      </c>
      <c r="N165" s="73">
        <v>1205141.95</v>
      </c>
      <c r="O165" s="73">
        <f t="shared" si="5"/>
        <v>1325656.1499999999</v>
      </c>
      <c r="P165" s="74">
        <f>SUM(Table2[[#This Row],[JAN]:[DEC]])</f>
        <v>14768037.519999998</v>
      </c>
    </row>
    <row r="166" spans="1:16" x14ac:dyDescent="0.2">
      <c r="A166" s="70">
        <v>431</v>
      </c>
      <c r="B166" s="70">
        <v>81255</v>
      </c>
      <c r="C166" s="69" t="s">
        <v>219</v>
      </c>
      <c r="D166" s="73">
        <v>1193423.78</v>
      </c>
      <c r="E166" s="73">
        <v>1233758.1000000001</v>
      </c>
      <c r="F166" s="73">
        <v>1205572.96</v>
      </c>
      <c r="G166" s="73">
        <v>1204571.73</v>
      </c>
      <c r="H166" s="73">
        <v>1208876.92</v>
      </c>
      <c r="I166" s="73">
        <v>1205035.76</v>
      </c>
      <c r="J166" s="73">
        <v>1197364.28</v>
      </c>
      <c r="K166" s="73">
        <v>1167794.6100000001</v>
      </c>
      <c r="L166" s="73">
        <v>1200735.46</v>
      </c>
      <c r="M166" s="73">
        <v>1263613.52</v>
      </c>
      <c r="N166" s="73">
        <v>1208639.02</v>
      </c>
      <c r="O166" s="73">
        <f t="shared" si="5"/>
        <v>1329502.92</v>
      </c>
      <c r="P166" s="74">
        <f>SUM(Table2[[#This Row],[JAN]:[DEC]])</f>
        <v>14618889.059999997</v>
      </c>
    </row>
    <row r="167" spans="1:16" x14ac:dyDescent="0.2">
      <c r="A167" s="70">
        <v>438</v>
      </c>
      <c r="B167" s="70">
        <v>81263</v>
      </c>
      <c r="C167" s="69" t="s">
        <v>223</v>
      </c>
      <c r="D167" s="73">
        <v>954715.87</v>
      </c>
      <c r="E167" s="73">
        <v>985811.29</v>
      </c>
      <c r="F167" s="73">
        <v>1031997.78</v>
      </c>
      <c r="G167" s="73">
        <v>1084815.3400000001</v>
      </c>
      <c r="H167" s="73">
        <v>1136559.05</v>
      </c>
      <c r="I167" s="73">
        <v>1088915.32</v>
      </c>
      <c r="J167" s="73">
        <v>1259953.05</v>
      </c>
      <c r="K167" s="73">
        <v>1424565.38</v>
      </c>
      <c r="L167" s="73">
        <v>1430483.02</v>
      </c>
      <c r="M167" s="73">
        <v>1426417.95</v>
      </c>
      <c r="N167" s="73">
        <v>1247411.25</v>
      </c>
      <c r="O167" s="73">
        <f t="shared" si="5"/>
        <v>1372152.38</v>
      </c>
      <c r="P167" s="74">
        <f>SUM(Table2[[#This Row],[JAN]:[DEC]])</f>
        <v>14443797.68</v>
      </c>
    </row>
    <row r="168" spans="1:16" x14ac:dyDescent="0.2">
      <c r="A168" s="70">
        <v>336</v>
      </c>
      <c r="B168" s="70">
        <v>81139</v>
      </c>
      <c r="C168" s="69" t="s">
        <v>190</v>
      </c>
      <c r="D168" s="73">
        <v>1019977.62</v>
      </c>
      <c r="E168" s="73">
        <v>882192.42</v>
      </c>
      <c r="F168" s="73">
        <v>835529.24</v>
      </c>
      <c r="G168" s="73">
        <v>927220.98</v>
      </c>
      <c r="H168" s="73">
        <v>978279.78</v>
      </c>
      <c r="I168" s="73">
        <v>1030362.14</v>
      </c>
      <c r="J168" s="73">
        <v>1133806.46</v>
      </c>
      <c r="K168" s="73">
        <v>1349009.6</v>
      </c>
      <c r="L168" s="73">
        <v>1493241.34</v>
      </c>
      <c r="M168" s="73">
        <v>1580666.26</v>
      </c>
      <c r="N168" s="73">
        <v>1469551.19</v>
      </c>
      <c r="O168" s="73">
        <f t="shared" si="5"/>
        <v>1616506.31</v>
      </c>
      <c r="P168" s="74">
        <f>SUM(Table2[[#This Row],[JAN]:[DEC]])</f>
        <v>14316343.34</v>
      </c>
    </row>
    <row r="169" spans="1:16" x14ac:dyDescent="0.2">
      <c r="A169" s="70">
        <v>277</v>
      </c>
      <c r="B169" s="70">
        <v>81045</v>
      </c>
      <c r="C169" s="69" t="s">
        <v>166</v>
      </c>
      <c r="D169" s="73">
        <v>794641.74</v>
      </c>
      <c r="E169" s="73">
        <v>857515.83</v>
      </c>
      <c r="F169" s="73">
        <v>936926.06</v>
      </c>
      <c r="G169" s="73">
        <v>942877.36</v>
      </c>
      <c r="H169" s="73">
        <v>1056604.25</v>
      </c>
      <c r="I169" s="73">
        <v>1290325.32</v>
      </c>
      <c r="J169" s="73">
        <v>1617791.1</v>
      </c>
      <c r="K169" s="73">
        <v>1354369.07</v>
      </c>
      <c r="L169" s="73">
        <v>2009623.64</v>
      </c>
      <c r="M169" s="73">
        <v>1121295.21</v>
      </c>
      <c r="N169" s="73">
        <v>1021434.66</v>
      </c>
      <c r="O169" s="73">
        <f t="shared" si="5"/>
        <v>1123578.1299999999</v>
      </c>
      <c r="P169" s="74">
        <f>SUM(Table2[[#This Row],[JAN]:[DEC]])</f>
        <v>14126982.370000001</v>
      </c>
    </row>
    <row r="170" spans="1:16" x14ac:dyDescent="0.2">
      <c r="A170" s="70">
        <v>65</v>
      </c>
      <c r="B170" s="70">
        <v>31005</v>
      </c>
      <c r="C170" s="69" t="s">
        <v>108</v>
      </c>
      <c r="D170" s="73">
        <v>1107038.1599999999</v>
      </c>
      <c r="E170" s="73">
        <v>1167968.3400000001</v>
      </c>
      <c r="F170" s="73">
        <v>1180496.98</v>
      </c>
      <c r="G170" s="73">
        <v>1074879.53</v>
      </c>
      <c r="H170" s="73">
        <v>1026944.84</v>
      </c>
      <c r="I170" s="73">
        <v>1108632.3999999999</v>
      </c>
      <c r="J170" s="73">
        <v>1212501.04</v>
      </c>
      <c r="K170" s="73">
        <v>1072400.0900000001</v>
      </c>
      <c r="L170" s="73">
        <v>1248547.04</v>
      </c>
      <c r="M170" s="73">
        <v>1407464.3</v>
      </c>
      <c r="N170" s="73">
        <v>1187473.93</v>
      </c>
      <c r="O170" s="73">
        <f t="shared" si="5"/>
        <v>1306221.32</v>
      </c>
      <c r="P170" s="74">
        <f>SUM(Table2[[#This Row],[JAN]:[DEC]])</f>
        <v>14100567.970000003</v>
      </c>
    </row>
    <row r="171" spans="1:16" x14ac:dyDescent="0.2">
      <c r="A171" s="70">
        <v>527</v>
      </c>
      <c r="B171" s="70">
        <v>131019</v>
      </c>
      <c r="C171" s="69" t="s">
        <v>259</v>
      </c>
      <c r="D171" s="73">
        <v>1176752.27</v>
      </c>
      <c r="E171" s="73">
        <v>1119269.1399999999</v>
      </c>
      <c r="F171" s="73">
        <v>1146918.05</v>
      </c>
      <c r="G171" s="73">
        <v>1162436.33</v>
      </c>
      <c r="H171" s="73">
        <v>1132212.7</v>
      </c>
      <c r="I171" s="73">
        <v>1125226.8600000001</v>
      </c>
      <c r="J171" s="73">
        <v>1068809.48</v>
      </c>
      <c r="K171" s="73">
        <v>1031928.98</v>
      </c>
      <c r="L171" s="73">
        <v>1072576.1399999999</v>
      </c>
      <c r="M171" s="73">
        <v>1187523.32</v>
      </c>
      <c r="N171" s="73">
        <v>1280262.3899999999</v>
      </c>
      <c r="O171" s="73">
        <f t="shared" si="5"/>
        <v>1408288.63</v>
      </c>
      <c r="P171" s="74">
        <f>SUM(Table2[[#This Row],[JAN]:[DEC]])</f>
        <v>13912204.290000003</v>
      </c>
    </row>
    <row r="172" spans="1:16" x14ac:dyDescent="0.2">
      <c r="A172" s="70">
        <v>449</v>
      </c>
      <c r="B172" s="70">
        <v>81274</v>
      </c>
      <c r="C172" s="69" t="s">
        <v>227</v>
      </c>
      <c r="D172" s="73">
        <v>1227499.44</v>
      </c>
      <c r="E172" s="73">
        <v>1181881.6200000001</v>
      </c>
      <c r="F172" s="73">
        <v>1395055.06</v>
      </c>
      <c r="G172" s="73">
        <v>1109435.29</v>
      </c>
      <c r="H172" s="73">
        <v>1168807.29</v>
      </c>
      <c r="I172" s="73">
        <v>1052607.31</v>
      </c>
      <c r="J172" s="73">
        <v>1102496.68</v>
      </c>
      <c r="K172" s="73">
        <v>1074104.3799999999</v>
      </c>
      <c r="L172" s="73">
        <v>1076747.58</v>
      </c>
      <c r="M172" s="73">
        <v>1164912.99</v>
      </c>
      <c r="N172" s="73">
        <v>1089704.4099999999</v>
      </c>
      <c r="O172" s="73">
        <f t="shared" si="5"/>
        <v>1198674.8500000001</v>
      </c>
      <c r="P172" s="74">
        <f>SUM(Table2[[#This Row],[JAN]:[DEC]])</f>
        <v>13841926.9</v>
      </c>
    </row>
    <row r="173" spans="1:16" x14ac:dyDescent="0.2">
      <c r="A173" s="70">
        <v>502</v>
      </c>
      <c r="B173" s="71">
        <v>81344</v>
      </c>
      <c r="C173" s="72" t="s">
        <v>248</v>
      </c>
      <c r="D173" s="73">
        <v>28017.39</v>
      </c>
      <c r="E173" s="73">
        <v>1822961.49</v>
      </c>
      <c r="F173" s="73">
        <v>1130852.8799999999</v>
      </c>
      <c r="G173" s="73">
        <v>1258453.83</v>
      </c>
      <c r="H173" s="73">
        <v>1321901.07</v>
      </c>
      <c r="I173" s="73">
        <v>1136109.33</v>
      </c>
      <c r="J173" s="73">
        <v>1084553.52</v>
      </c>
      <c r="K173" s="73">
        <v>1213602.78</v>
      </c>
      <c r="L173" s="73">
        <v>1322546.54</v>
      </c>
      <c r="M173" s="73">
        <v>1360521.35</v>
      </c>
      <c r="N173" s="73">
        <v>1018660.34</v>
      </c>
      <c r="O173" s="73">
        <f t="shared" si="5"/>
        <v>1120526.3700000001</v>
      </c>
      <c r="P173" s="74">
        <f>SUM(Table2[[#This Row],[JAN]:[DEC]])</f>
        <v>13818706.889999997</v>
      </c>
    </row>
    <row r="174" spans="1:16" x14ac:dyDescent="0.2">
      <c r="A174" s="70">
        <v>393</v>
      </c>
      <c r="B174" s="70">
        <v>81213</v>
      </c>
      <c r="C174" s="69" t="s">
        <v>212</v>
      </c>
      <c r="D174" s="73">
        <v>1104791.6299999999</v>
      </c>
      <c r="E174" s="73">
        <v>1099360.99</v>
      </c>
      <c r="F174" s="73">
        <v>1068031.01</v>
      </c>
      <c r="G174" s="73">
        <v>1116228.81</v>
      </c>
      <c r="H174" s="73">
        <v>1194656.76</v>
      </c>
      <c r="I174" s="73">
        <v>1157801.79</v>
      </c>
      <c r="J174" s="73">
        <v>1169058.69</v>
      </c>
      <c r="K174" s="73">
        <v>1118985.3</v>
      </c>
      <c r="L174" s="73">
        <v>1303786.99</v>
      </c>
      <c r="M174" s="73">
        <v>1169768.56</v>
      </c>
      <c r="N174" s="73">
        <v>1080623.6000000001</v>
      </c>
      <c r="O174" s="73">
        <f t="shared" si="5"/>
        <v>1188685.96</v>
      </c>
      <c r="P174" s="74">
        <f>SUM(Table2[[#This Row],[JAN]:[DEC]])</f>
        <v>13771780.09</v>
      </c>
    </row>
    <row r="175" spans="1:16" x14ac:dyDescent="0.2">
      <c r="A175" s="70">
        <v>268</v>
      </c>
      <c r="B175" s="70">
        <v>81034</v>
      </c>
      <c r="C175" s="69" t="s">
        <v>86</v>
      </c>
      <c r="D175" s="73">
        <v>1052723.18</v>
      </c>
      <c r="E175" s="73">
        <v>943099.55</v>
      </c>
      <c r="F175" s="73">
        <v>1902786.7</v>
      </c>
      <c r="G175" s="73">
        <v>833563.82</v>
      </c>
      <c r="H175" s="73">
        <v>1010761.44</v>
      </c>
      <c r="I175" s="73">
        <v>967359.08</v>
      </c>
      <c r="J175" s="73">
        <v>936775.56</v>
      </c>
      <c r="K175" s="73">
        <v>1746939.18</v>
      </c>
      <c r="L175" s="73">
        <v>958412.79</v>
      </c>
      <c r="M175" s="73">
        <v>949545.28</v>
      </c>
      <c r="N175" s="73">
        <v>1093473.48</v>
      </c>
      <c r="O175" s="73">
        <f t="shared" si="5"/>
        <v>1202820.83</v>
      </c>
      <c r="P175" s="74">
        <f>SUM(Table2[[#This Row],[JAN]:[DEC]])</f>
        <v>13598260.890000001</v>
      </c>
    </row>
    <row r="176" spans="1:16" x14ac:dyDescent="0.2">
      <c r="A176" s="70">
        <v>89</v>
      </c>
      <c r="B176" s="70">
        <v>31037</v>
      </c>
      <c r="C176" s="69" t="s">
        <v>120</v>
      </c>
      <c r="D176" s="73">
        <v>1064004.78</v>
      </c>
      <c r="E176" s="73">
        <v>1285275.5900000001</v>
      </c>
      <c r="F176" s="73">
        <v>1359184.06</v>
      </c>
      <c r="G176" s="73">
        <v>1109959.54</v>
      </c>
      <c r="H176" s="73">
        <v>947623.65</v>
      </c>
      <c r="I176" s="73">
        <v>855417.71</v>
      </c>
      <c r="J176" s="73">
        <v>959628.96</v>
      </c>
      <c r="K176" s="73">
        <v>906365.24</v>
      </c>
      <c r="L176" s="73">
        <v>952366.57</v>
      </c>
      <c r="M176" s="73">
        <v>1145418.24</v>
      </c>
      <c r="N176" s="73">
        <v>1432156.79</v>
      </c>
      <c r="O176" s="73">
        <f t="shared" si="5"/>
        <v>1575372.47</v>
      </c>
      <c r="P176" s="74">
        <f>SUM(Table2[[#This Row],[JAN]:[DEC]])</f>
        <v>13592773.600000003</v>
      </c>
    </row>
    <row r="177" spans="1:16" x14ac:dyDescent="0.2">
      <c r="A177" s="70">
        <v>95</v>
      </c>
      <c r="B177" s="70">
        <v>41003</v>
      </c>
      <c r="C177" s="69" t="s">
        <v>123</v>
      </c>
      <c r="D177" s="73">
        <v>1043420.53</v>
      </c>
      <c r="E177" s="73">
        <v>929134.44</v>
      </c>
      <c r="F177" s="73">
        <v>1020092.19</v>
      </c>
      <c r="G177" s="73">
        <v>1154257.53</v>
      </c>
      <c r="H177" s="73">
        <v>1219791.5900000001</v>
      </c>
      <c r="I177" s="73">
        <v>1150745.05</v>
      </c>
      <c r="J177" s="73">
        <v>1107435.75</v>
      </c>
      <c r="K177" s="73">
        <v>1065155.6299999999</v>
      </c>
      <c r="L177" s="73">
        <v>1224692.5900000001</v>
      </c>
      <c r="M177" s="73">
        <v>1186358.94</v>
      </c>
      <c r="N177" s="73">
        <v>1164434.57</v>
      </c>
      <c r="O177" s="73">
        <f t="shared" si="5"/>
        <v>1280878.03</v>
      </c>
      <c r="P177" s="74">
        <f>SUM(Table2[[#This Row],[JAN]:[DEC]])</f>
        <v>13546396.84</v>
      </c>
    </row>
    <row r="178" spans="1:16" x14ac:dyDescent="0.2">
      <c r="A178" s="70">
        <v>287</v>
      </c>
      <c r="B178" s="70">
        <v>81063</v>
      </c>
      <c r="C178" s="69" t="s">
        <v>172</v>
      </c>
      <c r="D178" s="73">
        <v>1072563.92</v>
      </c>
      <c r="E178" s="73">
        <v>983786.85</v>
      </c>
      <c r="F178" s="73">
        <v>953450.15</v>
      </c>
      <c r="G178" s="73">
        <v>1068043.21</v>
      </c>
      <c r="H178" s="73">
        <v>1138022.47</v>
      </c>
      <c r="I178" s="73">
        <v>1093297.27</v>
      </c>
      <c r="J178" s="73">
        <v>1276440.18</v>
      </c>
      <c r="K178" s="73">
        <v>1216406.22</v>
      </c>
      <c r="L178" s="73">
        <v>1152701.72</v>
      </c>
      <c r="M178" s="73">
        <v>1198414.6200000001</v>
      </c>
      <c r="N178" s="73">
        <v>1001271.82</v>
      </c>
      <c r="O178" s="73">
        <f t="shared" si="5"/>
        <v>1101399</v>
      </c>
      <c r="P178" s="74">
        <f>SUM(Table2[[#This Row],[JAN]:[DEC]])</f>
        <v>13255797.43</v>
      </c>
    </row>
    <row r="179" spans="1:16" x14ac:dyDescent="0.2">
      <c r="A179" s="70">
        <v>424</v>
      </c>
      <c r="B179" s="70">
        <v>81248</v>
      </c>
      <c r="C179" s="69" t="s">
        <v>216</v>
      </c>
      <c r="D179" s="73">
        <v>963870.19</v>
      </c>
      <c r="E179" s="73">
        <v>1232118.24</v>
      </c>
      <c r="F179" s="73">
        <v>1048813.44</v>
      </c>
      <c r="G179" s="73">
        <v>1082527.17</v>
      </c>
      <c r="H179" s="73">
        <v>1146583.74</v>
      </c>
      <c r="I179" s="73">
        <v>1051696.76</v>
      </c>
      <c r="J179" s="73">
        <v>1074824.82</v>
      </c>
      <c r="K179" s="73">
        <v>1087482.49</v>
      </c>
      <c r="L179" s="73">
        <v>1105961.69</v>
      </c>
      <c r="M179" s="73">
        <v>1099340.2</v>
      </c>
      <c r="N179" s="73">
        <v>1068852.8799999999</v>
      </c>
      <c r="O179" s="73">
        <f t="shared" si="5"/>
        <v>1175738.17</v>
      </c>
      <c r="P179" s="74">
        <f>SUM(Table2[[#This Row],[JAN]:[DEC]])</f>
        <v>13137809.789999997</v>
      </c>
    </row>
    <row r="180" spans="1:16" x14ac:dyDescent="0.2">
      <c r="A180" s="70">
        <v>332</v>
      </c>
      <c r="B180" s="70">
        <v>81134</v>
      </c>
      <c r="C180" s="69" t="s">
        <v>188</v>
      </c>
      <c r="D180" s="73">
        <v>893814</v>
      </c>
      <c r="E180" s="73">
        <v>976117.94</v>
      </c>
      <c r="F180" s="73">
        <v>957049.24</v>
      </c>
      <c r="G180" s="73">
        <v>1014512.6</v>
      </c>
      <c r="H180" s="73">
        <v>1133503.96</v>
      </c>
      <c r="I180" s="73">
        <v>1125357.76</v>
      </c>
      <c r="J180" s="73">
        <v>1173666.73</v>
      </c>
      <c r="K180" s="73">
        <v>1175302.45</v>
      </c>
      <c r="L180" s="73">
        <v>1159205.73</v>
      </c>
      <c r="M180" s="73">
        <v>1172585.74</v>
      </c>
      <c r="N180" s="73">
        <v>1068984.78</v>
      </c>
      <c r="O180" s="73">
        <f t="shared" si="5"/>
        <v>1175883.26</v>
      </c>
      <c r="P180" s="74">
        <f>SUM(Table2[[#This Row],[JAN]:[DEC]])</f>
        <v>13025984.189999999</v>
      </c>
    </row>
    <row r="181" spans="1:16" x14ac:dyDescent="0.2">
      <c r="A181" s="70">
        <v>433</v>
      </c>
      <c r="B181" s="70">
        <v>81257</v>
      </c>
      <c r="C181" s="69" t="s">
        <v>221</v>
      </c>
      <c r="D181" s="73">
        <v>940248.76</v>
      </c>
      <c r="E181" s="73">
        <v>895231.95</v>
      </c>
      <c r="F181" s="73">
        <v>940576.8</v>
      </c>
      <c r="G181" s="73">
        <v>1099270.05</v>
      </c>
      <c r="H181" s="73">
        <v>1198634.3</v>
      </c>
      <c r="I181" s="73">
        <v>1133379.02</v>
      </c>
      <c r="J181" s="73">
        <v>1082648.97</v>
      </c>
      <c r="K181" s="73">
        <v>1119233.5</v>
      </c>
      <c r="L181" s="73">
        <v>1128724.1100000001</v>
      </c>
      <c r="M181" s="73">
        <v>1159039.3999999999</v>
      </c>
      <c r="N181" s="73">
        <v>1060889.04</v>
      </c>
      <c r="O181" s="73">
        <f t="shared" si="5"/>
        <v>1166977.94</v>
      </c>
      <c r="P181" s="74">
        <f>SUM(Table2[[#This Row],[JAN]:[DEC]])</f>
        <v>12924853.839999998</v>
      </c>
    </row>
    <row r="182" spans="1:16" x14ac:dyDescent="0.2">
      <c r="A182" s="70">
        <v>64</v>
      </c>
      <c r="B182" s="70">
        <v>31004</v>
      </c>
      <c r="C182" s="69" t="s">
        <v>107</v>
      </c>
      <c r="D182" s="73">
        <v>906406.78</v>
      </c>
      <c r="E182" s="73">
        <v>1099214.97</v>
      </c>
      <c r="F182" s="73">
        <v>1154288.01</v>
      </c>
      <c r="G182" s="73">
        <v>987211.92</v>
      </c>
      <c r="H182" s="73">
        <v>903439.83</v>
      </c>
      <c r="I182" s="73">
        <v>886678.8</v>
      </c>
      <c r="J182" s="73">
        <v>1084303.28</v>
      </c>
      <c r="K182" s="73">
        <v>938319.56</v>
      </c>
      <c r="L182" s="73">
        <v>1045136.28</v>
      </c>
      <c r="M182" s="73">
        <v>1234741.8899999999</v>
      </c>
      <c r="N182" s="73">
        <v>1219568.28</v>
      </c>
      <c r="O182" s="73">
        <f t="shared" si="5"/>
        <v>1341525.1100000001</v>
      </c>
      <c r="P182" s="74">
        <f>SUM(Table2[[#This Row],[JAN]:[DEC]])</f>
        <v>12800834.709999999</v>
      </c>
    </row>
    <row r="183" spans="1:16" x14ac:dyDescent="0.2">
      <c r="A183" s="70">
        <v>40</v>
      </c>
      <c r="B183" s="71">
        <v>11062</v>
      </c>
      <c r="C183" s="72" t="s">
        <v>97</v>
      </c>
      <c r="D183" s="73">
        <v>0</v>
      </c>
      <c r="E183" s="73">
        <v>0</v>
      </c>
      <c r="F183" s="73">
        <v>0</v>
      </c>
      <c r="G183" s="73">
        <v>0</v>
      </c>
      <c r="H183" s="73">
        <v>0</v>
      </c>
      <c r="I183" s="73">
        <v>0</v>
      </c>
      <c r="J183" s="73">
        <v>0</v>
      </c>
      <c r="K183" s="73">
        <v>0</v>
      </c>
      <c r="L183" s="73">
        <v>0</v>
      </c>
      <c r="M183" s="73">
        <v>698.09</v>
      </c>
      <c r="N183" s="73">
        <v>6095224.21</v>
      </c>
      <c r="O183" s="73">
        <f t="shared" si="5"/>
        <v>6704746.6299999999</v>
      </c>
      <c r="P183" s="74">
        <f>SUM(Table2[[#This Row],[JAN]:[DEC]])</f>
        <v>12800668.93</v>
      </c>
    </row>
    <row r="184" spans="1:16" x14ac:dyDescent="0.2">
      <c r="A184" s="70">
        <v>562</v>
      </c>
      <c r="B184" s="70">
        <v>171003</v>
      </c>
      <c r="C184" s="69" t="s">
        <v>267</v>
      </c>
      <c r="D184" s="73">
        <v>442780.72</v>
      </c>
      <c r="E184" s="73">
        <v>350697.62</v>
      </c>
      <c r="F184" s="73">
        <v>450854.18</v>
      </c>
      <c r="G184" s="73">
        <v>536570.53</v>
      </c>
      <c r="H184" s="73">
        <v>618030.98</v>
      </c>
      <c r="I184" s="73">
        <v>685775.84</v>
      </c>
      <c r="J184" s="73">
        <v>7038305.0199999996</v>
      </c>
      <c r="K184" s="73">
        <v>570144.25</v>
      </c>
      <c r="L184" s="73">
        <v>589143.94999999995</v>
      </c>
      <c r="M184" s="73">
        <v>465772.52</v>
      </c>
      <c r="N184" s="73">
        <v>479286.94</v>
      </c>
      <c r="O184" s="73">
        <f t="shared" si="5"/>
        <v>527215.63</v>
      </c>
      <c r="P184" s="74">
        <f>SUM(Table2[[#This Row],[JAN]:[DEC]])</f>
        <v>12754578.18</v>
      </c>
    </row>
    <row r="185" spans="1:16" x14ac:dyDescent="0.2">
      <c r="A185" s="70">
        <v>61</v>
      </c>
      <c r="B185" s="71">
        <v>21017</v>
      </c>
      <c r="C185" s="72" t="s">
        <v>106</v>
      </c>
      <c r="D185" s="73">
        <v>1037.2</v>
      </c>
      <c r="E185" s="73">
        <v>1023165.34</v>
      </c>
      <c r="F185" s="73">
        <v>586907.04</v>
      </c>
      <c r="G185" s="73">
        <v>957184.33</v>
      </c>
      <c r="H185" s="73">
        <v>997860.56</v>
      </c>
      <c r="I185" s="73">
        <v>876589.75</v>
      </c>
      <c r="J185" s="73">
        <v>969810.88</v>
      </c>
      <c r="K185" s="73">
        <v>1315467.8400000001</v>
      </c>
      <c r="L185" s="73">
        <v>1359325.05</v>
      </c>
      <c r="M185" s="73">
        <v>1395881.23</v>
      </c>
      <c r="N185" s="73">
        <v>1461745.04</v>
      </c>
      <c r="O185" s="73">
        <f t="shared" si="5"/>
        <v>1607919.54</v>
      </c>
      <c r="P185" s="74">
        <f>SUM(Table2[[#This Row],[JAN]:[DEC]])</f>
        <v>12552893.800000001</v>
      </c>
    </row>
    <row r="186" spans="1:16" x14ac:dyDescent="0.2">
      <c r="A186" s="70">
        <v>9</v>
      </c>
      <c r="B186" s="70">
        <v>11012</v>
      </c>
      <c r="C186" s="69" t="s">
        <v>86</v>
      </c>
      <c r="D186" s="73">
        <v>913739.44</v>
      </c>
      <c r="E186" s="73">
        <v>756595.59</v>
      </c>
      <c r="F186" s="73">
        <v>1002752.4</v>
      </c>
      <c r="G186" s="73">
        <v>766928.2</v>
      </c>
      <c r="H186" s="73">
        <v>1231097.76</v>
      </c>
      <c r="I186" s="73">
        <v>1474048.35</v>
      </c>
      <c r="J186" s="73">
        <v>1679552.29</v>
      </c>
      <c r="K186" s="73">
        <v>1102029.3</v>
      </c>
      <c r="L186" s="73">
        <v>808218</v>
      </c>
      <c r="M186" s="73">
        <v>880047.82</v>
      </c>
      <c r="N186" s="73">
        <v>862252.1</v>
      </c>
      <c r="O186" s="73">
        <f t="shared" si="5"/>
        <v>948477.31</v>
      </c>
      <c r="P186" s="74">
        <f>SUM(Table2[[#This Row],[JAN]:[DEC]])</f>
        <v>12425738.560000001</v>
      </c>
    </row>
    <row r="187" spans="1:16" x14ac:dyDescent="0.2">
      <c r="A187" s="70">
        <v>462</v>
      </c>
      <c r="B187" s="70">
        <v>81291</v>
      </c>
      <c r="C187" s="69" t="s">
        <v>231</v>
      </c>
      <c r="D187" s="73">
        <v>977083.21</v>
      </c>
      <c r="E187" s="73">
        <v>938059.66</v>
      </c>
      <c r="F187" s="73">
        <v>901741.72</v>
      </c>
      <c r="G187" s="73">
        <v>989695.68</v>
      </c>
      <c r="H187" s="73">
        <v>1130625.43</v>
      </c>
      <c r="I187" s="73">
        <v>1047520.66</v>
      </c>
      <c r="J187" s="73">
        <v>949007.64</v>
      </c>
      <c r="K187" s="73">
        <v>950554.76</v>
      </c>
      <c r="L187" s="73">
        <v>1033969.55</v>
      </c>
      <c r="M187" s="73">
        <v>1382225.38</v>
      </c>
      <c r="N187" s="73">
        <v>959453.25</v>
      </c>
      <c r="O187" s="73">
        <f t="shared" si="5"/>
        <v>1055398.58</v>
      </c>
      <c r="P187" s="74">
        <f>SUM(Table2[[#This Row],[JAN]:[DEC]])</f>
        <v>12315335.520000001</v>
      </c>
    </row>
    <row r="188" spans="1:16" x14ac:dyDescent="0.2">
      <c r="A188" s="70">
        <v>507</v>
      </c>
      <c r="B188" s="70">
        <v>81350</v>
      </c>
      <c r="C188" s="69" t="s">
        <v>252</v>
      </c>
      <c r="D188" s="73">
        <v>662786.01</v>
      </c>
      <c r="E188" s="73">
        <v>640361.07999999996</v>
      </c>
      <c r="F188" s="73">
        <v>701635.72</v>
      </c>
      <c r="G188" s="73">
        <v>801188.65</v>
      </c>
      <c r="H188" s="73">
        <v>852982.71</v>
      </c>
      <c r="I188" s="73">
        <v>917702.89</v>
      </c>
      <c r="J188" s="73">
        <v>1072383.68</v>
      </c>
      <c r="K188" s="73">
        <v>1175198.9099999999</v>
      </c>
      <c r="L188" s="73">
        <v>1217256.19</v>
      </c>
      <c r="M188" s="73">
        <v>1512673.25</v>
      </c>
      <c r="N188" s="73">
        <v>1311980.29</v>
      </c>
      <c r="O188" s="73">
        <f t="shared" si="5"/>
        <v>1443178.32</v>
      </c>
      <c r="P188" s="74">
        <f>SUM(Table2[[#This Row],[JAN]:[DEC]])</f>
        <v>12309327.699999999</v>
      </c>
    </row>
    <row r="189" spans="1:16" x14ac:dyDescent="0.2">
      <c r="A189" s="70">
        <v>216</v>
      </c>
      <c r="B189" s="70">
        <v>61056</v>
      </c>
      <c r="C189" s="69" t="s">
        <v>153</v>
      </c>
      <c r="D189" s="73">
        <v>1038670.15</v>
      </c>
      <c r="E189" s="73">
        <v>724609.59</v>
      </c>
      <c r="F189" s="73">
        <v>1005409.55</v>
      </c>
      <c r="G189" s="73">
        <v>914576.85</v>
      </c>
      <c r="H189" s="73">
        <v>910533.72</v>
      </c>
      <c r="I189" s="73">
        <v>775978.39</v>
      </c>
      <c r="J189" s="73">
        <v>1084818.31</v>
      </c>
      <c r="K189" s="73">
        <v>1033042.33</v>
      </c>
      <c r="L189" s="73">
        <v>1145484.3899999999</v>
      </c>
      <c r="M189" s="73">
        <v>1095355.93</v>
      </c>
      <c r="N189" s="73">
        <v>1226949.1499999999</v>
      </c>
      <c r="O189" s="73">
        <f t="shared" si="5"/>
        <v>1349644.07</v>
      </c>
      <c r="P189" s="74">
        <f>SUM(Table2[[#This Row],[JAN]:[DEC]])</f>
        <v>12305072.430000002</v>
      </c>
    </row>
    <row r="190" spans="1:16" x14ac:dyDescent="0.2">
      <c r="A190" s="70">
        <v>86</v>
      </c>
      <c r="B190" s="70">
        <v>31033</v>
      </c>
      <c r="C190" s="69" t="s">
        <v>117</v>
      </c>
      <c r="D190" s="73">
        <v>1049798.98</v>
      </c>
      <c r="E190" s="73">
        <v>1163106.73</v>
      </c>
      <c r="F190" s="73">
        <v>1203132.8799999999</v>
      </c>
      <c r="G190" s="73">
        <v>994232.72</v>
      </c>
      <c r="H190" s="73">
        <v>828943.9</v>
      </c>
      <c r="I190" s="73">
        <v>730609.54</v>
      </c>
      <c r="J190" s="73">
        <v>798374.62</v>
      </c>
      <c r="K190" s="73">
        <v>770478.88</v>
      </c>
      <c r="L190" s="73">
        <v>915459.86</v>
      </c>
      <c r="M190" s="73">
        <v>1075022.5</v>
      </c>
      <c r="N190" s="73">
        <v>1296701.8799999999</v>
      </c>
      <c r="O190" s="73">
        <f t="shared" si="5"/>
        <v>1426372.07</v>
      </c>
      <c r="P190" s="74">
        <f>SUM(Table2[[#This Row],[JAN]:[DEC]])</f>
        <v>12252234.559999999</v>
      </c>
    </row>
    <row r="191" spans="1:16" x14ac:dyDescent="0.2">
      <c r="A191" s="70">
        <v>193</v>
      </c>
      <c r="B191" s="70">
        <v>61025</v>
      </c>
      <c r="C191" s="69" t="s">
        <v>145</v>
      </c>
      <c r="D191" s="73">
        <v>812912.29</v>
      </c>
      <c r="E191" s="73">
        <v>813761.29</v>
      </c>
      <c r="F191" s="73">
        <v>1000289.11</v>
      </c>
      <c r="G191" s="73">
        <v>875798.02</v>
      </c>
      <c r="H191" s="73">
        <v>742246.11</v>
      </c>
      <c r="I191" s="73">
        <v>1110213.7</v>
      </c>
      <c r="J191" s="73">
        <v>1164115.3500000001</v>
      </c>
      <c r="K191" s="73">
        <v>1029380.16</v>
      </c>
      <c r="L191" s="73">
        <v>967903.33</v>
      </c>
      <c r="M191" s="73">
        <v>1035098.3</v>
      </c>
      <c r="N191" s="73">
        <v>1271930.33</v>
      </c>
      <c r="O191" s="73">
        <f t="shared" si="5"/>
        <v>1399123.36</v>
      </c>
      <c r="P191" s="74">
        <f>SUM(Table2[[#This Row],[JAN]:[DEC]])</f>
        <v>12222771.350000001</v>
      </c>
    </row>
    <row r="192" spans="1:16" x14ac:dyDescent="0.2">
      <c r="A192" s="70">
        <v>26</v>
      </c>
      <c r="B192" s="70">
        <v>11044</v>
      </c>
      <c r="C192" s="69" t="s">
        <v>93</v>
      </c>
      <c r="D192" s="73">
        <v>1035466.76</v>
      </c>
      <c r="E192" s="73">
        <v>1012515.95</v>
      </c>
      <c r="F192" s="73">
        <v>978985.07</v>
      </c>
      <c r="G192" s="73">
        <v>967911.2</v>
      </c>
      <c r="H192" s="73">
        <v>878734.53</v>
      </c>
      <c r="I192" s="73">
        <v>1067846.3400000001</v>
      </c>
      <c r="J192" s="73">
        <v>999775.45</v>
      </c>
      <c r="K192" s="73">
        <v>980035.61</v>
      </c>
      <c r="L192" s="73">
        <v>1048642.3400000001</v>
      </c>
      <c r="M192" s="73">
        <v>1052490.04</v>
      </c>
      <c r="N192" s="73">
        <v>1035705.45</v>
      </c>
      <c r="O192" s="73">
        <f t="shared" si="5"/>
        <v>1139276</v>
      </c>
      <c r="P192" s="74">
        <f>SUM(Table2[[#This Row],[JAN]:[DEC]])</f>
        <v>12197384.739999998</v>
      </c>
    </row>
    <row r="193" spans="1:16" x14ac:dyDescent="0.2">
      <c r="A193" s="70">
        <v>87</v>
      </c>
      <c r="B193" s="70">
        <v>31034</v>
      </c>
      <c r="C193" s="69" t="s">
        <v>118</v>
      </c>
      <c r="D193" s="73">
        <v>749964.05</v>
      </c>
      <c r="E193" s="73">
        <v>915244.18</v>
      </c>
      <c r="F193" s="73">
        <v>959511.3</v>
      </c>
      <c r="G193" s="73">
        <v>776068.85</v>
      </c>
      <c r="H193" s="73">
        <v>859024.67</v>
      </c>
      <c r="I193" s="73">
        <v>1055506.28</v>
      </c>
      <c r="J193" s="73">
        <v>1220033.43</v>
      </c>
      <c r="K193" s="73">
        <v>933802.55</v>
      </c>
      <c r="L193" s="73">
        <v>1067800.8600000001</v>
      </c>
      <c r="M193" s="73">
        <v>1257118.1599999999</v>
      </c>
      <c r="N193" s="73">
        <v>1125666.1000000001</v>
      </c>
      <c r="O193" s="73">
        <f t="shared" si="5"/>
        <v>1238232.71</v>
      </c>
      <c r="P193" s="74">
        <f>SUM(Table2[[#This Row],[JAN]:[DEC]])</f>
        <v>12157973.140000001</v>
      </c>
    </row>
    <row r="194" spans="1:16" x14ac:dyDescent="0.2">
      <c r="A194" s="70">
        <v>342</v>
      </c>
      <c r="B194" s="70">
        <v>81147</v>
      </c>
      <c r="C194" s="69" t="s">
        <v>192</v>
      </c>
      <c r="D194" s="73">
        <v>1034581.17</v>
      </c>
      <c r="E194" s="73">
        <v>922231.52</v>
      </c>
      <c r="F194" s="73">
        <v>1016784.58</v>
      </c>
      <c r="G194" s="73">
        <v>985574.81</v>
      </c>
      <c r="H194" s="73">
        <v>1051340.45</v>
      </c>
      <c r="I194" s="73">
        <v>866801.33</v>
      </c>
      <c r="J194" s="73">
        <v>980469.07</v>
      </c>
      <c r="K194" s="73">
        <v>970852.63</v>
      </c>
      <c r="L194" s="73">
        <v>976361.07</v>
      </c>
      <c r="M194" s="73">
        <v>1147425.1100000001</v>
      </c>
      <c r="N194" s="73">
        <v>1024939.19</v>
      </c>
      <c r="O194" s="73">
        <f t="shared" ref="O194:O201" si="6">ROUND(N194*110%,2)</f>
        <v>1127433.1100000001</v>
      </c>
      <c r="P194" s="74">
        <f>SUM(Table2[[#This Row],[JAN]:[DEC]])</f>
        <v>12104794.039999999</v>
      </c>
    </row>
    <row r="195" spans="1:16" x14ac:dyDescent="0.2">
      <c r="A195" s="70">
        <v>498</v>
      </c>
      <c r="B195" s="70">
        <v>81339</v>
      </c>
      <c r="C195" s="69" t="s">
        <v>244</v>
      </c>
      <c r="D195" s="73">
        <v>903144.78</v>
      </c>
      <c r="E195" s="73">
        <v>944976.17</v>
      </c>
      <c r="F195" s="73">
        <v>888889.05</v>
      </c>
      <c r="G195" s="73">
        <v>673619.72</v>
      </c>
      <c r="H195" s="73">
        <v>1001967.24</v>
      </c>
      <c r="I195" s="73">
        <v>892406.43</v>
      </c>
      <c r="J195" s="73">
        <v>1208303.93</v>
      </c>
      <c r="K195" s="73">
        <v>1014873.09</v>
      </c>
      <c r="L195" s="73">
        <v>1127462.71</v>
      </c>
      <c r="M195" s="73">
        <v>1149139.05</v>
      </c>
      <c r="N195" s="73">
        <v>1089628.17</v>
      </c>
      <c r="O195" s="73">
        <f t="shared" si="6"/>
        <v>1198590.99</v>
      </c>
      <c r="P195" s="74">
        <f>SUM(Table2[[#This Row],[JAN]:[DEC]])</f>
        <v>12093001.33</v>
      </c>
    </row>
    <row r="196" spans="1:16" x14ac:dyDescent="0.2">
      <c r="A196" s="70">
        <v>34</v>
      </c>
      <c r="B196" s="70">
        <v>11053</v>
      </c>
      <c r="C196" s="69" t="s">
        <v>96</v>
      </c>
      <c r="D196" s="73">
        <v>1006832.05</v>
      </c>
      <c r="E196" s="73">
        <v>891625.69</v>
      </c>
      <c r="F196" s="73">
        <v>954958.45</v>
      </c>
      <c r="G196" s="73">
        <v>985869.12</v>
      </c>
      <c r="H196" s="73">
        <v>1032953.84</v>
      </c>
      <c r="I196" s="73">
        <v>949264.65</v>
      </c>
      <c r="J196" s="73">
        <v>1032551.8</v>
      </c>
      <c r="K196" s="73">
        <v>1026889.37</v>
      </c>
      <c r="L196" s="73">
        <v>956105.6</v>
      </c>
      <c r="M196" s="73">
        <v>1061233.53</v>
      </c>
      <c r="N196" s="73">
        <v>1044088.04</v>
      </c>
      <c r="O196" s="73">
        <f t="shared" si="6"/>
        <v>1148496.8400000001</v>
      </c>
      <c r="P196" s="74">
        <f>SUM(Table2[[#This Row],[JAN]:[DEC]])</f>
        <v>12090868.98</v>
      </c>
    </row>
    <row r="197" spans="1:16" x14ac:dyDescent="0.2">
      <c r="A197" s="70">
        <v>361</v>
      </c>
      <c r="B197" s="70">
        <v>81172</v>
      </c>
      <c r="C197" s="69" t="s">
        <v>200</v>
      </c>
      <c r="D197" s="73">
        <v>806566.57</v>
      </c>
      <c r="E197" s="73">
        <v>815394.81</v>
      </c>
      <c r="F197" s="73">
        <v>816754.67</v>
      </c>
      <c r="G197" s="73">
        <v>821915.13</v>
      </c>
      <c r="H197" s="73">
        <v>908680.68</v>
      </c>
      <c r="I197" s="73">
        <v>823357.47</v>
      </c>
      <c r="J197" s="73">
        <v>1442814.42</v>
      </c>
      <c r="K197" s="73">
        <v>918472.21</v>
      </c>
      <c r="L197" s="73">
        <v>1120718.3</v>
      </c>
      <c r="M197" s="73">
        <v>1221240.2</v>
      </c>
      <c r="N197" s="73">
        <v>1092945.5</v>
      </c>
      <c r="O197" s="73">
        <f t="shared" si="6"/>
        <v>1202240.05</v>
      </c>
      <c r="P197" s="74">
        <f>SUM(Table2[[#This Row],[JAN]:[DEC]])</f>
        <v>11991100.01</v>
      </c>
    </row>
    <row r="198" spans="1:16" x14ac:dyDescent="0.2">
      <c r="A198" s="70">
        <v>273</v>
      </c>
      <c r="B198" s="70">
        <v>81041</v>
      </c>
      <c r="C198" s="69" t="s">
        <v>164</v>
      </c>
      <c r="D198" s="73">
        <v>927476.8</v>
      </c>
      <c r="E198" s="73">
        <v>910770.82</v>
      </c>
      <c r="F198" s="73">
        <v>965799.35</v>
      </c>
      <c r="G198" s="73">
        <v>934784.39</v>
      </c>
      <c r="H198" s="73">
        <v>935929.02</v>
      </c>
      <c r="I198" s="73">
        <v>916549.14</v>
      </c>
      <c r="J198" s="73">
        <v>1080929.5900000001</v>
      </c>
      <c r="K198" s="73">
        <v>1076968.52</v>
      </c>
      <c r="L198" s="73">
        <v>1016048.32</v>
      </c>
      <c r="M198" s="73">
        <v>1045277.52</v>
      </c>
      <c r="N198" s="73">
        <v>1038050.88</v>
      </c>
      <c r="O198" s="73">
        <f t="shared" si="6"/>
        <v>1141855.97</v>
      </c>
      <c r="P198" s="74">
        <f>SUM(Table2[[#This Row],[JAN]:[DEC]])</f>
        <v>11990440.320000002</v>
      </c>
    </row>
    <row r="199" spans="1:16" x14ac:dyDescent="0.2">
      <c r="A199" s="70">
        <v>77</v>
      </c>
      <c r="B199" s="70">
        <v>31022</v>
      </c>
      <c r="C199" s="69" t="s">
        <v>113</v>
      </c>
      <c r="D199" s="73">
        <v>906542.07</v>
      </c>
      <c r="E199" s="73">
        <v>1104559.8500000001</v>
      </c>
      <c r="F199" s="73">
        <v>1175686.8899999999</v>
      </c>
      <c r="G199" s="73">
        <v>1010502.37</v>
      </c>
      <c r="H199" s="73">
        <v>808128.53</v>
      </c>
      <c r="I199" s="73">
        <v>812475.35</v>
      </c>
      <c r="J199" s="73">
        <v>982521.76</v>
      </c>
      <c r="K199" s="73">
        <v>839274.62</v>
      </c>
      <c r="L199" s="73">
        <v>905284.98</v>
      </c>
      <c r="M199" s="73">
        <v>1034903.69</v>
      </c>
      <c r="N199" s="73">
        <v>1144639.22</v>
      </c>
      <c r="O199" s="73">
        <f t="shared" si="6"/>
        <v>1259103.1399999999</v>
      </c>
      <c r="P199" s="74">
        <f>SUM(Table2[[#This Row],[JAN]:[DEC]])</f>
        <v>11983622.470000001</v>
      </c>
    </row>
    <row r="200" spans="1:16" x14ac:dyDescent="0.2">
      <c r="A200" s="70">
        <v>580</v>
      </c>
      <c r="B200" s="70">
        <v>261008</v>
      </c>
      <c r="C200" s="69" t="s">
        <v>275</v>
      </c>
      <c r="D200" s="73">
        <v>547948.31000000006</v>
      </c>
      <c r="E200" s="73">
        <v>568216.09</v>
      </c>
      <c r="F200" s="73">
        <v>597184.85</v>
      </c>
      <c r="G200" s="73">
        <v>1635549.17</v>
      </c>
      <c r="H200" s="73">
        <v>839083.55</v>
      </c>
      <c r="I200" s="73">
        <v>1610514.84</v>
      </c>
      <c r="J200" s="73">
        <v>906531.42</v>
      </c>
      <c r="K200" s="73">
        <v>1638207.33</v>
      </c>
      <c r="L200" s="73">
        <v>736547.8</v>
      </c>
      <c r="M200" s="73">
        <v>1543447.68</v>
      </c>
      <c r="N200" s="73">
        <v>598866.5</v>
      </c>
      <c r="O200" s="73">
        <f t="shared" si="6"/>
        <v>658753.15</v>
      </c>
      <c r="P200" s="74">
        <f>SUM(Table2[[#This Row],[JAN]:[DEC]])</f>
        <v>11880850.689999999</v>
      </c>
    </row>
    <row r="201" spans="1:16" x14ac:dyDescent="0.2">
      <c r="A201" s="70">
        <v>600</v>
      </c>
      <c r="B201" s="70">
        <v>261033</v>
      </c>
      <c r="C201" s="69" t="s">
        <v>278</v>
      </c>
      <c r="D201" s="73">
        <v>709730.47</v>
      </c>
      <c r="E201" s="73">
        <v>834578.96</v>
      </c>
      <c r="F201" s="73">
        <v>879419.52</v>
      </c>
      <c r="G201" s="73">
        <v>922091.77</v>
      </c>
      <c r="H201" s="73">
        <v>1128579.07</v>
      </c>
      <c r="I201" s="73">
        <v>973718.78</v>
      </c>
      <c r="J201" s="73">
        <v>1051535.06</v>
      </c>
      <c r="K201" s="73">
        <v>1026959.61</v>
      </c>
      <c r="L201" s="73">
        <v>1232244.19</v>
      </c>
      <c r="M201" s="73">
        <v>1046830.1</v>
      </c>
      <c r="N201" s="73">
        <v>988044.41</v>
      </c>
      <c r="O201" s="73">
        <f t="shared" si="6"/>
        <v>1086848.8500000001</v>
      </c>
      <c r="P201" s="74">
        <f>SUM(Table2[[#This Row],[JAN]:[DEC]])</f>
        <v>11880580.790000001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"/>
  <sheetViews>
    <sheetView workbookViewId="0">
      <selection activeCell="K12" sqref="K12"/>
    </sheetView>
  </sheetViews>
  <sheetFormatPr defaultRowHeight="15" x14ac:dyDescent="0.25"/>
  <cols>
    <col min="3" max="3" width="9.7109375" bestFit="1" customWidth="1"/>
  </cols>
  <sheetData>
    <row r="1" spans="1:8" x14ac:dyDescent="0.25">
      <c r="A1" s="135"/>
      <c r="B1" s="136" t="s">
        <v>347</v>
      </c>
      <c r="C1" s="136" t="s">
        <v>42</v>
      </c>
      <c r="D1" s="136" t="s">
        <v>348</v>
      </c>
      <c r="E1" s="135"/>
      <c r="F1" s="135"/>
      <c r="G1" s="135"/>
      <c r="H1" s="135"/>
    </row>
    <row r="2" spans="1:8" x14ac:dyDescent="0.25">
      <c r="A2" s="135"/>
      <c r="B2" s="137" t="s">
        <v>349</v>
      </c>
      <c r="C2" s="138">
        <v>35796</v>
      </c>
      <c r="D2" s="137">
        <v>80</v>
      </c>
      <c r="E2" s="135"/>
      <c r="F2" s="135"/>
      <c r="G2" s="135"/>
      <c r="H2" s="135"/>
    </row>
    <row r="3" spans="1:8" x14ac:dyDescent="0.25">
      <c r="A3" s="135"/>
      <c r="B3" s="137" t="s">
        <v>350</v>
      </c>
      <c r="C3" s="138">
        <v>35925</v>
      </c>
      <c r="D3" s="137">
        <v>25</v>
      </c>
      <c r="E3" s="135"/>
      <c r="F3" s="135"/>
      <c r="G3" s="135"/>
      <c r="H3" s="135"/>
    </row>
    <row r="4" spans="1:8" x14ac:dyDescent="0.25">
      <c r="A4" s="135"/>
      <c r="B4" s="137" t="s">
        <v>349</v>
      </c>
      <c r="C4" s="138">
        <v>35827</v>
      </c>
      <c r="D4" s="137">
        <v>80</v>
      </c>
      <c r="E4" s="135"/>
      <c r="F4" s="135"/>
      <c r="G4" s="135"/>
      <c r="H4" s="135"/>
    </row>
    <row r="5" spans="1:8" x14ac:dyDescent="0.25">
      <c r="A5" s="135"/>
      <c r="B5" s="137" t="s">
        <v>351</v>
      </c>
      <c r="C5" s="138">
        <v>35855</v>
      </c>
      <c r="D5" s="137">
        <v>150</v>
      </c>
      <c r="E5" s="135"/>
      <c r="F5" s="135"/>
      <c r="G5" s="135"/>
      <c r="H5" s="135"/>
    </row>
    <row r="6" spans="1:8" x14ac:dyDescent="0.25">
      <c r="A6" s="135"/>
      <c r="B6" s="137" t="s">
        <v>351</v>
      </c>
      <c r="C6" s="138">
        <v>35800</v>
      </c>
      <c r="D6" s="137">
        <v>300</v>
      </c>
      <c r="E6" s="135"/>
      <c r="F6" s="135"/>
      <c r="G6" s="135"/>
      <c r="H6" s="135"/>
    </row>
    <row r="7" spans="1:8" x14ac:dyDescent="0.25">
      <c r="A7" s="135"/>
      <c r="B7" s="137" t="s">
        <v>352</v>
      </c>
      <c r="C7" s="138">
        <v>35947</v>
      </c>
      <c r="D7" s="137">
        <v>50</v>
      </c>
      <c r="E7" s="135"/>
      <c r="F7" s="135"/>
      <c r="G7" s="135"/>
      <c r="H7" s="135"/>
    </row>
    <row r="8" spans="1:8" x14ac:dyDescent="0.25">
      <c r="A8" s="135"/>
      <c r="B8" s="137" t="s">
        <v>350</v>
      </c>
      <c r="C8" s="138">
        <v>35886</v>
      </c>
      <c r="D8" s="137">
        <v>200</v>
      </c>
      <c r="E8" s="135"/>
      <c r="F8" s="135"/>
      <c r="G8" s="135"/>
      <c r="H8" s="135"/>
    </row>
    <row r="9" spans="1:8" x14ac:dyDescent="0.25">
      <c r="A9" s="135"/>
      <c r="B9" s="137" t="s">
        <v>350</v>
      </c>
      <c r="C9" s="138">
        <v>35855</v>
      </c>
      <c r="D9" s="137">
        <v>100</v>
      </c>
      <c r="E9" s="135"/>
      <c r="F9" s="135"/>
      <c r="G9" s="135"/>
      <c r="H9" s="135"/>
    </row>
    <row r="10" spans="1:8" x14ac:dyDescent="0.25">
      <c r="A10" s="135"/>
      <c r="B10" s="137" t="s">
        <v>353</v>
      </c>
      <c r="C10" s="138">
        <v>35916</v>
      </c>
      <c r="D10" s="137">
        <v>250</v>
      </c>
      <c r="E10" s="135"/>
      <c r="F10" s="135"/>
      <c r="G10" s="135"/>
      <c r="H10" s="135"/>
    </row>
    <row r="11" spans="1:8" x14ac:dyDescent="0.25">
      <c r="A11" s="135"/>
      <c r="B11" s="135"/>
      <c r="C11" s="135"/>
      <c r="D11" s="135"/>
      <c r="E11" s="135"/>
      <c r="F11" s="135"/>
      <c r="G11" s="135"/>
      <c r="H11" s="135"/>
    </row>
    <row r="12" spans="1:8" x14ac:dyDescent="0.25">
      <c r="A12" s="139" t="s">
        <v>354</v>
      </c>
      <c r="B12" s="140"/>
      <c r="C12" s="140"/>
      <c r="D12" s="141"/>
      <c r="E12" s="142">
        <f>SUMIF(B2:B10,"Brakes",D2:D10)</f>
        <v>160</v>
      </c>
      <c r="F12" s="143" t="s">
        <v>355</v>
      </c>
      <c r="G12" s="135"/>
      <c r="H12" s="135"/>
    </row>
    <row r="13" spans="1:8" x14ac:dyDescent="0.25">
      <c r="A13" s="139" t="s">
        <v>356</v>
      </c>
      <c r="B13" s="140"/>
      <c r="C13" s="140"/>
      <c r="D13" s="141"/>
      <c r="E13" s="142">
        <f>SUMIF(B2:B10,"Tyres",D2:D10)</f>
        <v>325</v>
      </c>
      <c r="F13" s="143" t="s">
        <v>357</v>
      </c>
      <c r="G13" s="135"/>
      <c r="H13" s="135"/>
    </row>
    <row r="14" spans="1:8" x14ac:dyDescent="0.25">
      <c r="A14" s="139" t="s">
        <v>358</v>
      </c>
      <c r="B14" s="140"/>
      <c r="C14" s="140"/>
      <c r="D14" s="141"/>
      <c r="E14" s="142">
        <f>SUMIF(D2:D10,"&gt;=100")</f>
        <v>1000</v>
      </c>
      <c r="F14" s="143" t="s">
        <v>359</v>
      </c>
      <c r="G14" s="135"/>
      <c r="H14" s="135"/>
    </row>
    <row r="15" spans="1:8" x14ac:dyDescent="0.25">
      <c r="A15" s="135"/>
      <c r="B15" s="135"/>
      <c r="C15" s="135"/>
      <c r="D15" s="135"/>
      <c r="E15" s="135"/>
      <c r="F15" s="135"/>
      <c r="G15" s="135"/>
      <c r="H15" s="135"/>
    </row>
    <row r="16" spans="1:8" x14ac:dyDescent="0.25">
      <c r="A16" s="144" t="s">
        <v>360</v>
      </c>
      <c r="B16" s="140"/>
      <c r="C16" s="140"/>
      <c r="D16" s="137" t="s">
        <v>361</v>
      </c>
      <c r="E16" s="142">
        <f>SUMIF(B2:B10,D16,D2:D10)</f>
        <v>450</v>
      </c>
      <c r="F16" s="143" t="s">
        <v>362</v>
      </c>
      <c r="G16" s="135"/>
      <c r="H16" s="1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7"/>
  <sheetViews>
    <sheetView tabSelected="1" workbookViewId="0">
      <selection activeCell="B6" sqref="B6"/>
    </sheetView>
  </sheetViews>
  <sheetFormatPr defaultRowHeight="15" x14ac:dyDescent="0.25"/>
  <cols>
    <col min="4" max="4" width="22.5703125" bestFit="1" customWidth="1"/>
  </cols>
  <sheetData>
    <row r="1" spans="1:6" x14ac:dyDescent="0.25">
      <c r="A1" t="s">
        <v>363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</row>
    <row r="3" spans="1:6" x14ac:dyDescent="0.25">
      <c r="A3" t="s">
        <v>369</v>
      </c>
    </row>
    <row r="4" spans="1:6" x14ac:dyDescent="0.25">
      <c r="A4" s="127" t="str">
        <f>_xlfn.TEXTJOIN(" ",1,"Mr.",A1:E1)</f>
        <v>Mr. Abu Sayed Md. Riton Rouf</v>
      </c>
    </row>
    <row r="11" spans="1:6" x14ac:dyDescent="0.25">
      <c r="A11">
        <f>COUNT(A1:A9)</f>
        <v>0</v>
      </c>
    </row>
    <row r="12" spans="1:6" x14ac:dyDescent="0.25">
      <c r="A12">
        <f>COUNTA(A1:A9)</f>
        <v>3</v>
      </c>
    </row>
    <row r="14" spans="1:6" x14ac:dyDescent="0.25">
      <c r="A14" s="127" t="s">
        <v>5</v>
      </c>
      <c r="B14" s="127"/>
      <c r="C14" s="127"/>
      <c r="D14" s="127">
        <f>LEN(A14)-LEN(SUBSTITUTE(A14," ",""))</f>
        <v>3</v>
      </c>
    </row>
    <row r="15" spans="1:6" x14ac:dyDescent="0.25">
      <c r="A15" s="127" t="s">
        <v>5</v>
      </c>
      <c r="B15" s="127"/>
      <c r="C15" s="127"/>
      <c r="D15" s="127">
        <f>LEN(A15)</f>
        <v>23</v>
      </c>
    </row>
    <row r="16" spans="1:6" x14ac:dyDescent="0.25">
      <c r="A16" s="127" t="s">
        <v>5</v>
      </c>
      <c r="B16" s="127"/>
      <c r="C16" s="127"/>
      <c r="D16" s="127" t="str">
        <f>SUBSTITUTE(A16," ","")</f>
        <v>Mr.ParimalKumarKundu</v>
      </c>
    </row>
    <row r="17" spans="1:4" x14ac:dyDescent="0.25">
      <c r="A17" t="s">
        <v>5</v>
      </c>
      <c r="D17">
        <f t="shared" ref="D17" si="0">LEN(A17)-LEN(SUBSTITUTE(A17," ",""))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9078-11F4-4E86-814E-98CB7BF18C4F}">
  <dimension ref="A1:F25"/>
  <sheetViews>
    <sheetView workbookViewId="0">
      <selection activeCell="D3" sqref="D3"/>
    </sheetView>
  </sheetViews>
  <sheetFormatPr defaultRowHeight="15" x14ac:dyDescent="0.25"/>
  <cols>
    <col min="4" max="4" width="22.5703125" bestFit="1" customWidth="1"/>
  </cols>
  <sheetData>
    <row r="1" spans="1:6" x14ac:dyDescent="0.25">
      <c r="A1" t="s">
        <v>363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</row>
    <row r="3" spans="1:6" x14ac:dyDescent="0.25">
      <c r="A3" t="s">
        <v>369</v>
      </c>
    </row>
    <row r="4" spans="1:6" x14ac:dyDescent="0.25">
      <c r="A4" s="127" t="str">
        <f>_xlfn.TEXTJOIN(" ",1,"Mr.",A1:E1)</f>
        <v>Mr. Abu Sayed Md. Riton Rouf</v>
      </c>
    </row>
    <row r="7" spans="1:6" ht="15.75" x14ac:dyDescent="0.25">
      <c r="A7" s="128" t="s">
        <v>345</v>
      </c>
      <c r="D7" s="127" t="str">
        <f t="shared" ref="D7:D8" si="0">TRIM(SUBSTITUTE(SUBSTITUTE(SUBSTITUTE(SUBSTITUTE(SUBSTITUTE(SUBSTITUTE(SUBSTITUTE(SUBSTITUTE(SUBSTITUTE(SUBSTITUTE(A7,0,""),1,""),2,""),3,""),4,""),5,""),6,""),7,""),8,""),9,""))</f>
        <v>Rocky Set</v>
      </c>
    </row>
    <row r="8" spans="1:6" x14ac:dyDescent="0.25">
      <c r="A8" t="s">
        <v>340</v>
      </c>
      <c r="D8" s="127" t="str">
        <f t="shared" si="0"/>
        <v>SAJIB SARKER</v>
      </c>
    </row>
    <row r="9" spans="1:6" x14ac:dyDescent="0.25">
      <c r="A9" t="s">
        <v>341</v>
      </c>
      <c r="D9" s="127" t="str">
        <f>TRIM(SUBSTITUTE(SUBSTITUTE(SUBSTITUTE(SUBSTITUTE(SUBSTITUTE(SUBSTITUTE(SUBSTITUTE(SUBSTITUTE(SUBSTITUTE(SUBSTITUTE(A9,0,""),1,""),2,""),3,""),4,""),5,""),6,""),7,""),8,""),9,""))</f>
        <v>Sajib Sarker Dew</v>
      </c>
    </row>
    <row r="19" spans="1:4" x14ac:dyDescent="0.25">
      <c r="A19">
        <f>COUNT(A1:A17)</f>
        <v>0</v>
      </c>
    </row>
    <row r="20" spans="1:4" x14ac:dyDescent="0.25">
      <c r="A20">
        <f>COUNTA(A1:A17)</f>
        <v>6</v>
      </c>
    </row>
    <row r="22" spans="1:4" x14ac:dyDescent="0.25">
      <c r="A22" s="127" t="s">
        <v>5</v>
      </c>
      <c r="B22" s="127"/>
      <c r="C22" s="127"/>
      <c r="D22" s="127">
        <f>LEN(A22)-LEN(SUBSTITUTE(A22," ",""))</f>
        <v>3</v>
      </c>
    </row>
    <row r="23" spans="1:4" x14ac:dyDescent="0.25">
      <c r="A23" s="127" t="s">
        <v>5</v>
      </c>
      <c r="B23" s="127"/>
      <c r="C23" s="127"/>
      <c r="D23" s="127">
        <f>LEN(A23)</f>
        <v>23</v>
      </c>
    </row>
    <row r="24" spans="1:4" x14ac:dyDescent="0.25">
      <c r="A24" s="127" t="s">
        <v>5</v>
      </c>
      <c r="B24" s="127"/>
      <c r="C24" s="127"/>
      <c r="D24" s="127" t="str">
        <f>SUBSTITUTE(A24," ","")</f>
        <v>Mr.ParimalKumarKundu</v>
      </c>
    </row>
    <row r="25" spans="1:4" x14ac:dyDescent="0.25">
      <c r="A25" t="s">
        <v>5</v>
      </c>
      <c r="D25">
        <f t="shared" ref="D25" si="1">LEN(A25)-LEN(SUBSTITUTE(A25," ",""))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opLeftCell="A22" zoomScale="90" zoomScaleNormal="90" workbookViewId="0">
      <selection activeCell="F26" sqref="F26"/>
    </sheetView>
  </sheetViews>
  <sheetFormatPr defaultRowHeight="14.25" x14ac:dyDescent="0.25"/>
  <cols>
    <col min="1" max="1" width="7.85546875" style="9" bestFit="1" customWidth="1"/>
    <col min="2" max="2" width="8.28515625" style="9" bestFit="1" customWidth="1"/>
    <col min="3" max="3" width="5.5703125" style="9" bestFit="1" customWidth="1"/>
    <col min="4" max="4" width="2.42578125" style="9" customWidth="1"/>
    <col min="5" max="5" width="13.42578125" style="10" bestFit="1" customWidth="1"/>
    <col min="6" max="6" width="13.7109375" style="10" bestFit="1" customWidth="1"/>
    <col min="7" max="7" width="6.140625" style="10" customWidth="1"/>
    <col min="8" max="8" width="10" style="10" bestFit="1" customWidth="1"/>
    <col min="9" max="9" width="7.140625" style="10" customWidth="1"/>
    <col min="10" max="10" width="4" style="10" customWidth="1"/>
    <col min="11" max="11" width="9.7109375" style="10" bestFit="1" customWidth="1"/>
    <col min="12" max="12" width="9.140625" style="10"/>
    <col min="13" max="13" width="12.140625" style="10" customWidth="1"/>
    <col min="14" max="15" width="9.7109375" style="10" bestFit="1" customWidth="1"/>
    <col min="16" max="16" width="4" style="9" bestFit="1" customWidth="1"/>
    <col min="17" max="16384" width="9.140625" style="9"/>
  </cols>
  <sheetData>
    <row r="1" spans="1:16" ht="31.5" customHeight="1" x14ac:dyDescent="0.25"/>
    <row r="4" spans="1:16" x14ac:dyDescent="0.25">
      <c r="C4" s="9" t="s">
        <v>73</v>
      </c>
    </row>
    <row r="5" spans="1:16" x14ac:dyDescent="0.25">
      <c r="A5" s="9">
        <v>6</v>
      </c>
      <c r="B5" s="9">
        <v>4</v>
      </c>
      <c r="C5" s="9">
        <v>1</v>
      </c>
    </row>
    <row r="6" spans="1:16" ht="15" x14ac:dyDescent="0.25">
      <c r="A6" s="9">
        <v>7</v>
      </c>
      <c r="B6" s="9">
        <v>5</v>
      </c>
      <c r="C6" s="9">
        <v>2</v>
      </c>
      <c r="E6" s="102" t="s">
        <v>319</v>
      </c>
    </row>
    <row r="7" spans="1:16" x14ac:dyDescent="0.25">
      <c r="A7" s="9">
        <v>8</v>
      </c>
      <c r="B7" s="9">
        <v>6</v>
      </c>
      <c r="C7" s="9">
        <v>3</v>
      </c>
    </row>
    <row r="8" spans="1:16" x14ac:dyDescent="0.2">
      <c r="A8" s="9">
        <v>9</v>
      </c>
      <c r="B8" s="9">
        <v>7</v>
      </c>
      <c r="C8" s="9">
        <v>4</v>
      </c>
      <c r="E8" s="26"/>
      <c r="F8" s="25"/>
      <c r="G8" s="23"/>
      <c r="H8" s="24" t="s">
        <v>65</v>
      </c>
      <c r="I8" s="23"/>
      <c r="J8" s="23"/>
      <c r="K8" s="23" t="s">
        <v>64</v>
      </c>
      <c r="L8" s="23"/>
      <c r="M8" s="23"/>
      <c r="N8" s="23" t="s">
        <v>68</v>
      </c>
      <c r="O8" s="23" t="s">
        <v>64</v>
      </c>
      <c r="P8" s="22" t="s">
        <v>43</v>
      </c>
    </row>
    <row r="9" spans="1:16" x14ac:dyDescent="0.2">
      <c r="A9" s="9">
        <v>10</v>
      </c>
      <c r="B9" s="9">
        <v>8</v>
      </c>
      <c r="C9" s="9">
        <v>5</v>
      </c>
      <c r="E9" s="18" t="s">
        <v>63</v>
      </c>
      <c r="F9" s="21">
        <v>30680</v>
      </c>
      <c r="G9" s="12"/>
      <c r="H9" s="13">
        <v>35859</v>
      </c>
      <c r="I9" s="12"/>
      <c r="J9" s="12"/>
      <c r="K9" s="13">
        <v>41750</v>
      </c>
      <c r="L9" s="12"/>
      <c r="M9" s="12"/>
      <c r="N9" s="13">
        <v>35162</v>
      </c>
      <c r="O9" s="13">
        <v>41750</v>
      </c>
      <c r="P9" s="17"/>
    </row>
    <row r="10" spans="1:16" x14ac:dyDescent="0.2">
      <c r="A10" s="9">
        <v>11</v>
      </c>
      <c r="B10" s="9">
        <v>9</v>
      </c>
      <c r="C10" s="9">
        <v>6</v>
      </c>
      <c r="E10" s="18"/>
      <c r="F10" s="12"/>
      <c r="G10" s="12"/>
      <c r="H10" s="12"/>
      <c r="I10" s="20"/>
      <c r="J10" s="12"/>
      <c r="K10" s="12"/>
      <c r="L10" s="20"/>
      <c r="M10" s="12"/>
      <c r="N10" s="12"/>
      <c r="O10" s="12"/>
      <c r="P10" s="19"/>
    </row>
    <row r="11" spans="1:16" x14ac:dyDescent="0.2">
      <c r="A11" s="9">
        <v>12</v>
      </c>
      <c r="B11" s="9">
        <v>10</v>
      </c>
      <c r="C11" s="9">
        <v>7</v>
      </c>
      <c r="E11" s="18"/>
      <c r="F11" s="11">
        <f ca="1">DATEDIF(F9,TODAY(),"y")</f>
        <v>41</v>
      </c>
      <c r="G11" s="12"/>
      <c r="H11" s="11">
        <f>DATEDIF(F9,H9,"y")</f>
        <v>14</v>
      </c>
      <c r="I11" s="20"/>
      <c r="J11" s="12"/>
      <c r="K11" s="11">
        <f>DATEDIF(F9,K9,"y")</f>
        <v>30</v>
      </c>
      <c r="L11" s="20"/>
      <c r="M11" s="12"/>
      <c r="N11" s="11">
        <f ca="1">DATEDIF(N9,TODAY(),"y")</f>
        <v>28</v>
      </c>
      <c r="O11" s="11">
        <f>DATEDIF(N9,O9,"y")</f>
        <v>18</v>
      </c>
      <c r="P11" s="19">
        <f ca="1">F11-N11</f>
        <v>13</v>
      </c>
    </row>
    <row r="12" spans="1:16" x14ac:dyDescent="0.2">
      <c r="A12" s="9">
        <v>13</v>
      </c>
      <c r="B12" s="9">
        <v>11</v>
      </c>
      <c r="C12" s="9">
        <v>8</v>
      </c>
      <c r="E12" s="18"/>
      <c r="F12" s="11">
        <f ca="1">DATEDIF(F9,TODAY(),"ym")</f>
        <v>1</v>
      </c>
      <c r="G12" s="12"/>
      <c r="H12" s="11">
        <f>DATEDIF(F9,H9,"ym")</f>
        <v>2</v>
      </c>
      <c r="I12" s="20"/>
      <c r="J12" s="12"/>
      <c r="K12" s="11">
        <f>DATEDIF(F9,K9,"ym")</f>
        <v>3</v>
      </c>
      <c r="L12" s="20"/>
      <c r="M12" s="12"/>
      <c r="N12" s="11">
        <f ca="1">DATEDIF(N9,TODAY(),"ym")</f>
        <v>10</v>
      </c>
      <c r="O12" s="11">
        <f>DATEDIF(N9,O9,"ym")</f>
        <v>0</v>
      </c>
      <c r="P12" s="19">
        <f ca="1">F12-N12</f>
        <v>-9</v>
      </c>
    </row>
    <row r="13" spans="1:16" x14ac:dyDescent="0.2">
      <c r="A13" s="9">
        <v>15</v>
      </c>
      <c r="B13" s="9">
        <v>12</v>
      </c>
      <c r="C13" s="9">
        <v>9</v>
      </c>
      <c r="E13" s="18"/>
      <c r="F13" s="11">
        <f ca="1">DATEDIF(F9,TODAY(),"md")</f>
        <v>28</v>
      </c>
      <c r="G13" s="12"/>
      <c r="H13" s="11">
        <f>DATEDIF(F9,H9,"md")</f>
        <v>3</v>
      </c>
      <c r="I13" s="20"/>
      <c r="J13" s="12"/>
      <c r="K13" s="11">
        <f>DATEDIF(F9,K9,"md")</f>
        <v>22</v>
      </c>
      <c r="L13" s="20"/>
      <c r="M13" s="12"/>
      <c r="N13" s="11">
        <f ca="1">DATEDIF(N9,TODAY(),"md")</f>
        <v>20</v>
      </c>
      <c r="O13" s="11">
        <f>DATEDIF(N9,O9,"md")</f>
        <v>14</v>
      </c>
      <c r="P13" s="19">
        <f ca="1">F13-N13</f>
        <v>8</v>
      </c>
    </row>
    <row r="14" spans="1:16" x14ac:dyDescent="0.25">
      <c r="A14" s="9">
        <v>16</v>
      </c>
      <c r="B14" s="9">
        <v>13</v>
      </c>
      <c r="C14" s="9">
        <v>10</v>
      </c>
      <c r="E14" s="18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7"/>
    </row>
    <row r="15" spans="1:16" x14ac:dyDescent="0.25">
      <c r="A15" s="9" t="s">
        <v>67</v>
      </c>
      <c r="B15" s="9" t="s">
        <v>66</v>
      </c>
      <c r="C15" s="9" t="s">
        <v>65</v>
      </c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4"/>
    </row>
    <row r="18" spans="5:16" ht="15" x14ac:dyDescent="0.25">
      <c r="E18" s="102" t="s">
        <v>318</v>
      </c>
    </row>
    <row r="19" spans="5:16" x14ac:dyDescent="0.25">
      <c r="F19" s="10" t="s">
        <v>72</v>
      </c>
      <c r="I19" s="10" t="s">
        <v>317</v>
      </c>
    </row>
    <row r="20" spans="5:16" x14ac:dyDescent="0.25">
      <c r="E20" s="10" t="s">
        <v>71</v>
      </c>
      <c r="F20" s="10" t="s">
        <v>70</v>
      </c>
      <c r="I20" s="10" t="s">
        <v>69</v>
      </c>
    </row>
    <row r="21" spans="5:16" x14ac:dyDescent="0.2">
      <c r="E21" s="26"/>
      <c r="F21" s="25"/>
      <c r="G21" s="23"/>
      <c r="H21" s="24" t="s">
        <v>65</v>
      </c>
      <c r="I21" s="23"/>
      <c r="J21" s="23"/>
      <c r="K21" s="23" t="s">
        <v>64</v>
      </c>
      <c r="L21" s="23"/>
      <c r="M21" s="23"/>
      <c r="N21" s="23"/>
      <c r="O21" s="23"/>
      <c r="P21" s="22" t="s">
        <v>43</v>
      </c>
    </row>
    <row r="22" spans="5:16" x14ac:dyDescent="0.2">
      <c r="E22" s="18" t="s">
        <v>63</v>
      </c>
      <c r="F22" s="21">
        <v>30953</v>
      </c>
      <c r="G22" s="12"/>
      <c r="H22" s="13">
        <v>35859</v>
      </c>
      <c r="I22" s="12"/>
      <c r="J22" s="12"/>
      <c r="K22" s="13">
        <v>41750</v>
      </c>
      <c r="L22" s="12"/>
      <c r="M22" s="12"/>
      <c r="N22" s="13">
        <v>35162</v>
      </c>
      <c r="O22" s="13">
        <v>41750</v>
      </c>
      <c r="P22" s="17"/>
    </row>
    <row r="23" spans="5:16" x14ac:dyDescent="0.2">
      <c r="E23" s="18"/>
      <c r="F23" s="12"/>
      <c r="G23" s="12"/>
      <c r="H23" s="12"/>
      <c r="I23" s="20"/>
      <c r="J23" s="12"/>
      <c r="K23" s="12"/>
      <c r="L23" s="20"/>
      <c r="M23" s="12"/>
      <c r="N23" s="12"/>
      <c r="O23" s="12"/>
      <c r="P23" s="19"/>
    </row>
    <row r="24" spans="5:16" x14ac:dyDescent="0.2">
      <c r="E24" s="18"/>
      <c r="F24" s="11">
        <f ca="1">DATEDIF(F22,TODAY(),"y")</f>
        <v>40</v>
      </c>
      <c r="G24" s="12"/>
      <c r="H24" s="11">
        <f>DATEDIF(F22,H22,"y")</f>
        <v>13</v>
      </c>
      <c r="I24" s="20"/>
      <c r="J24" s="12"/>
      <c r="K24" s="11">
        <f>DATEDIF(F22,K22,"y")</f>
        <v>29</v>
      </c>
      <c r="L24" s="20"/>
      <c r="M24" s="12"/>
      <c r="N24" s="11">
        <f ca="1">DATEDIF(N22,TODAY(),"y")</f>
        <v>28</v>
      </c>
      <c r="O24" s="11">
        <f>DATEDIF(N22,O22,"y")</f>
        <v>18</v>
      </c>
      <c r="P24" s="19">
        <f ca="1">F24-N24</f>
        <v>12</v>
      </c>
    </row>
    <row r="25" spans="5:16" x14ac:dyDescent="0.2">
      <c r="E25" s="18"/>
      <c r="F25" s="11">
        <f ca="1">DATEDIF(F22,TODAY(),"ym")</f>
        <v>4</v>
      </c>
      <c r="G25" s="12"/>
      <c r="H25" s="11">
        <f>DATEDIF(F22,H22,"ym")</f>
        <v>5</v>
      </c>
      <c r="I25" s="20"/>
      <c r="J25" s="12"/>
      <c r="K25" s="11">
        <f>DATEDIF(F22,K22,"ym")</f>
        <v>6</v>
      </c>
      <c r="L25" s="20"/>
      <c r="M25" s="12"/>
      <c r="N25" s="11">
        <f ca="1">DATEDIF(N22,TODAY(),"ym")</f>
        <v>10</v>
      </c>
      <c r="O25" s="11">
        <f>DATEDIF(N22,O22,"ym")</f>
        <v>0</v>
      </c>
      <c r="P25" s="19">
        <f ca="1">F25-N25</f>
        <v>-6</v>
      </c>
    </row>
    <row r="26" spans="5:16" x14ac:dyDescent="0.2">
      <c r="E26" s="18"/>
      <c r="F26" s="11">
        <f ca="1">DATEDIF(F22,TODAY(),"md")</f>
        <v>30</v>
      </c>
      <c r="G26" s="12"/>
      <c r="H26" s="11">
        <f>DATEDIF(F22,H22,"md")</f>
        <v>5</v>
      </c>
      <c r="I26" s="20"/>
      <c r="J26" s="12"/>
      <c r="K26" s="11">
        <f>DATEDIF(F22,K22,"md")</f>
        <v>24</v>
      </c>
      <c r="L26" s="20"/>
      <c r="M26" s="12"/>
      <c r="N26" s="11">
        <f ca="1">DATEDIF(N22,TODAY(),"md")</f>
        <v>20</v>
      </c>
      <c r="O26" s="11">
        <f>DATEDIF(N22,O22,"md")</f>
        <v>14</v>
      </c>
      <c r="P26" s="19">
        <f ca="1">F26-N26</f>
        <v>10</v>
      </c>
    </row>
    <row r="27" spans="5:16" x14ac:dyDescent="0.25">
      <c r="E27" s="1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7"/>
    </row>
    <row r="28" spans="5:16" x14ac:dyDescent="0.25"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4"/>
    </row>
    <row r="32" spans="5:16" x14ac:dyDescent="0.2">
      <c r="F32" s="13">
        <v>30680</v>
      </c>
    </row>
    <row r="33" spans="3:15" x14ac:dyDescent="0.25">
      <c r="F33" s="12"/>
    </row>
    <row r="34" spans="3:15" x14ac:dyDescent="0.2">
      <c r="F34" s="11">
        <f ca="1">DATEDIF(F32,TODAY(),"y")</f>
        <v>41</v>
      </c>
    </row>
    <row r="35" spans="3:15" x14ac:dyDescent="0.2">
      <c r="E35" s="9"/>
      <c r="F35" s="11">
        <f ca="1">DATEDIF(F32,TODAY(),"ym")</f>
        <v>1</v>
      </c>
      <c r="G35" s="9"/>
      <c r="H35" s="9"/>
      <c r="I35" s="9"/>
      <c r="J35" s="9"/>
      <c r="K35" s="9"/>
      <c r="L35" s="9"/>
      <c r="M35" s="9"/>
      <c r="N35" s="9"/>
      <c r="O35" s="9"/>
    </row>
    <row r="36" spans="3:15" x14ac:dyDescent="0.2">
      <c r="E36" s="9"/>
      <c r="F36" s="11">
        <f ca="1">DATEDIF(F32,TODAY(),"md")</f>
        <v>28</v>
      </c>
      <c r="G36" s="9"/>
      <c r="H36" s="9"/>
      <c r="I36" s="9"/>
      <c r="J36" s="9"/>
      <c r="K36" s="9"/>
      <c r="L36" s="103">
        <v>30953</v>
      </c>
      <c r="M36" s="103">
        <v>30953</v>
      </c>
      <c r="N36" s="9"/>
      <c r="O36" s="9"/>
    </row>
    <row r="37" spans="3:15" x14ac:dyDescent="0.25">
      <c r="L37" s="104">
        <v>35889</v>
      </c>
      <c r="M37" s="104">
        <v>35889</v>
      </c>
    </row>
    <row r="38" spans="3:15" x14ac:dyDescent="0.25">
      <c r="L38" s="105">
        <f>DATEDIF(L36,L37,("Y"))</f>
        <v>13</v>
      </c>
      <c r="M38" s="105">
        <f>DATEDIF(M36,M37,("MD"))</f>
        <v>7</v>
      </c>
    </row>
    <row r="40" spans="3:15" x14ac:dyDescent="0.2">
      <c r="F40" s="13">
        <v>30951</v>
      </c>
    </row>
    <row r="41" spans="3:15" x14ac:dyDescent="0.25">
      <c r="F41" s="12"/>
    </row>
    <row r="42" spans="3:15" x14ac:dyDescent="0.2">
      <c r="F42" s="11">
        <f ca="1">DATEDIF(F40,TODAY(),"y")</f>
        <v>40</v>
      </c>
    </row>
    <row r="43" spans="3:15" x14ac:dyDescent="0.2">
      <c r="F43" s="11">
        <f ca="1">DATEDIF(F40,TODAY(),"ym")</f>
        <v>5</v>
      </c>
    </row>
    <row r="44" spans="3:15" x14ac:dyDescent="0.2">
      <c r="F44" s="11">
        <f ca="1">DATEDIF(F40,TODAY(),"md")</f>
        <v>1</v>
      </c>
    </row>
    <row r="45" spans="3:15" x14ac:dyDescent="0.25">
      <c r="F45" s="27"/>
    </row>
    <row r="46" spans="3:15" x14ac:dyDescent="0.25">
      <c r="C46" s="9">
        <v>1</v>
      </c>
    </row>
    <row r="47" spans="3:15" x14ac:dyDescent="0.25">
      <c r="C47" s="9">
        <v>2</v>
      </c>
    </row>
    <row r="48" spans="3:15" x14ac:dyDescent="0.25">
      <c r="C48" s="9">
        <v>3</v>
      </c>
      <c r="E48" s="27">
        <v>100000</v>
      </c>
    </row>
    <row r="49" spans="3:6" x14ac:dyDescent="0.25">
      <c r="C49" s="9">
        <v>4</v>
      </c>
      <c r="E49" s="27">
        <v>100000</v>
      </c>
    </row>
    <row r="50" spans="3:6" x14ac:dyDescent="0.25">
      <c r="C50" s="9">
        <v>5</v>
      </c>
      <c r="E50" s="27">
        <v>100000</v>
      </c>
    </row>
    <row r="51" spans="3:6" x14ac:dyDescent="0.25">
      <c r="C51" s="9">
        <v>6</v>
      </c>
      <c r="E51" s="27">
        <v>100000</v>
      </c>
    </row>
    <row r="52" spans="3:6" x14ac:dyDescent="0.25">
      <c r="C52" s="9">
        <v>7</v>
      </c>
      <c r="E52" s="27">
        <v>100000</v>
      </c>
    </row>
    <row r="53" spans="3:6" x14ac:dyDescent="0.25">
      <c r="C53" s="9">
        <v>8</v>
      </c>
      <c r="E53" s="27">
        <v>100000</v>
      </c>
    </row>
    <row r="54" spans="3:6" x14ac:dyDescent="0.25">
      <c r="C54" s="9">
        <v>9</v>
      </c>
      <c r="E54" s="27">
        <v>100000</v>
      </c>
    </row>
    <row r="55" spans="3:6" x14ac:dyDescent="0.25">
      <c r="C55" s="9">
        <v>10</v>
      </c>
      <c r="E55" s="27">
        <v>100000</v>
      </c>
    </row>
    <row r="56" spans="3:6" x14ac:dyDescent="0.25">
      <c r="C56" s="9">
        <v>11</v>
      </c>
      <c r="E56" s="27">
        <v>100000</v>
      </c>
    </row>
    <row r="57" spans="3:6" x14ac:dyDescent="0.25">
      <c r="C57" s="9">
        <v>12</v>
      </c>
      <c r="E57" s="27">
        <v>100000</v>
      </c>
    </row>
    <row r="58" spans="3:6" x14ac:dyDescent="0.25">
      <c r="E58" s="27">
        <v>100000</v>
      </c>
      <c r="F58" s="27"/>
    </row>
    <row r="59" spans="3:6" x14ac:dyDescent="0.25">
      <c r="E59" s="27">
        <v>100000</v>
      </c>
      <c r="F59" s="27"/>
    </row>
    <row r="60" spans="3:6" x14ac:dyDescent="0.25">
      <c r="E60" s="27">
        <v>100000</v>
      </c>
      <c r="F60" s="27"/>
    </row>
    <row r="61" spans="3:6" x14ac:dyDescent="0.25">
      <c r="E61" s="27">
        <v>100000</v>
      </c>
      <c r="F61" s="27"/>
    </row>
    <row r="62" spans="3:6" x14ac:dyDescent="0.25">
      <c r="E62" s="27">
        <v>100000</v>
      </c>
      <c r="F62" s="2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8"/>
  <sheetViews>
    <sheetView workbookViewId="0">
      <selection activeCell="G4" sqref="G4"/>
    </sheetView>
  </sheetViews>
  <sheetFormatPr defaultRowHeight="15" x14ac:dyDescent="0.25"/>
  <cols>
    <col min="1" max="1" width="10.85546875" style="32" bestFit="1" customWidth="1"/>
    <col min="2" max="2" width="9.42578125" style="32" bestFit="1" customWidth="1"/>
    <col min="3" max="3" width="10.140625" style="32" bestFit="1" customWidth="1"/>
    <col min="4" max="4" width="13.28515625" style="34" bestFit="1" customWidth="1"/>
    <col min="5" max="5" width="17.5703125" style="106" bestFit="1" customWidth="1"/>
    <col min="6" max="6" width="9.85546875" style="34" customWidth="1"/>
    <col min="7" max="7" width="13.42578125" style="32" customWidth="1"/>
    <col min="8" max="8" width="13.42578125" style="32" bestFit="1" customWidth="1"/>
    <col min="9" max="9" width="11.5703125" style="32" bestFit="1" customWidth="1"/>
    <col min="10" max="10" width="13.42578125" style="32" bestFit="1" customWidth="1"/>
    <col min="11" max="11" width="9.5703125" style="32" bestFit="1" customWidth="1"/>
    <col min="12" max="16384" width="9.140625" style="32"/>
  </cols>
  <sheetData>
    <row r="1" spans="1:10" x14ac:dyDescent="0.25">
      <c r="G1" s="42" t="s">
        <v>44</v>
      </c>
      <c r="H1" s="42" t="s">
        <v>45</v>
      </c>
      <c r="I1" s="42" t="s">
        <v>46</v>
      </c>
      <c r="J1" s="42" t="s">
        <v>47</v>
      </c>
    </row>
    <row r="2" spans="1:10" s="29" customFormat="1" x14ac:dyDescent="0.25">
      <c r="A2" s="29" t="s">
        <v>48</v>
      </c>
      <c r="B2" s="29" t="s">
        <v>49</v>
      </c>
      <c r="C2" s="30" t="s">
        <v>41</v>
      </c>
      <c r="D2" s="31" t="s">
        <v>36</v>
      </c>
      <c r="E2" s="107" t="s">
        <v>50</v>
      </c>
      <c r="F2" s="31" t="s">
        <v>320</v>
      </c>
    </row>
    <row r="3" spans="1:10" x14ac:dyDescent="0.25">
      <c r="A3" s="32" t="s">
        <v>51</v>
      </c>
      <c r="B3" s="32">
        <v>4001</v>
      </c>
      <c r="C3" s="33">
        <v>42927</v>
      </c>
      <c r="D3" s="34">
        <v>50000</v>
      </c>
      <c r="E3" s="106">
        <f t="shared" ref="E3:E14" ca="1" si="0">IF(TODAY()&gt;C3,TODAY()-C3,0)</f>
        <v>2788</v>
      </c>
      <c r="F3" s="34">
        <f t="shared" ref="F3:F14" ca="1" si="1">IF(E3=0,D3,0)</f>
        <v>0</v>
      </c>
      <c r="G3" s="34">
        <f ca="1">IF(C3&lt;TODAY(),IF(TODAY()-C3&lt;=30,D3,0),0)</f>
        <v>0</v>
      </c>
      <c r="H3" s="34">
        <f ca="1">IF(AND(TODAY()-C3&lt;=60,TODAY()-C3&gt;30),D3,0)</f>
        <v>0</v>
      </c>
      <c r="I3" s="34">
        <f ca="1">IF(AND(TODAY()-C3&lt;=90,TODAY()-C3&gt;60),D3,0)</f>
        <v>0</v>
      </c>
      <c r="J3" s="34">
        <f ca="1">IF(TODAY()-C3&gt;90,D3,0)</f>
        <v>50000</v>
      </c>
    </row>
    <row r="4" spans="1:10" x14ac:dyDescent="0.25">
      <c r="A4" s="32" t="s">
        <v>52</v>
      </c>
      <c r="B4" s="32">
        <v>4002</v>
      </c>
      <c r="C4" s="33">
        <v>42755</v>
      </c>
      <c r="D4" s="34">
        <v>60000</v>
      </c>
      <c r="E4" s="106">
        <f ca="1">IF(TODAY()&gt;C4,TODAY()-C4,0)</f>
        <v>2960</v>
      </c>
      <c r="F4" s="34">
        <f t="shared" ca="1" si="1"/>
        <v>0</v>
      </c>
      <c r="G4" s="34">
        <f t="shared" ref="G4:G14" ca="1" si="2">IF(C4&lt;TODAY(),IF(TODAY()-C4&lt;=30,D4,0),0)</f>
        <v>0</v>
      </c>
      <c r="H4" s="34">
        <f t="shared" ref="H4:H14" ca="1" si="3">IF(AND(TODAY()-C4&lt;=60,TODAY()-C4&gt;30),D4,0)</f>
        <v>0</v>
      </c>
      <c r="I4" s="34">
        <f t="shared" ref="I4:I14" ca="1" si="4">IF(AND(TODAY()-C4&lt;=90,TODAY()-C4&gt;60),D4,0)</f>
        <v>0</v>
      </c>
      <c r="J4" s="34">
        <f t="shared" ref="J4:J14" ca="1" si="5">IF(TODAY()-C4&gt;90,D4,0)</f>
        <v>60000</v>
      </c>
    </row>
    <row r="5" spans="1:10" x14ac:dyDescent="0.25">
      <c r="A5" s="32" t="s">
        <v>53</v>
      </c>
      <c r="B5" s="32">
        <v>4003</v>
      </c>
      <c r="C5" s="33">
        <v>42945</v>
      </c>
      <c r="D5" s="34">
        <v>36000</v>
      </c>
      <c r="E5" s="106">
        <f ca="1">IF(TODAY()&gt;C5,TODAY()-C5,0)</f>
        <v>2770</v>
      </c>
      <c r="F5" s="34">
        <f t="shared" ca="1" si="1"/>
        <v>0</v>
      </c>
      <c r="G5" s="34">
        <f t="shared" ca="1" si="2"/>
        <v>0</v>
      </c>
      <c r="H5" s="34">
        <f t="shared" ca="1" si="3"/>
        <v>0</v>
      </c>
      <c r="I5" s="34">
        <f t="shared" ca="1" si="4"/>
        <v>0</v>
      </c>
      <c r="J5" s="34">
        <f t="shared" ca="1" si="5"/>
        <v>36000</v>
      </c>
    </row>
    <row r="6" spans="1:10" x14ac:dyDescent="0.25">
      <c r="A6" s="32" t="s">
        <v>54</v>
      </c>
      <c r="B6" s="32">
        <v>4004</v>
      </c>
      <c r="C6" s="33">
        <v>42816</v>
      </c>
      <c r="D6" s="34">
        <v>45000</v>
      </c>
      <c r="E6" s="106">
        <f t="shared" ca="1" si="0"/>
        <v>2899</v>
      </c>
      <c r="F6" s="34">
        <f t="shared" ca="1" si="1"/>
        <v>0</v>
      </c>
      <c r="G6" s="34">
        <f t="shared" ca="1" si="2"/>
        <v>0</v>
      </c>
      <c r="H6" s="34">
        <f t="shared" ca="1" si="3"/>
        <v>0</v>
      </c>
      <c r="I6" s="34">
        <f t="shared" ca="1" si="4"/>
        <v>0</v>
      </c>
      <c r="J6" s="34">
        <f t="shared" ca="1" si="5"/>
        <v>45000</v>
      </c>
    </row>
    <row r="7" spans="1:10" x14ac:dyDescent="0.25">
      <c r="A7" s="32" t="s">
        <v>55</v>
      </c>
      <c r="B7" s="32">
        <v>4005</v>
      </c>
      <c r="C7" s="33">
        <v>42878</v>
      </c>
      <c r="D7" s="34">
        <v>15000</v>
      </c>
      <c r="E7" s="106">
        <f t="shared" ca="1" si="0"/>
        <v>2837</v>
      </c>
      <c r="F7" s="34">
        <f t="shared" ca="1" si="1"/>
        <v>0</v>
      </c>
      <c r="G7" s="34">
        <f t="shared" ca="1" si="2"/>
        <v>0</v>
      </c>
      <c r="H7" s="34">
        <f t="shared" ca="1" si="3"/>
        <v>0</v>
      </c>
      <c r="I7" s="34">
        <f t="shared" ca="1" si="4"/>
        <v>0</v>
      </c>
      <c r="J7" s="34">
        <f t="shared" ca="1" si="5"/>
        <v>15000</v>
      </c>
    </row>
    <row r="8" spans="1:10" x14ac:dyDescent="0.25">
      <c r="A8" s="32" t="s">
        <v>56</v>
      </c>
      <c r="B8" s="32">
        <v>4006</v>
      </c>
      <c r="C8" s="33">
        <v>42936</v>
      </c>
      <c r="D8" s="34">
        <v>62000</v>
      </c>
      <c r="E8" s="106">
        <f t="shared" ca="1" si="0"/>
        <v>2779</v>
      </c>
      <c r="F8" s="34">
        <f t="shared" ca="1" si="1"/>
        <v>0</v>
      </c>
      <c r="G8" s="34">
        <f t="shared" ca="1" si="2"/>
        <v>0</v>
      </c>
      <c r="H8" s="34">
        <f t="shared" ca="1" si="3"/>
        <v>0</v>
      </c>
      <c r="I8" s="34">
        <f t="shared" ca="1" si="4"/>
        <v>0</v>
      </c>
      <c r="J8" s="34">
        <f t="shared" ca="1" si="5"/>
        <v>62000</v>
      </c>
    </row>
    <row r="9" spans="1:10" x14ac:dyDescent="0.25">
      <c r="A9" s="32" t="s">
        <v>57</v>
      </c>
      <c r="B9" s="32">
        <v>4007</v>
      </c>
      <c r="C9" s="33">
        <v>42911</v>
      </c>
      <c r="D9" s="34">
        <v>63000</v>
      </c>
      <c r="E9" s="106">
        <f t="shared" ca="1" si="0"/>
        <v>2804</v>
      </c>
      <c r="F9" s="34">
        <f t="shared" ca="1" si="1"/>
        <v>0</v>
      </c>
      <c r="G9" s="34">
        <f t="shared" ca="1" si="2"/>
        <v>0</v>
      </c>
      <c r="H9" s="34">
        <f t="shared" ca="1" si="3"/>
        <v>0</v>
      </c>
      <c r="I9" s="34">
        <f t="shared" ca="1" si="4"/>
        <v>0</v>
      </c>
      <c r="J9" s="34">
        <f t="shared" ca="1" si="5"/>
        <v>63000</v>
      </c>
    </row>
    <row r="10" spans="1:10" x14ac:dyDescent="0.25">
      <c r="A10" s="32" t="s">
        <v>58</v>
      </c>
      <c r="B10" s="32">
        <v>4008</v>
      </c>
      <c r="C10" s="33">
        <v>42820</v>
      </c>
      <c r="D10" s="34">
        <v>100000</v>
      </c>
      <c r="E10" s="106">
        <f t="shared" ca="1" si="0"/>
        <v>2895</v>
      </c>
      <c r="F10" s="34">
        <f t="shared" ca="1" si="1"/>
        <v>0</v>
      </c>
      <c r="G10" s="34">
        <f t="shared" ca="1" si="2"/>
        <v>0</v>
      </c>
      <c r="H10" s="34">
        <f t="shared" ca="1" si="3"/>
        <v>0</v>
      </c>
      <c r="I10" s="34">
        <f t="shared" ca="1" si="4"/>
        <v>0</v>
      </c>
      <c r="J10" s="34">
        <f t="shared" ca="1" si="5"/>
        <v>100000</v>
      </c>
    </row>
    <row r="11" spans="1:10" x14ac:dyDescent="0.25">
      <c r="A11" s="32" t="s">
        <v>59</v>
      </c>
      <c r="B11" s="32">
        <v>4009</v>
      </c>
      <c r="C11" s="35">
        <v>42974</v>
      </c>
      <c r="D11" s="34">
        <v>5000</v>
      </c>
      <c r="E11" s="106">
        <f t="shared" ca="1" si="0"/>
        <v>2741</v>
      </c>
      <c r="F11" s="34">
        <f ca="1">IF(E11=0,D11,0)</f>
        <v>0</v>
      </c>
      <c r="G11" s="34">
        <f ca="1">IF(C11&lt;TODAY(),IF(TODAY()-C11&lt;=30,D11,0),0)</f>
        <v>0</v>
      </c>
      <c r="H11" s="34">
        <f t="shared" ca="1" si="3"/>
        <v>0</v>
      </c>
      <c r="I11" s="34">
        <f t="shared" ca="1" si="4"/>
        <v>0</v>
      </c>
      <c r="J11" s="34">
        <f t="shared" ca="1" si="5"/>
        <v>5000</v>
      </c>
    </row>
    <row r="12" spans="1:10" x14ac:dyDescent="0.25">
      <c r="A12" s="32" t="s">
        <v>60</v>
      </c>
      <c r="B12" s="32">
        <v>4010</v>
      </c>
      <c r="C12" s="33">
        <v>42794</v>
      </c>
      <c r="D12" s="34">
        <v>99000</v>
      </c>
      <c r="E12" s="106">
        <f t="shared" ca="1" si="0"/>
        <v>2921</v>
      </c>
      <c r="F12" s="34">
        <f t="shared" ca="1" si="1"/>
        <v>0</v>
      </c>
      <c r="G12" s="34">
        <f t="shared" ca="1" si="2"/>
        <v>0</v>
      </c>
      <c r="H12" s="34">
        <f t="shared" ca="1" si="3"/>
        <v>0</v>
      </c>
      <c r="I12" s="34">
        <f t="shared" ca="1" si="4"/>
        <v>0</v>
      </c>
      <c r="J12" s="34">
        <f t="shared" ca="1" si="5"/>
        <v>99000</v>
      </c>
    </row>
    <row r="13" spans="1:10" x14ac:dyDescent="0.25">
      <c r="A13" s="32" t="s">
        <v>61</v>
      </c>
      <c r="B13" s="32">
        <v>4011</v>
      </c>
      <c r="C13" s="33">
        <v>42936</v>
      </c>
      <c r="D13" s="34">
        <v>86000</v>
      </c>
      <c r="E13" s="106">
        <f t="shared" ca="1" si="0"/>
        <v>2779</v>
      </c>
      <c r="F13" s="34">
        <f t="shared" ca="1" si="1"/>
        <v>0</v>
      </c>
      <c r="G13" s="34">
        <f t="shared" ca="1" si="2"/>
        <v>0</v>
      </c>
      <c r="H13" s="34">
        <f t="shared" ca="1" si="3"/>
        <v>0</v>
      </c>
      <c r="I13" s="34">
        <f t="shared" ca="1" si="4"/>
        <v>0</v>
      </c>
      <c r="J13" s="34">
        <f t="shared" ca="1" si="5"/>
        <v>86000</v>
      </c>
    </row>
    <row r="14" spans="1:10" x14ac:dyDescent="0.25">
      <c r="A14" s="32" t="s">
        <v>62</v>
      </c>
      <c r="B14" s="32">
        <v>4012</v>
      </c>
      <c r="C14" s="33">
        <v>42957</v>
      </c>
      <c r="D14" s="34">
        <v>22000</v>
      </c>
      <c r="E14" s="106">
        <f t="shared" ca="1" si="0"/>
        <v>2758</v>
      </c>
      <c r="F14" s="34">
        <f t="shared" ca="1" si="1"/>
        <v>0</v>
      </c>
      <c r="G14" s="34">
        <f t="shared" ca="1" si="2"/>
        <v>0</v>
      </c>
      <c r="H14" s="34">
        <f t="shared" ca="1" si="3"/>
        <v>0</v>
      </c>
      <c r="I14" s="34">
        <f t="shared" ca="1" si="4"/>
        <v>0</v>
      </c>
      <c r="J14" s="34">
        <f t="shared" ca="1" si="5"/>
        <v>22000</v>
      </c>
    </row>
    <row r="15" spans="1:10" s="37" customFormat="1" ht="15.75" thickBot="1" x14ac:dyDescent="0.3">
      <c r="D15" s="36">
        <f>SUM(D3:D14)</f>
        <v>643000</v>
      </c>
      <c r="E15" s="108"/>
      <c r="F15" s="43">
        <f ca="1">SUM(F3:F14)</f>
        <v>0</v>
      </c>
      <c r="G15" s="43">
        <f t="shared" ref="G15:J15" ca="1" si="6">SUM(G3:G14)</f>
        <v>0</v>
      </c>
      <c r="H15" s="43">
        <f t="shared" ca="1" si="6"/>
        <v>0</v>
      </c>
      <c r="I15" s="43">
        <f t="shared" ca="1" si="6"/>
        <v>0</v>
      </c>
      <c r="J15" s="43">
        <f t="shared" ca="1" si="6"/>
        <v>643000</v>
      </c>
    </row>
    <row r="16" spans="1:10" ht="15.75" thickTop="1" x14ac:dyDescent="0.25">
      <c r="G16" s="34"/>
      <c r="H16" s="34"/>
      <c r="I16" s="34"/>
      <c r="J16" s="34"/>
    </row>
    <row r="17" spans="1:11" x14ac:dyDescent="0.25">
      <c r="G17" s="34"/>
      <c r="H17" s="34"/>
      <c r="I17" s="34"/>
      <c r="J17" s="34"/>
    </row>
    <row r="21" spans="1:11" x14ac:dyDescent="0.25">
      <c r="G21" s="42" t="s">
        <v>44</v>
      </c>
      <c r="H21" s="42" t="s">
        <v>45</v>
      </c>
      <c r="I21" s="42" t="s">
        <v>46</v>
      </c>
      <c r="J21" s="42" t="s">
        <v>47</v>
      </c>
    </row>
    <row r="22" spans="1:11" x14ac:dyDescent="0.25">
      <c r="A22" s="29" t="s">
        <v>48</v>
      </c>
      <c r="B22" s="29" t="s">
        <v>49</v>
      </c>
      <c r="C22" s="30" t="s">
        <v>41</v>
      </c>
      <c r="D22" s="31" t="s">
        <v>36</v>
      </c>
      <c r="E22" s="107" t="s">
        <v>50</v>
      </c>
      <c r="F22" s="31" t="s">
        <v>320</v>
      </c>
      <c r="G22" s="29"/>
      <c r="H22" s="29"/>
      <c r="I22" s="29"/>
      <c r="J22" s="29"/>
      <c r="K22" s="29"/>
    </row>
    <row r="23" spans="1:11" x14ac:dyDescent="0.25">
      <c r="A23" s="32" t="s">
        <v>51</v>
      </c>
      <c r="B23" s="32">
        <v>4001</v>
      </c>
      <c r="C23" s="33">
        <v>42927</v>
      </c>
      <c r="D23" s="34">
        <v>50000</v>
      </c>
      <c r="E23" s="106">
        <f t="shared" ref="E23" ca="1" si="7">IF(TODAY()&gt;C23,TODAY()-C23,0)</f>
        <v>2788</v>
      </c>
      <c r="F23" s="34">
        <f t="shared" ref="F23:F30" ca="1" si="8">IF(E23=0,D23,0)</f>
        <v>0</v>
      </c>
      <c r="G23" s="34">
        <f ca="1">IF(C23&lt;TODAY(),IF(TODAY()-C23&lt;=30,D23,0),0)</f>
        <v>0</v>
      </c>
      <c r="H23" s="34">
        <f ca="1">IF(AND(TODAY()-C23&lt;=60,TODAY()-C23&gt;30),D23,0)</f>
        <v>0</v>
      </c>
      <c r="I23" s="34">
        <f ca="1">IF(AND(TODAY()-C23&lt;=90,TODAY()-C23&gt;60),D23,0)</f>
        <v>0</v>
      </c>
      <c r="J23" s="34">
        <f ca="1">IF(TODAY()-C23&gt;90,D23,0)</f>
        <v>50000</v>
      </c>
      <c r="K23" s="34">
        <f ca="1">IF(TODAY()-C23&gt;180,D23,0)</f>
        <v>50000</v>
      </c>
    </row>
    <row r="24" spans="1:11" x14ac:dyDescent="0.25">
      <c r="A24" s="32" t="s">
        <v>52</v>
      </c>
      <c r="B24" s="32">
        <v>4002</v>
      </c>
      <c r="C24" s="33">
        <v>42755</v>
      </c>
      <c r="D24" s="34">
        <v>60000</v>
      </c>
      <c r="E24" s="106">
        <f ca="1">IF(TODAY()&gt;C24,TODAY()-C24,0)</f>
        <v>2960</v>
      </c>
      <c r="F24" s="34">
        <f t="shared" ca="1" si="8"/>
        <v>0</v>
      </c>
      <c r="G24" s="34">
        <f t="shared" ref="G24:G30" ca="1" si="9">IF(C24&lt;TODAY(),IF(TODAY()-C24&lt;=30,D24,0),0)</f>
        <v>0</v>
      </c>
      <c r="H24" s="34">
        <f t="shared" ref="H24:H34" ca="1" si="10">IF(AND(TODAY()-C24&lt;=60,TODAY()-C24&gt;30),D24,0)</f>
        <v>0</v>
      </c>
      <c r="I24" s="34">
        <f t="shared" ref="I24:I34" ca="1" si="11">IF(AND(TODAY()-C24&lt;=90,TODAY()-C24&gt;60),D24,0)</f>
        <v>0</v>
      </c>
      <c r="J24" s="34">
        <f t="shared" ref="J24:J34" ca="1" si="12">IF(TODAY()-C24&gt;90,D24,0)</f>
        <v>60000</v>
      </c>
    </row>
    <row r="25" spans="1:11" x14ac:dyDescent="0.25">
      <c r="A25" s="32" t="s">
        <v>53</v>
      </c>
      <c r="B25" s="32">
        <v>4003</v>
      </c>
      <c r="C25" s="33">
        <v>42945</v>
      </c>
      <c r="D25" s="34">
        <v>36000</v>
      </c>
      <c r="E25" s="106">
        <f ca="1">IF(TODAY()&gt;C25,TODAY()-C25,0)</f>
        <v>2770</v>
      </c>
      <c r="F25" s="34">
        <f t="shared" ca="1" si="8"/>
        <v>0</v>
      </c>
      <c r="G25" s="34">
        <f t="shared" ca="1" si="9"/>
        <v>0</v>
      </c>
      <c r="H25" s="34">
        <f t="shared" ca="1" si="10"/>
        <v>0</v>
      </c>
      <c r="I25" s="34">
        <f t="shared" ca="1" si="11"/>
        <v>0</v>
      </c>
      <c r="J25" s="34">
        <f t="shared" ca="1" si="12"/>
        <v>36000</v>
      </c>
    </row>
    <row r="26" spans="1:11" x14ac:dyDescent="0.25">
      <c r="A26" s="32" t="s">
        <v>54</v>
      </c>
      <c r="B26" s="32">
        <v>4004</v>
      </c>
      <c r="C26" s="33">
        <v>42816</v>
      </c>
      <c r="D26" s="34">
        <v>45000</v>
      </c>
      <c r="E26" s="106">
        <f t="shared" ref="E26:E34" ca="1" si="13">IF(TODAY()&gt;C26,TODAY()-C26,0)</f>
        <v>2899</v>
      </c>
      <c r="F26" s="34">
        <f t="shared" ca="1" si="8"/>
        <v>0</v>
      </c>
      <c r="G26" s="34">
        <f t="shared" ca="1" si="9"/>
        <v>0</v>
      </c>
      <c r="H26" s="34">
        <f t="shared" ca="1" si="10"/>
        <v>0</v>
      </c>
      <c r="I26" s="34">
        <f t="shared" ca="1" si="11"/>
        <v>0</v>
      </c>
      <c r="J26" s="34">
        <f t="shared" ca="1" si="12"/>
        <v>45000</v>
      </c>
    </row>
    <row r="27" spans="1:11" x14ac:dyDescent="0.25">
      <c r="A27" s="32" t="s">
        <v>55</v>
      </c>
      <c r="B27" s="32">
        <v>4005</v>
      </c>
      <c r="C27" s="33">
        <v>42878</v>
      </c>
      <c r="D27" s="34">
        <v>15000</v>
      </c>
      <c r="E27" s="106">
        <f t="shared" ca="1" si="13"/>
        <v>2837</v>
      </c>
      <c r="F27" s="34">
        <f t="shared" ca="1" si="8"/>
        <v>0</v>
      </c>
      <c r="G27" s="34">
        <f t="shared" ca="1" si="9"/>
        <v>0</v>
      </c>
      <c r="H27" s="34">
        <f t="shared" ca="1" si="10"/>
        <v>0</v>
      </c>
      <c r="I27" s="34">
        <f t="shared" ca="1" si="11"/>
        <v>0</v>
      </c>
      <c r="J27" s="34">
        <f t="shared" ca="1" si="12"/>
        <v>15000</v>
      </c>
    </row>
    <row r="28" spans="1:11" x14ac:dyDescent="0.25">
      <c r="A28" s="32" t="s">
        <v>56</v>
      </c>
      <c r="B28" s="32">
        <v>4006</v>
      </c>
      <c r="C28" s="33">
        <v>42936</v>
      </c>
      <c r="D28" s="34">
        <v>62000</v>
      </c>
      <c r="E28" s="106">
        <f t="shared" ca="1" si="13"/>
        <v>2779</v>
      </c>
      <c r="F28" s="34">
        <f t="shared" ca="1" si="8"/>
        <v>0</v>
      </c>
      <c r="G28" s="34">
        <f t="shared" ca="1" si="9"/>
        <v>0</v>
      </c>
      <c r="H28" s="34">
        <f t="shared" ca="1" si="10"/>
        <v>0</v>
      </c>
      <c r="I28" s="34">
        <f t="shared" ca="1" si="11"/>
        <v>0</v>
      </c>
      <c r="J28" s="34">
        <f t="shared" ca="1" si="12"/>
        <v>62000</v>
      </c>
    </row>
    <row r="29" spans="1:11" x14ac:dyDescent="0.25">
      <c r="A29" s="32" t="s">
        <v>57</v>
      </c>
      <c r="B29" s="32">
        <v>4007</v>
      </c>
      <c r="C29" s="33">
        <v>42911</v>
      </c>
      <c r="D29" s="34">
        <v>63000</v>
      </c>
      <c r="E29" s="106">
        <f t="shared" ca="1" si="13"/>
        <v>2804</v>
      </c>
      <c r="F29" s="34">
        <f t="shared" ca="1" si="8"/>
        <v>0</v>
      </c>
      <c r="G29" s="34">
        <f t="shared" ca="1" si="9"/>
        <v>0</v>
      </c>
      <c r="H29" s="34">
        <f t="shared" ca="1" si="10"/>
        <v>0</v>
      </c>
      <c r="I29" s="34">
        <f t="shared" ca="1" si="11"/>
        <v>0</v>
      </c>
      <c r="J29" s="34">
        <f t="shared" ca="1" si="12"/>
        <v>63000</v>
      </c>
    </row>
    <row r="30" spans="1:11" x14ac:dyDescent="0.25">
      <c r="A30" s="32" t="s">
        <v>58</v>
      </c>
      <c r="B30" s="32">
        <v>4008</v>
      </c>
      <c r="C30" s="33">
        <v>42820</v>
      </c>
      <c r="D30" s="34">
        <v>100000</v>
      </c>
      <c r="E30" s="106">
        <f t="shared" ca="1" si="13"/>
        <v>2895</v>
      </c>
      <c r="F30" s="34">
        <f t="shared" ca="1" si="8"/>
        <v>0</v>
      </c>
      <c r="G30" s="34">
        <f t="shared" ca="1" si="9"/>
        <v>0</v>
      </c>
      <c r="H30" s="34">
        <f t="shared" ca="1" si="10"/>
        <v>0</v>
      </c>
      <c r="I30" s="34">
        <f t="shared" ca="1" si="11"/>
        <v>0</v>
      </c>
      <c r="J30" s="34">
        <f t="shared" ca="1" si="12"/>
        <v>100000</v>
      </c>
    </row>
    <row r="31" spans="1:11" x14ac:dyDescent="0.25">
      <c r="A31" s="32" t="s">
        <v>59</v>
      </c>
      <c r="B31" s="32">
        <v>4009</v>
      </c>
      <c r="C31" s="35">
        <v>42974</v>
      </c>
      <c r="D31" s="34">
        <v>5000</v>
      </c>
      <c r="E31" s="106">
        <f t="shared" ca="1" si="13"/>
        <v>2741</v>
      </c>
      <c r="F31" s="34">
        <f ca="1">IF(E31=0,D31,0)</f>
        <v>0</v>
      </c>
      <c r="G31" s="34">
        <f ca="1">IF(C31&lt;TODAY(),IF(TODAY()-C31&lt;=30,D31,0),0)</f>
        <v>0</v>
      </c>
      <c r="H31" s="34">
        <f t="shared" ca="1" si="10"/>
        <v>0</v>
      </c>
      <c r="I31" s="34">
        <f t="shared" ca="1" si="11"/>
        <v>0</v>
      </c>
      <c r="J31" s="34">
        <f t="shared" ca="1" si="12"/>
        <v>5000</v>
      </c>
    </row>
    <row r="32" spans="1:11" x14ac:dyDescent="0.25">
      <c r="A32" s="32" t="s">
        <v>60</v>
      </c>
      <c r="B32" s="32">
        <v>4010</v>
      </c>
      <c r="C32" s="33">
        <v>42794</v>
      </c>
      <c r="D32" s="34">
        <v>99000</v>
      </c>
      <c r="E32" s="106">
        <f t="shared" ca="1" si="13"/>
        <v>2921</v>
      </c>
      <c r="F32" s="34">
        <f t="shared" ref="F32:F34" ca="1" si="14">IF(E32=0,D32,0)</f>
        <v>0</v>
      </c>
      <c r="G32" s="34">
        <f t="shared" ref="G32:G34" ca="1" si="15">IF(C32&lt;TODAY(),IF(TODAY()-C32&lt;=30,D32,0),0)</f>
        <v>0</v>
      </c>
      <c r="H32" s="34">
        <f t="shared" ca="1" si="10"/>
        <v>0</v>
      </c>
      <c r="I32" s="34">
        <f t="shared" ca="1" si="11"/>
        <v>0</v>
      </c>
      <c r="J32" s="34">
        <f t="shared" ca="1" si="12"/>
        <v>99000</v>
      </c>
    </row>
    <row r="33" spans="1:11" x14ac:dyDescent="0.25">
      <c r="A33" s="32" t="s">
        <v>61</v>
      </c>
      <c r="B33" s="32">
        <v>4011</v>
      </c>
      <c r="C33" s="33">
        <v>42936</v>
      </c>
      <c r="D33" s="34">
        <v>86000</v>
      </c>
      <c r="E33" s="106">
        <f t="shared" ca="1" si="13"/>
        <v>2779</v>
      </c>
      <c r="F33" s="34">
        <f t="shared" ca="1" si="14"/>
        <v>0</v>
      </c>
      <c r="G33" s="34">
        <f t="shared" ca="1" si="15"/>
        <v>0</v>
      </c>
      <c r="H33" s="34">
        <f t="shared" ca="1" si="10"/>
        <v>0</v>
      </c>
      <c r="I33" s="34">
        <f t="shared" ca="1" si="11"/>
        <v>0</v>
      </c>
      <c r="J33" s="34">
        <f t="shared" ca="1" si="12"/>
        <v>86000</v>
      </c>
    </row>
    <row r="34" spans="1:11" x14ac:dyDescent="0.25">
      <c r="A34" s="32" t="s">
        <v>62</v>
      </c>
      <c r="B34" s="32">
        <v>4012</v>
      </c>
      <c r="C34" s="33">
        <v>42957</v>
      </c>
      <c r="D34" s="34">
        <v>22000</v>
      </c>
      <c r="E34" s="106">
        <f t="shared" ca="1" si="13"/>
        <v>2758</v>
      </c>
      <c r="F34" s="34">
        <f t="shared" ca="1" si="14"/>
        <v>0</v>
      </c>
      <c r="G34" s="34">
        <f t="shared" ca="1" si="15"/>
        <v>0</v>
      </c>
      <c r="H34" s="34">
        <f t="shared" ca="1" si="10"/>
        <v>0</v>
      </c>
      <c r="I34" s="34">
        <f t="shared" ca="1" si="11"/>
        <v>0</v>
      </c>
      <c r="J34" s="34">
        <f t="shared" ca="1" si="12"/>
        <v>22000</v>
      </c>
    </row>
    <row r="35" spans="1:11" ht="15.75" thickBot="1" x14ac:dyDescent="0.3">
      <c r="A35" s="37"/>
      <c r="B35" s="37"/>
      <c r="C35" s="37"/>
      <c r="D35" s="36">
        <f>SUM(D23:D34)</f>
        <v>643000</v>
      </c>
      <c r="E35" s="108"/>
      <c r="F35" s="43">
        <f ca="1">SUM(F23:F34)</f>
        <v>0</v>
      </c>
      <c r="G35" s="43">
        <f t="shared" ref="G35:J35" ca="1" si="16">SUM(G23:G34)</f>
        <v>0</v>
      </c>
      <c r="H35" s="43">
        <f t="shared" ca="1" si="16"/>
        <v>0</v>
      </c>
      <c r="I35" s="43">
        <f t="shared" ca="1" si="16"/>
        <v>0</v>
      </c>
      <c r="J35" s="43">
        <f t="shared" ca="1" si="16"/>
        <v>643000</v>
      </c>
      <c r="K35" s="37"/>
    </row>
    <row r="36" spans="1:11" ht="15.75" thickTop="1" x14ac:dyDescent="0.25">
      <c r="G36" s="34"/>
      <c r="H36" s="34"/>
      <c r="I36" s="34"/>
      <c r="J36" s="34"/>
    </row>
    <row r="40" spans="1:11" x14ac:dyDescent="0.25">
      <c r="C40" s="33">
        <v>42736</v>
      </c>
      <c r="F40" s="34" t="s">
        <v>323</v>
      </c>
      <c r="G40" s="42" t="s">
        <v>44</v>
      </c>
      <c r="H40" s="42" t="s">
        <v>45</v>
      </c>
      <c r="I40" s="42" t="s">
        <v>46</v>
      </c>
      <c r="J40" s="32" t="s">
        <v>324</v>
      </c>
      <c r="K40" s="32" t="s">
        <v>325</v>
      </c>
    </row>
    <row r="41" spans="1:11" x14ac:dyDescent="0.25">
      <c r="E41" s="109">
        <v>43039</v>
      </c>
    </row>
    <row r="42" spans="1:11" x14ac:dyDescent="0.25">
      <c r="C42" s="33">
        <v>42736</v>
      </c>
      <c r="D42" s="34">
        <v>50000</v>
      </c>
      <c r="E42" s="106">
        <f>IF($E$41&gt;C42,$E$41-C42,0)</f>
        <v>303</v>
      </c>
      <c r="F42" s="34">
        <f t="shared" ref="F42:F56" si="17">IF(E42=0,D42,0)</f>
        <v>0</v>
      </c>
      <c r="G42" s="34">
        <f>IF(C42&lt;$E$41,IF($E$41-C42&lt;=30,D42,0),0)</f>
        <v>0</v>
      </c>
      <c r="H42" s="34">
        <f>IF(AND($E$41-C42&lt;=60,$E$41-C42&gt;30),D42,0)</f>
        <v>0</v>
      </c>
      <c r="I42" s="34">
        <f>IF(AND($E$41-C42&lt;=90,$E$41-C42&gt;60),D42,0)</f>
        <v>0</v>
      </c>
      <c r="J42" s="34">
        <f>IF(AND($E$41-C42&lt;=180,$E$41-C42&gt;90),D42,0)</f>
        <v>0</v>
      </c>
      <c r="K42" s="34">
        <f>IF($E$41-C42&gt;180,D42,0)</f>
        <v>50000</v>
      </c>
    </row>
    <row r="43" spans="1:11" x14ac:dyDescent="0.25">
      <c r="C43" s="33">
        <v>42755</v>
      </c>
      <c r="D43" s="34">
        <v>60000</v>
      </c>
      <c r="E43" s="106">
        <f t="shared" ref="E43:E56" si="18">IF($E$41&gt;C43,$E$41-C43,0)</f>
        <v>284</v>
      </c>
      <c r="F43" s="34">
        <f t="shared" si="17"/>
        <v>0</v>
      </c>
      <c r="G43" s="34">
        <f t="shared" ref="G43:G56" si="19">IF(C43&lt;$E$41,IF($E$41-C43&lt;=30,D43,0),0)</f>
        <v>0</v>
      </c>
      <c r="H43" s="34">
        <f t="shared" ref="H43:H56" si="20">IF(AND($E$41-C43&lt;=60,$E$41-C43&gt;30),D43,0)</f>
        <v>0</v>
      </c>
      <c r="I43" s="34">
        <f t="shared" ref="I43:I56" si="21">IF(AND($E$41-C43&lt;=90,$E$41-C43&gt;60),D43,0)</f>
        <v>0</v>
      </c>
      <c r="J43" s="34">
        <f t="shared" ref="J43:J56" si="22">IF(AND($E$41-C43&lt;=180,$E$41-C43&gt;90),D43,0)</f>
        <v>0</v>
      </c>
      <c r="K43" s="34">
        <f t="shared" ref="K43:K56" si="23">IF($E$41-C43&gt;180,D43,0)</f>
        <v>60000</v>
      </c>
    </row>
    <row r="44" spans="1:11" x14ac:dyDescent="0.25">
      <c r="C44" s="33">
        <v>42794</v>
      </c>
      <c r="D44" s="34">
        <v>36000</v>
      </c>
      <c r="E44" s="106">
        <f t="shared" si="18"/>
        <v>245</v>
      </c>
      <c r="F44" s="34">
        <f t="shared" si="17"/>
        <v>0</v>
      </c>
      <c r="G44" s="34">
        <f t="shared" si="19"/>
        <v>0</v>
      </c>
      <c r="H44" s="34">
        <f t="shared" si="20"/>
        <v>0</v>
      </c>
      <c r="I44" s="34">
        <f t="shared" si="21"/>
        <v>0</v>
      </c>
      <c r="J44" s="34">
        <f t="shared" si="22"/>
        <v>0</v>
      </c>
      <c r="K44" s="34">
        <f t="shared" si="23"/>
        <v>36000</v>
      </c>
    </row>
    <row r="45" spans="1:11" x14ac:dyDescent="0.25">
      <c r="C45" s="33">
        <v>42816</v>
      </c>
      <c r="D45" s="34">
        <v>45000</v>
      </c>
      <c r="E45" s="106">
        <f t="shared" si="18"/>
        <v>223</v>
      </c>
      <c r="F45" s="34">
        <f t="shared" si="17"/>
        <v>0</v>
      </c>
      <c r="G45" s="34">
        <f t="shared" si="19"/>
        <v>0</v>
      </c>
      <c r="H45" s="34">
        <f t="shared" si="20"/>
        <v>0</v>
      </c>
      <c r="I45" s="34">
        <f t="shared" si="21"/>
        <v>0</v>
      </c>
      <c r="J45" s="34">
        <f t="shared" si="22"/>
        <v>0</v>
      </c>
      <c r="K45" s="34">
        <f t="shared" si="23"/>
        <v>45000</v>
      </c>
    </row>
    <row r="46" spans="1:11" x14ac:dyDescent="0.25">
      <c r="C46" s="33">
        <v>43050</v>
      </c>
      <c r="D46" s="34">
        <v>15000</v>
      </c>
      <c r="E46" s="106">
        <f t="shared" si="18"/>
        <v>0</v>
      </c>
      <c r="F46" s="34">
        <f t="shared" si="17"/>
        <v>15000</v>
      </c>
      <c r="G46" s="34">
        <f t="shared" si="19"/>
        <v>0</v>
      </c>
      <c r="H46" s="34">
        <f t="shared" si="20"/>
        <v>0</v>
      </c>
      <c r="I46" s="34">
        <f t="shared" si="21"/>
        <v>0</v>
      </c>
      <c r="J46" s="34">
        <f t="shared" si="22"/>
        <v>0</v>
      </c>
      <c r="K46" s="34">
        <f t="shared" si="23"/>
        <v>0</v>
      </c>
    </row>
    <row r="47" spans="1:11" x14ac:dyDescent="0.25">
      <c r="C47" s="33">
        <v>42878</v>
      </c>
      <c r="D47" s="34">
        <v>62000</v>
      </c>
      <c r="E47" s="106">
        <f t="shared" si="18"/>
        <v>161</v>
      </c>
      <c r="F47" s="34">
        <f t="shared" si="17"/>
        <v>0</v>
      </c>
      <c r="G47" s="34">
        <f t="shared" si="19"/>
        <v>0</v>
      </c>
      <c r="H47" s="34">
        <f t="shared" si="20"/>
        <v>0</v>
      </c>
      <c r="I47" s="34">
        <f t="shared" si="21"/>
        <v>0</v>
      </c>
      <c r="J47" s="34">
        <f t="shared" si="22"/>
        <v>62000</v>
      </c>
      <c r="K47" s="34">
        <f t="shared" si="23"/>
        <v>0</v>
      </c>
    </row>
    <row r="48" spans="1:11" x14ac:dyDescent="0.25">
      <c r="C48" s="33">
        <v>42911</v>
      </c>
      <c r="D48" s="34">
        <v>63000</v>
      </c>
      <c r="E48" s="106">
        <f t="shared" si="18"/>
        <v>128</v>
      </c>
      <c r="F48" s="34">
        <f t="shared" si="17"/>
        <v>0</v>
      </c>
      <c r="G48" s="34">
        <f t="shared" si="19"/>
        <v>0</v>
      </c>
      <c r="H48" s="34">
        <f t="shared" si="20"/>
        <v>0</v>
      </c>
      <c r="I48" s="34">
        <f t="shared" si="21"/>
        <v>0</v>
      </c>
      <c r="J48" s="34">
        <f t="shared" si="22"/>
        <v>63000</v>
      </c>
      <c r="K48" s="34">
        <f t="shared" si="23"/>
        <v>0</v>
      </c>
    </row>
    <row r="49" spans="3:11" x14ac:dyDescent="0.25">
      <c r="C49" s="33">
        <v>42927</v>
      </c>
      <c r="D49" s="34">
        <v>100000</v>
      </c>
      <c r="E49" s="106">
        <f t="shared" si="18"/>
        <v>112</v>
      </c>
      <c r="F49" s="34">
        <f t="shared" si="17"/>
        <v>0</v>
      </c>
      <c r="G49" s="34">
        <f t="shared" si="19"/>
        <v>0</v>
      </c>
      <c r="H49" s="34">
        <f t="shared" si="20"/>
        <v>0</v>
      </c>
      <c r="I49" s="34">
        <f t="shared" si="21"/>
        <v>0</v>
      </c>
      <c r="J49" s="34">
        <f t="shared" si="22"/>
        <v>100000</v>
      </c>
      <c r="K49" s="34">
        <f t="shared" si="23"/>
        <v>0</v>
      </c>
    </row>
    <row r="50" spans="3:11" x14ac:dyDescent="0.25">
      <c r="C50" s="33">
        <v>43038</v>
      </c>
      <c r="D50" s="34">
        <v>5000</v>
      </c>
      <c r="E50" s="106">
        <f t="shared" si="18"/>
        <v>1</v>
      </c>
      <c r="F50" s="34">
        <f t="shared" si="17"/>
        <v>0</v>
      </c>
      <c r="G50" s="34">
        <f t="shared" si="19"/>
        <v>5000</v>
      </c>
      <c r="H50" s="34">
        <f t="shared" si="20"/>
        <v>0</v>
      </c>
      <c r="I50" s="34">
        <f t="shared" si="21"/>
        <v>0</v>
      </c>
      <c r="J50" s="34">
        <f t="shared" si="22"/>
        <v>0</v>
      </c>
      <c r="K50" s="34">
        <f t="shared" si="23"/>
        <v>0</v>
      </c>
    </row>
    <row r="51" spans="3:11" x14ac:dyDescent="0.25">
      <c r="C51" s="33">
        <v>42936</v>
      </c>
      <c r="D51" s="34">
        <v>99000</v>
      </c>
      <c r="E51" s="106">
        <f t="shared" si="18"/>
        <v>103</v>
      </c>
      <c r="F51" s="34">
        <f t="shared" si="17"/>
        <v>0</v>
      </c>
      <c r="G51" s="34">
        <f t="shared" si="19"/>
        <v>0</v>
      </c>
      <c r="H51" s="34">
        <f t="shared" si="20"/>
        <v>0</v>
      </c>
      <c r="I51" s="34">
        <f t="shared" si="21"/>
        <v>0</v>
      </c>
      <c r="J51" s="34">
        <f t="shared" si="22"/>
        <v>99000</v>
      </c>
      <c r="K51" s="34">
        <f t="shared" si="23"/>
        <v>0</v>
      </c>
    </row>
    <row r="52" spans="3:11" x14ac:dyDescent="0.25">
      <c r="C52" s="33">
        <v>42945</v>
      </c>
      <c r="D52" s="34">
        <v>86000</v>
      </c>
      <c r="E52" s="106">
        <f t="shared" si="18"/>
        <v>94</v>
      </c>
      <c r="F52" s="34">
        <f t="shared" si="17"/>
        <v>0</v>
      </c>
      <c r="G52" s="34">
        <f t="shared" si="19"/>
        <v>0</v>
      </c>
      <c r="H52" s="34">
        <f t="shared" si="20"/>
        <v>0</v>
      </c>
      <c r="I52" s="34">
        <f t="shared" si="21"/>
        <v>0</v>
      </c>
      <c r="J52" s="34">
        <f t="shared" si="22"/>
        <v>86000</v>
      </c>
      <c r="K52" s="34">
        <f t="shared" si="23"/>
        <v>0</v>
      </c>
    </row>
    <row r="53" spans="3:11" x14ac:dyDescent="0.25">
      <c r="C53" s="33">
        <v>42957</v>
      </c>
      <c r="D53" s="34">
        <v>22000</v>
      </c>
      <c r="E53" s="106">
        <f t="shared" si="18"/>
        <v>82</v>
      </c>
      <c r="F53" s="34">
        <f t="shared" si="17"/>
        <v>0</v>
      </c>
      <c r="G53" s="34">
        <f t="shared" si="19"/>
        <v>0</v>
      </c>
      <c r="H53" s="34">
        <f t="shared" si="20"/>
        <v>0</v>
      </c>
      <c r="I53" s="34">
        <f t="shared" si="21"/>
        <v>22000</v>
      </c>
      <c r="J53" s="34">
        <f t="shared" si="22"/>
        <v>0</v>
      </c>
      <c r="K53" s="34">
        <f t="shared" si="23"/>
        <v>0</v>
      </c>
    </row>
    <row r="54" spans="3:11" x14ac:dyDescent="0.25">
      <c r="C54" s="33">
        <v>42989</v>
      </c>
      <c r="D54" s="34">
        <v>45000</v>
      </c>
      <c r="E54" s="106">
        <f t="shared" si="18"/>
        <v>50</v>
      </c>
      <c r="F54" s="34">
        <f t="shared" si="17"/>
        <v>0</v>
      </c>
      <c r="G54" s="34">
        <f t="shared" si="19"/>
        <v>0</v>
      </c>
      <c r="H54" s="34">
        <f t="shared" si="20"/>
        <v>45000</v>
      </c>
      <c r="I54" s="34">
        <f t="shared" si="21"/>
        <v>0</v>
      </c>
      <c r="J54" s="34">
        <f t="shared" si="22"/>
        <v>0</v>
      </c>
      <c r="K54" s="34">
        <f t="shared" si="23"/>
        <v>0</v>
      </c>
    </row>
    <row r="55" spans="3:11" x14ac:dyDescent="0.25">
      <c r="C55" s="33">
        <v>43020</v>
      </c>
      <c r="D55" s="34">
        <v>25000</v>
      </c>
      <c r="E55" s="106">
        <f t="shared" si="18"/>
        <v>19</v>
      </c>
      <c r="F55" s="34">
        <f t="shared" si="17"/>
        <v>0</v>
      </c>
      <c r="G55" s="34">
        <f t="shared" si="19"/>
        <v>25000</v>
      </c>
      <c r="H55" s="34">
        <f t="shared" si="20"/>
        <v>0</v>
      </c>
      <c r="I55" s="34">
        <f t="shared" si="21"/>
        <v>0</v>
      </c>
      <c r="J55" s="34">
        <f t="shared" si="22"/>
        <v>0</v>
      </c>
      <c r="K55" s="34">
        <f t="shared" si="23"/>
        <v>0</v>
      </c>
    </row>
    <row r="56" spans="3:11" x14ac:dyDescent="0.25">
      <c r="C56" s="33">
        <v>43039</v>
      </c>
      <c r="D56" s="34">
        <v>15500</v>
      </c>
      <c r="E56" s="106">
        <f t="shared" si="18"/>
        <v>0</v>
      </c>
      <c r="F56" s="34">
        <f t="shared" si="17"/>
        <v>15500</v>
      </c>
      <c r="G56" s="34">
        <f t="shared" si="19"/>
        <v>0</v>
      </c>
      <c r="H56" s="34">
        <f t="shared" si="20"/>
        <v>0</v>
      </c>
      <c r="I56" s="34">
        <f t="shared" si="21"/>
        <v>0</v>
      </c>
      <c r="J56" s="34">
        <f t="shared" si="22"/>
        <v>0</v>
      </c>
      <c r="K56" s="34">
        <f t="shared" si="23"/>
        <v>0</v>
      </c>
    </row>
    <row r="57" spans="3:11" ht="15.75" thickBot="1" x14ac:dyDescent="0.3">
      <c r="D57" s="110">
        <f>SUM(D42:D56)</f>
        <v>728500</v>
      </c>
      <c r="F57" s="110">
        <f>SUM(F42:F56)</f>
        <v>30500</v>
      </c>
      <c r="G57" s="110">
        <f t="shared" ref="G57:K57" si="24">SUM(G42:G56)</f>
        <v>30000</v>
      </c>
      <c r="H57" s="110">
        <f t="shared" si="24"/>
        <v>45000</v>
      </c>
      <c r="I57" s="110">
        <f t="shared" si="24"/>
        <v>22000</v>
      </c>
      <c r="J57" s="110">
        <f t="shared" si="24"/>
        <v>410000</v>
      </c>
      <c r="K57" s="110">
        <f t="shared" si="24"/>
        <v>191000</v>
      </c>
    </row>
    <row r="58" spans="3:11" ht="15.75" thickTop="1" x14ac:dyDescent="0.25"/>
  </sheetData>
  <sortState ref="C43:C54">
    <sortCondition ref="C43"/>
  </sortState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37"/>
  <sheetViews>
    <sheetView workbookViewId="0">
      <selection activeCell="A19" sqref="A19"/>
    </sheetView>
  </sheetViews>
  <sheetFormatPr defaultRowHeight="15" x14ac:dyDescent="0.25"/>
  <cols>
    <col min="1" max="1" width="21.42578125" customWidth="1"/>
    <col min="2" max="2" width="10.7109375" customWidth="1"/>
    <col min="3" max="3" width="13" style="28" customWidth="1"/>
    <col min="5" max="5" width="14.85546875" bestFit="1" customWidth="1"/>
  </cols>
  <sheetData>
    <row r="4" spans="1:3" x14ac:dyDescent="0.25">
      <c r="A4" t="s">
        <v>321</v>
      </c>
    </row>
    <row r="5" spans="1:3" x14ac:dyDescent="0.25">
      <c r="A5" s="39">
        <v>250000</v>
      </c>
      <c r="B5" s="60">
        <v>0</v>
      </c>
    </row>
    <row r="6" spans="1:3" x14ac:dyDescent="0.25">
      <c r="A6" s="40">
        <v>400000</v>
      </c>
      <c r="B6" s="60">
        <v>0.1</v>
      </c>
    </row>
    <row r="7" spans="1:3" x14ac:dyDescent="0.25">
      <c r="A7" s="40">
        <v>500000</v>
      </c>
      <c r="B7" s="60">
        <v>0.15</v>
      </c>
    </row>
    <row r="8" spans="1:3" x14ac:dyDescent="0.25">
      <c r="A8" s="40">
        <v>600000</v>
      </c>
      <c r="B8" s="60">
        <v>0.2</v>
      </c>
    </row>
    <row r="9" spans="1:3" x14ac:dyDescent="0.25">
      <c r="A9" s="40">
        <v>3000000</v>
      </c>
      <c r="B9" s="60">
        <v>0.25</v>
      </c>
    </row>
    <row r="10" spans="1:3" x14ac:dyDescent="0.25">
      <c r="A10" s="41">
        <v>1054000</v>
      </c>
      <c r="B10" s="60">
        <v>0.3</v>
      </c>
    </row>
    <row r="11" spans="1:3" x14ac:dyDescent="0.25">
      <c r="A11" s="38"/>
      <c r="B11" s="38"/>
      <c r="C11" s="62"/>
    </row>
    <row r="12" spans="1:3" x14ac:dyDescent="0.25">
      <c r="A12" s="38">
        <v>25000666</v>
      </c>
      <c r="B12" s="38"/>
      <c r="C12" s="62"/>
    </row>
    <row r="13" spans="1:3" x14ac:dyDescent="0.25">
      <c r="A13" t="s">
        <v>322</v>
      </c>
      <c r="B13" s="38"/>
      <c r="C13" s="62"/>
    </row>
    <row r="14" spans="1:3" x14ac:dyDescent="0.25">
      <c r="A14" s="38">
        <f>IF($A$12&gt;=250000,250000,$A$12)</f>
        <v>250000</v>
      </c>
      <c r="B14" s="38" t="s">
        <v>75</v>
      </c>
      <c r="C14" s="62">
        <v>0</v>
      </c>
    </row>
    <row r="15" spans="1:3" x14ac:dyDescent="0.25">
      <c r="A15" s="38">
        <f>IF($A$12&gt;=650000,400000,$A$12-$A$14)</f>
        <v>400000</v>
      </c>
      <c r="B15" s="38" t="s">
        <v>75</v>
      </c>
      <c r="C15" s="62">
        <v>0.1</v>
      </c>
    </row>
    <row r="16" spans="1:3" x14ac:dyDescent="0.25">
      <c r="A16" s="38">
        <f>IF($A$12&gt;=1150000,500000,$A$12-$A$14-$A$15)</f>
        <v>500000</v>
      </c>
      <c r="B16" s="38" t="s">
        <v>75</v>
      </c>
      <c r="C16" s="62">
        <v>0.15</v>
      </c>
    </row>
    <row r="17" spans="1:5" x14ac:dyDescent="0.25">
      <c r="A17" s="38">
        <f>IF($A$12&gt;=1750000,600000,$A$12-$A$14-$A$15-$A$16)</f>
        <v>600000</v>
      </c>
      <c r="B17" s="38" t="s">
        <v>75</v>
      </c>
      <c r="C17" s="62">
        <v>0.2</v>
      </c>
    </row>
    <row r="18" spans="1:5" x14ac:dyDescent="0.25">
      <c r="A18" s="38">
        <f>IF($A$12&gt;=4750000,3000000,$A$12-$A$14-$A$15-$A$16-$A$17)</f>
        <v>3000000</v>
      </c>
      <c r="B18" s="38" t="s">
        <v>75</v>
      </c>
      <c r="C18" s="62">
        <v>0.25</v>
      </c>
    </row>
    <row r="19" spans="1:5" x14ac:dyDescent="0.25">
      <c r="A19" s="38">
        <f>IF($A$12&gt;4750000,$A$12-$A$14-$A$15-$A$16-$A$17-A18,0)</f>
        <v>20250666</v>
      </c>
      <c r="B19" s="38" t="s">
        <v>75</v>
      </c>
      <c r="C19" s="62">
        <v>0.3</v>
      </c>
    </row>
    <row r="20" spans="1:5" ht="15.75" thickBot="1" x14ac:dyDescent="0.3">
      <c r="A20" s="61">
        <f>SUM(A14:A19)</f>
        <v>25000666</v>
      </c>
      <c r="B20" s="38"/>
      <c r="C20" s="62"/>
    </row>
    <row r="21" spans="1:5" ht="15.75" thickTop="1" x14ac:dyDescent="0.25">
      <c r="A21" s="38"/>
      <c r="B21" s="38"/>
      <c r="C21" s="62"/>
    </row>
    <row r="22" spans="1:5" x14ac:dyDescent="0.25">
      <c r="A22" s="81"/>
      <c r="B22" s="81"/>
      <c r="C22" s="120"/>
      <c r="D22" s="79"/>
      <c r="E22" s="79"/>
    </row>
    <row r="23" spans="1:5" ht="15.75" thickBot="1" x14ac:dyDescent="0.3">
      <c r="A23" s="81"/>
      <c r="B23" s="81"/>
      <c r="C23" s="79" t="s">
        <v>335</v>
      </c>
      <c r="D23" s="79"/>
      <c r="E23" s="119">
        <v>3560000</v>
      </c>
    </row>
    <row r="24" spans="1:5" x14ac:dyDescent="0.25">
      <c r="A24" s="81"/>
      <c r="B24" s="81"/>
      <c r="C24" s="120"/>
      <c r="D24" s="79"/>
      <c r="E24" s="79"/>
    </row>
    <row r="25" spans="1:5" x14ac:dyDescent="0.25">
      <c r="A25" s="81"/>
      <c r="B25" s="81"/>
      <c r="C25" s="120"/>
      <c r="D25" s="79"/>
      <c r="E25" s="79"/>
    </row>
    <row r="26" spans="1:5" ht="15.75" thickBot="1" x14ac:dyDescent="0.3">
      <c r="A26" s="81"/>
      <c r="B26" s="81"/>
      <c r="C26" s="120"/>
      <c r="D26" s="79"/>
      <c r="E26" s="79"/>
    </row>
    <row r="27" spans="1:5" x14ac:dyDescent="0.25">
      <c r="A27" s="145" t="s">
        <v>326</v>
      </c>
      <c r="B27" s="81"/>
      <c r="C27" s="120"/>
      <c r="D27" s="79" t="s">
        <v>334</v>
      </c>
      <c r="E27" s="121" t="s">
        <v>333</v>
      </c>
    </row>
    <row r="28" spans="1:5" x14ac:dyDescent="0.25">
      <c r="A28" s="146"/>
      <c r="B28" s="81"/>
      <c r="C28" s="120"/>
      <c r="D28" s="79"/>
      <c r="E28" s="79"/>
    </row>
    <row r="29" spans="1:5" ht="15" customHeight="1" x14ac:dyDescent="0.25">
      <c r="A29" s="147"/>
      <c r="B29" s="112" t="s">
        <v>329</v>
      </c>
      <c r="C29" s="111">
        <f>IF(AND(A30="yes",A34="No",E23&gt;25000),IF(E27="Male",MIN(E23,250000+25000),IF(E27="Female",MIN(E23,300000+25000),IF(E27="Senior Citizen",MIN(E23,300000+25000),IF(E27="Handi Capped",MIN(E23,400000+25000),IF(E27="Freedom Fighter",MIN(E23,425000+25000)))))), IF(E27="Male",MIN(E23,250000),IF(E27="Female",MIN(E23,300000),IF(E27="Senior Citizen",MIN(E23,300000),IF(E27="Handi Capped",MIN(E23,400000),IF(E27="Freedom Fighter",MIN(E23,425000)))))))</f>
        <v>300000</v>
      </c>
      <c r="D29" s="113" t="s">
        <v>330</v>
      </c>
      <c r="E29" s="114">
        <v>0</v>
      </c>
    </row>
    <row r="30" spans="1:5" ht="15.75" thickBot="1" x14ac:dyDescent="0.3">
      <c r="A30" s="122" t="s">
        <v>327</v>
      </c>
      <c r="B30" s="112" t="s">
        <v>331</v>
      </c>
      <c r="C30" s="111">
        <f>IF(E23-C29&gt;400000,400000,E23-C29)</f>
        <v>400000</v>
      </c>
      <c r="D30" s="115">
        <v>0.1</v>
      </c>
      <c r="E30" s="116">
        <f>C30*D30</f>
        <v>40000</v>
      </c>
    </row>
    <row r="31" spans="1:5" x14ac:dyDescent="0.25">
      <c r="A31" s="148" t="s">
        <v>328</v>
      </c>
      <c r="B31" s="112" t="s">
        <v>331</v>
      </c>
      <c r="C31" s="111">
        <f>MIN($E$23-SUM($C$29:C30),500000)</f>
        <v>500000</v>
      </c>
      <c r="D31" s="115">
        <v>0.15</v>
      </c>
      <c r="E31" s="116">
        <f>C31*D31</f>
        <v>75000</v>
      </c>
    </row>
    <row r="32" spans="1:5" x14ac:dyDescent="0.25">
      <c r="A32" s="149"/>
      <c r="B32" s="112" t="s">
        <v>331</v>
      </c>
      <c r="C32" s="111">
        <f>MIN($E$23-SUM($C$29:C31),600000)</f>
        <v>600000</v>
      </c>
      <c r="D32" s="115">
        <v>0.2</v>
      </c>
      <c r="E32" s="116">
        <f>C32*D32</f>
        <v>120000</v>
      </c>
    </row>
    <row r="33" spans="1:5" x14ac:dyDescent="0.25">
      <c r="A33" s="150"/>
      <c r="B33" s="112" t="s">
        <v>331</v>
      </c>
      <c r="C33" s="111">
        <f>MIN($E$23-SUM($C$29:C32),3000000)</f>
        <v>1760000</v>
      </c>
      <c r="D33" s="115">
        <v>0.25</v>
      </c>
      <c r="E33" s="116">
        <f>C33*D33</f>
        <v>440000</v>
      </c>
    </row>
    <row r="34" spans="1:5" ht="15.75" thickBot="1" x14ac:dyDescent="0.3">
      <c r="A34" s="122" t="s">
        <v>327</v>
      </c>
      <c r="B34" s="112" t="s">
        <v>332</v>
      </c>
      <c r="C34" s="111">
        <f>$E$23-SUM($C$29:C33)</f>
        <v>0</v>
      </c>
      <c r="D34" s="117">
        <v>0.3</v>
      </c>
      <c r="E34" s="118">
        <f>C34*D34</f>
        <v>0</v>
      </c>
    </row>
    <row r="35" spans="1:5" ht="15.75" thickBot="1" x14ac:dyDescent="0.3">
      <c r="A35" s="79"/>
      <c r="B35" s="79"/>
      <c r="C35" s="123">
        <f>SUM(C29:C34)</f>
        <v>3560000</v>
      </c>
      <c r="D35" s="79"/>
      <c r="E35" s="79"/>
    </row>
    <row r="36" spans="1:5" ht="15.75" thickTop="1" x14ac:dyDescent="0.25">
      <c r="A36" s="79"/>
      <c r="B36" s="79"/>
      <c r="C36" s="82"/>
      <c r="D36" s="79"/>
      <c r="E36" s="79"/>
    </row>
    <row r="37" spans="1:5" x14ac:dyDescent="0.25">
      <c r="A37" s="79"/>
      <c r="B37" s="79"/>
      <c r="C37" s="82"/>
      <c r="D37" s="79"/>
      <c r="E37" s="79"/>
    </row>
  </sheetData>
  <mergeCells count="2">
    <mergeCell ref="A27:A29"/>
    <mergeCell ref="A31:A33"/>
  </mergeCells>
  <dataValidations count="2">
    <dataValidation type="list" allowBlank="1" showInputMessage="1" showErrorMessage="1" sqref="A30 A34" xr:uid="{00000000-0002-0000-0200-000000000000}">
      <formula1>"Yes, No"</formula1>
    </dataValidation>
    <dataValidation type="list" allowBlank="1" showInputMessage="1" showErrorMessage="1" sqref="E27" xr:uid="{00000000-0002-0000-0200-000001000000}">
      <formula1>"Male, Female, Senior Citizen, Handi capped, Freedom Fighter"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G20"/>
  <sheetViews>
    <sheetView zoomScale="120" zoomScaleNormal="120" workbookViewId="0">
      <selection activeCell="I12" sqref="I12"/>
    </sheetView>
  </sheetViews>
  <sheetFormatPr defaultRowHeight="15" x14ac:dyDescent="0.25"/>
  <cols>
    <col min="2" max="2" width="10.7109375" bestFit="1" customWidth="1"/>
    <col min="3" max="3" width="12.85546875" style="77" customWidth="1"/>
    <col min="5" max="6" width="13.28515625" bestFit="1" customWidth="1"/>
  </cols>
  <sheetData>
    <row r="6" spans="1:7" x14ac:dyDescent="0.25">
      <c r="A6" s="63"/>
      <c r="B6" s="63"/>
      <c r="C6" s="76"/>
    </row>
    <row r="7" spans="1:7" x14ac:dyDescent="0.25">
      <c r="A7" s="63"/>
      <c r="B7" s="63"/>
      <c r="C7" s="86" t="s">
        <v>295</v>
      </c>
    </row>
    <row r="8" spans="1:7" x14ac:dyDescent="0.25">
      <c r="A8" s="63"/>
      <c r="B8" s="63"/>
      <c r="C8" s="76"/>
    </row>
    <row r="9" spans="1:7" x14ac:dyDescent="0.25">
      <c r="B9" s="78">
        <v>200</v>
      </c>
      <c r="C9" s="86">
        <f t="shared" ref="C9:C15" si="0">IF(OR(AND(B9&gt;0,B9&lt;=1500000),AND(B9&gt;1500000,B9&lt;=2500000),AND(B9&gt;2500000,B9&lt;=10000000),AND(B9&gt;10000000,B9&lt;=50000000),AND(B9&gt;50000000,B9&lt;=100000000),(B9&gt;100000000)),IF(AND(B9&gt;0,B9&lt;=1500000),2%,IF(AND(B9&gt;1500000,B9&lt;=2500000),3%,IF(AND(B9&gt;2500000,B9&lt;=10000000),4%,IF(AND(B9&gt;10000000,B9&lt;=50000000),5%,IF(AND(B9&gt;50000000,B9&lt;=100000000),6%,IF(B9&gt;100000000,7%)))))),IF(AND(B9&gt;0,B9&lt;=1500000),0,IF(AND(B9&gt;1500000,B9&lt;=2500000),0,IF(AND(B9&gt;2500000,B9&lt;=10000000),0,IF(AND(B9&gt;10000000,B9&lt;=50000000),0,IF(AND(B9&gt;50000000,B9&lt;=100000000),0,IF(B9&gt;100000000,0)))))))</f>
        <v>0.02</v>
      </c>
      <c r="E9" s="38">
        <v>1</v>
      </c>
      <c r="F9" s="38">
        <v>1500000</v>
      </c>
      <c r="G9" s="28">
        <v>0.02</v>
      </c>
    </row>
    <row r="10" spans="1:7" x14ac:dyDescent="0.25">
      <c r="B10" s="85">
        <v>5000000</v>
      </c>
      <c r="C10" s="86">
        <f t="shared" si="0"/>
        <v>0.04</v>
      </c>
      <c r="E10" s="38">
        <v>1500001</v>
      </c>
      <c r="F10" s="38">
        <v>2500000</v>
      </c>
      <c r="G10" s="28">
        <v>0.03</v>
      </c>
    </row>
    <row r="11" spans="1:7" x14ac:dyDescent="0.25">
      <c r="B11" s="85">
        <v>0</v>
      </c>
      <c r="C11" s="86" t="b">
        <f t="shared" si="0"/>
        <v>0</v>
      </c>
      <c r="E11" s="38">
        <v>2500001</v>
      </c>
      <c r="F11" s="38">
        <v>10000000</v>
      </c>
      <c r="G11" s="28">
        <v>0.04</v>
      </c>
    </row>
    <row r="12" spans="1:7" x14ac:dyDescent="0.25">
      <c r="B12" s="85"/>
      <c r="C12" s="86" t="b">
        <f t="shared" si="0"/>
        <v>0</v>
      </c>
      <c r="E12" s="38">
        <v>10000001</v>
      </c>
      <c r="F12" s="38">
        <v>50000000</v>
      </c>
      <c r="G12" s="28">
        <v>0.05</v>
      </c>
    </row>
    <row r="13" spans="1:7" x14ac:dyDescent="0.25">
      <c r="B13" s="85"/>
      <c r="C13" s="86" t="b">
        <f t="shared" si="0"/>
        <v>0</v>
      </c>
      <c r="E13" s="38">
        <v>50000001</v>
      </c>
      <c r="F13" s="38">
        <v>100000000</v>
      </c>
      <c r="G13" s="28">
        <v>0.06</v>
      </c>
    </row>
    <row r="14" spans="1:7" x14ac:dyDescent="0.25">
      <c r="B14" s="83">
        <v>4550</v>
      </c>
      <c r="C14" s="86">
        <f>IF(OR(AND(B14&gt;0,B14&lt;=1500000),AND(B14&gt;1500000,B14&lt;=2500000),AND(B14&gt;2500000,B14&lt;=10000000),AND(B14&gt;10000000,B14&lt;=50000000),AND(B14&gt;50000000,B14&lt;=100000000),(B14&gt;100000000)),IF(AND(B14&gt;0,B14&lt;=1500000),2%,IF(AND(B14&gt;1500000,B14&lt;=2500000),3%,IF(AND(B14&gt;2500000,B14&lt;=10000000),4%,IF(AND(B14&gt;10000000,B14&lt;=50000000),5%,IF(AND(B14&gt;50000000,B14&lt;=100000000),6%,IF(B14&gt;100000000,7%)))))),IF(AND(B14&gt;0,B14&lt;=1500000),0,IF(AND(B14&gt;1500000,B14&lt;=2500000),0,IF(AND(B14&gt;2500000,B14&lt;=10000000),0,IF(AND(B14&gt;10000000,B14&lt;=50000000),0,IF(AND(B14&gt;50000000,B14&lt;=100000000),0,IF(B14&gt;100000000,0)))))))</f>
        <v>0.02</v>
      </c>
      <c r="E14" t="s">
        <v>294</v>
      </c>
      <c r="F14" s="38">
        <v>100000000</v>
      </c>
      <c r="G14" s="28">
        <v>7.0000000000000007E-2</v>
      </c>
    </row>
    <row r="15" spans="1:7" s="79" customFormat="1" x14ac:dyDescent="0.25">
      <c r="B15" s="80"/>
      <c r="C15" s="86" t="b">
        <f t="shared" si="0"/>
        <v>0</v>
      </c>
      <c r="F15" s="81"/>
      <c r="G15" s="82"/>
    </row>
    <row r="16" spans="1:7" x14ac:dyDescent="0.25">
      <c r="B16" s="84">
        <v>110000000</v>
      </c>
      <c r="C16" s="86">
        <f>IF(OR(AND(B16&gt;0,B16&lt;=1500000),AND(B16&gt;1500000,B16&lt;=2500000),AND(B16&gt;2500000,B16&lt;=10000000),AND(B16&gt;10000000,B16&lt;=50000000),AND(B16&gt;50000000,B16&lt;=100000000),(B16&gt;100000000)),IF(AND(B16&gt;0,B16&lt;=1500000),2%,IF(AND(B16&gt;1500000,B16&lt;=2500000),3%,IF(AND(B16&gt;2500000,B16&lt;=10000000),4%,IF(AND(B16&gt;10000000,B16&lt;=50000000),5%,IF(AND(B16&gt;50000000,B16&lt;=100000000),6%,IF(B16&gt;100000000,7%)))))),IF(AND(B16&gt;0,B16&lt;=1500000),0,IF(AND(B16&gt;1500000,B16&lt;=2500000),0,IF(AND(B16&gt;2500000,B16&lt;=10000000),0,IF(AND(B16&gt;10000000,B16&lt;=50000000),0,IF(AND(B16&gt;50000000,B16&lt;=100000000),0,IF(B16&gt;100000000,0)))))))</f>
        <v>7.0000000000000007E-2</v>
      </c>
      <c r="F16" s="38"/>
      <c r="G16" s="28"/>
    </row>
    <row r="17" spans="3:6" x14ac:dyDescent="0.25">
      <c r="C17" s="76"/>
      <c r="E17" s="38"/>
      <c r="F17" s="38"/>
    </row>
    <row r="18" spans="3:6" x14ac:dyDescent="0.25">
      <c r="C18" s="76"/>
      <c r="E18" s="38"/>
      <c r="F18" s="38"/>
    </row>
    <row r="19" spans="3:6" x14ac:dyDescent="0.25">
      <c r="C19" s="76"/>
      <c r="E19" s="38"/>
      <c r="F19" s="38"/>
    </row>
    <row r="20" spans="3:6" x14ac:dyDescent="0.25">
      <c r="C20" s="76"/>
    </row>
  </sheetData>
  <pageMargins left="0.7" right="0.7" top="0.75" bottom="0.75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"/>
  <sheetViews>
    <sheetView zoomScale="120" zoomScaleNormal="120" workbookViewId="0">
      <selection activeCell="E12" sqref="E12"/>
    </sheetView>
  </sheetViews>
  <sheetFormatPr defaultRowHeight="15" x14ac:dyDescent="0.25"/>
  <cols>
    <col min="1" max="1" width="10.5703125" customWidth="1"/>
    <col min="2" max="2" width="13.140625" customWidth="1"/>
    <col min="3" max="3" width="9.5703125" customWidth="1"/>
    <col min="4" max="5" width="13.140625" customWidth="1"/>
    <col min="6" max="6" width="11.140625" customWidth="1"/>
    <col min="7" max="7" width="13.140625" customWidth="1"/>
    <col min="8" max="8" width="11.5703125" customWidth="1"/>
    <col min="9" max="9" width="12.140625" customWidth="1"/>
    <col min="10" max="10" width="14" customWidth="1"/>
    <col min="11" max="11" width="13.140625" customWidth="1"/>
  </cols>
  <sheetData>
    <row r="1" spans="1:11" x14ac:dyDescent="0.25">
      <c r="A1" t="s">
        <v>296</v>
      </c>
      <c r="C1" t="s">
        <v>297</v>
      </c>
    </row>
    <row r="2" spans="1:11" x14ac:dyDescent="0.25">
      <c r="A2" t="s">
        <v>298</v>
      </c>
      <c r="C2" t="s">
        <v>299</v>
      </c>
    </row>
    <row r="3" spans="1:11" x14ac:dyDescent="0.25">
      <c r="A3" t="s">
        <v>300</v>
      </c>
      <c r="C3" t="s">
        <v>301</v>
      </c>
    </row>
    <row r="4" spans="1:11" x14ac:dyDescent="0.25">
      <c r="A4" t="s">
        <v>302</v>
      </c>
      <c r="C4" t="s">
        <v>303</v>
      </c>
    </row>
    <row r="6" spans="1:11" s="77" customFormat="1" x14ac:dyDescent="0.25">
      <c r="A6" s="151" t="s">
        <v>42</v>
      </c>
      <c r="B6" s="154" t="s">
        <v>304</v>
      </c>
      <c r="C6" s="154" t="s">
        <v>305</v>
      </c>
      <c r="D6" s="154" t="s">
        <v>306</v>
      </c>
      <c r="E6" s="154" t="s">
        <v>307</v>
      </c>
      <c r="F6" s="154" t="s">
        <v>308</v>
      </c>
      <c r="G6" s="154" t="s">
        <v>309</v>
      </c>
      <c r="H6" s="154" t="s">
        <v>310</v>
      </c>
      <c r="I6" s="154" t="s">
        <v>311</v>
      </c>
      <c r="J6" s="154" t="s">
        <v>312</v>
      </c>
      <c r="K6" s="154" t="s">
        <v>79</v>
      </c>
    </row>
    <row r="7" spans="1:11" s="77" customFormat="1" x14ac:dyDescent="0.25">
      <c r="A7" s="152"/>
      <c r="B7" s="155"/>
      <c r="C7" s="156"/>
      <c r="D7" s="155"/>
      <c r="E7" s="155"/>
      <c r="F7" s="155"/>
      <c r="G7" s="155"/>
      <c r="H7" s="155"/>
      <c r="I7" s="155"/>
      <c r="J7" s="155"/>
      <c r="K7" s="155"/>
    </row>
    <row r="8" spans="1:11" s="77" customFormat="1" x14ac:dyDescent="0.25">
      <c r="A8" s="153"/>
      <c r="B8" s="156"/>
      <c r="C8" s="87">
        <v>0.05</v>
      </c>
      <c r="D8" s="156"/>
      <c r="E8" s="156"/>
      <c r="F8" s="156"/>
      <c r="G8" s="156"/>
      <c r="H8" s="156"/>
      <c r="I8" s="156"/>
      <c r="J8" s="156"/>
      <c r="K8" s="156"/>
    </row>
    <row r="9" spans="1:11" x14ac:dyDescent="0.25">
      <c r="A9" s="88">
        <v>42849</v>
      </c>
      <c r="B9" s="89">
        <v>1196870</v>
      </c>
      <c r="C9" s="89">
        <f>B9/(100%+$C$8)*$C$8</f>
        <v>56993.809523809527</v>
      </c>
      <c r="D9" s="89">
        <f>B9-C9</f>
        <v>1139876.1904761905</v>
      </c>
      <c r="E9" s="89">
        <f>SUM($D$9:D9)</f>
        <v>1139876.1904761905</v>
      </c>
      <c r="F9" s="90">
        <f>IF(OR(AND(E9&gt;0,E9&lt;=1500000),AND(E9&gt;1500000,E9&lt;=2500000),AND(E9&gt;2500000,E9&lt;=10000000),AND(E9&gt;10000000,E9&lt;=50000000),AND(E9&gt;50000000,E9&lt;=100000000),(E9&gt;100000000)),IF(AND(E9&gt;0,E9&lt;=1500000),2%,IF(AND(E9&gt;1500000,E9&lt;=2500000),3%,IF(AND(E9&gt;2500000,E9&lt;=10000000),4%,IF(AND(E9&gt;10000000,E9&lt;=50000000),5%,IF(AND(E9&gt;50000000,E9&lt;=100000000),6%,IF(E9&gt;100000000,7%)))))),IF(AND(E9&gt;0,E9&lt;=1500000),0,IF(AND(E9&gt;1500000,E9&lt;=2500000),0,IF(AND(E9&gt;2500000,E9&lt;=10000000),0,IF(AND(E9&gt;10000000,E9&lt;=50000000),0,IF(AND(E9&gt;50000000,E9&lt;=100000000),0,IF(E9&gt;100000000,0)))))))</f>
        <v>0.02</v>
      </c>
      <c r="G9" s="89">
        <f>E9*F9</f>
        <v>22797.523809523813</v>
      </c>
      <c r="H9" s="89">
        <v>0</v>
      </c>
      <c r="I9" s="89">
        <f>G9-H9</f>
        <v>22797.523809523813</v>
      </c>
      <c r="J9" s="89">
        <f>B9-C9-I9</f>
        <v>1117078.6666666667</v>
      </c>
      <c r="K9" s="91"/>
    </row>
    <row r="10" spans="1:11" x14ac:dyDescent="0.25">
      <c r="A10" s="88">
        <v>43003</v>
      </c>
      <c r="B10" s="89">
        <v>450000</v>
      </c>
      <c r="C10" s="89">
        <f t="shared" ref="C10:C13" si="0">B10/(100%+$C$8)*$C$8</f>
        <v>21428.571428571431</v>
      </c>
      <c r="D10" s="89">
        <f>B10-C10</f>
        <v>428571.42857142858</v>
      </c>
      <c r="E10" s="89">
        <f>SUM($D$9:D10)</f>
        <v>1568447.6190476192</v>
      </c>
      <c r="F10" s="90">
        <f t="shared" ref="F10:F13" si="1">IF(OR(AND(E10&gt;0,E10&lt;=1500000),AND(E10&gt;1500000,E10&lt;=2500000),AND(E10&gt;2500000,E10&lt;=10000000),AND(E10&gt;10000000,E10&lt;=50000000),AND(E10&gt;50000000,E10&lt;=100000000),(E10&gt;100000000)),IF(AND(E10&gt;0,E10&lt;=1500000),2%,IF(AND(E10&gt;1500000,E10&lt;=2500000),3%,IF(AND(E10&gt;2500000,E10&lt;=10000000),4%,IF(AND(E10&gt;10000000,E10&lt;=50000000),5%,IF(AND(E10&gt;50000000,E10&lt;=100000000),6%,IF(E10&gt;100000000,7%)))))),IF(AND(E10&gt;0,E10&lt;=1500000),0,IF(AND(E10&gt;1500000,E10&lt;=2500000),0,IF(AND(E10&gt;2500000,E10&lt;=10000000),0,IF(AND(E10&gt;10000000,E10&lt;=50000000),0,IF(AND(E10&gt;50000000,E10&lt;=100000000),0,IF(E10&gt;100000000,0)))))))</f>
        <v>0.03</v>
      </c>
      <c r="G10" s="89">
        <f t="shared" ref="G10:G13" si="2">E10*F10</f>
        <v>47053.428571428572</v>
      </c>
      <c r="H10" s="89">
        <f>SUM($I$9:I9)</f>
        <v>22797.523809523813</v>
      </c>
      <c r="I10" s="89">
        <f>G10-H10</f>
        <v>24255.90476190476</v>
      </c>
      <c r="J10" s="89">
        <f>B10-C10-I10</f>
        <v>404315.52380952385</v>
      </c>
      <c r="K10" s="91"/>
    </row>
    <row r="11" spans="1:11" x14ac:dyDescent="0.25">
      <c r="A11" s="88">
        <v>43062</v>
      </c>
      <c r="B11" s="89">
        <v>190000</v>
      </c>
      <c r="C11" s="89">
        <f t="shared" si="0"/>
        <v>9047.6190476190477</v>
      </c>
      <c r="D11" s="89">
        <f>B11-C11</f>
        <v>180952.38095238095</v>
      </c>
      <c r="E11" s="89">
        <f>SUM($D$9:D11)</f>
        <v>1749400</v>
      </c>
      <c r="F11" s="90">
        <f t="shared" si="1"/>
        <v>0.03</v>
      </c>
      <c r="G11" s="89">
        <f t="shared" si="2"/>
        <v>52482</v>
      </c>
      <c r="H11" s="89">
        <f>SUM($I$9:I10)</f>
        <v>47053.428571428572</v>
      </c>
      <c r="I11" s="89">
        <f t="shared" ref="I11:I12" si="3">G11-H11</f>
        <v>5428.5714285714275</v>
      </c>
      <c r="J11" s="89">
        <f>B11-C11-I11</f>
        <v>175523.80952380953</v>
      </c>
      <c r="K11" s="91"/>
    </row>
    <row r="12" spans="1:11" x14ac:dyDescent="0.25">
      <c r="A12" s="88">
        <v>43124</v>
      </c>
      <c r="B12" s="89">
        <v>450000</v>
      </c>
      <c r="C12" s="89">
        <f t="shared" si="0"/>
        <v>21428.571428571431</v>
      </c>
      <c r="D12" s="89">
        <f>B12-C12</f>
        <v>428571.42857142858</v>
      </c>
      <c r="E12" s="89">
        <f>SUM($D$9:D12)</f>
        <v>2177971.4285714286</v>
      </c>
      <c r="F12" s="90">
        <f t="shared" si="1"/>
        <v>0.03</v>
      </c>
      <c r="G12" s="89">
        <f t="shared" si="2"/>
        <v>65339.142857142855</v>
      </c>
      <c r="H12" s="89">
        <f>SUM($I$9:I11)</f>
        <v>52482</v>
      </c>
      <c r="I12" s="89">
        <f t="shared" si="3"/>
        <v>12857.142857142855</v>
      </c>
      <c r="J12" s="89">
        <f>B12-C12-I12</f>
        <v>415714.28571428574</v>
      </c>
      <c r="K12" s="91"/>
    </row>
    <row r="13" spans="1:11" x14ac:dyDescent="0.25">
      <c r="A13" s="88">
        <v>43181</v>
      </c>
      <c r="B13" s="89">
        <v>453000</v>
      </c>
      <c r="C13" s="89">
        <f t="shared" si="0"/>
        <v>21571.428571428572</v>
      </c>
      <c r="D13" s="89">
        <f>B13-C13</f>
        <v>431428.57142857142</v>
      </c>
      <c r="E13" s="89">
        <f>SUM($D$9:D13)</f>
        <v>2609400</v>
      </c>
      <c r="F13" s="90">
        <f t="shared" si="1"/>
        <v>0.04</v>
      </c>
      <c r="G13" s="89">
        <f t="shared" si="2"/>
        <v>104376</v>
      </c>
      <c r="H13" s="89">
        <f>SUM($I$9:I12)</f>
        <v>65339.142857142855</v>
      </c>
      <c r="I13" s="89">
        <f>G13-H13</f>
        <v>39036.857142857145</v>
      </c>
      <c r="J13" s="89">
        <f>B13-C13-I13</f>
        <v>392391.71428571426</v>
      </c>
      <c r="K13" s="91"/>
    </row>
    <row r="14" spans="1:11" s="38" customFormat="1" x14ac:dyDescent="0.25">
      <c r="F14" s="92"/>
    </row>
    <row r="15" spans="1:11" s="38" customFormat="1" x14ac:dyDescent="0.25">
      <c r="A15" s="38" t="s">
        <v>313</v>
      </c>
      <c r="F15" s="92"/>
    </row>
    <row r="16" spans="1:11" s="38" customFormat="1" x14ac:dyDescent="0.25">
      <c r="A16" s="88">
        <v>42849</v>
      </c>
      <c r="B16" s="89">
        <v>1196870</v>
      </c>
      <c r="C16" s="89">
        <f>B16/105*5</f>
        <v>56993.809523809527</v>
      </c>
      <c r="D16" s="89">
        <f>B16-C16</f>
        <v>1139876.1904761905</v>
      </c>
      <c r="E16" s="89">
        <f>SUM($D$16:D16)</f>
        <v>1139876.1904761905</v>
      </c>
      <c r="F16" s="90">
        <v>0.02</v>
      </c>
      <c r="G16" s="89">
        <f>E16*F16</f>
        <v>22797.523809523813</v>
      </c>
      <c r="H16" s="89">
        <v>0</v>
      </c>
      <c r="I16" s="89">
        <f>G16-H16</f>
        <v>22797.523809523813</v>
      </c>
      <c r="J16" s="89">
        <f>B16-C16-I16</f>
        <v>1117078.6666666667</v>
      </c>
      <c r="K16" s="91"/>
    </row>
    <row r="17" spans="1:11" s="38" customFormat="1" x14ac:dyDescent="0.25">
      <c r="A17" s="88">
        <v>43003</v>
      </c>
      <c r="B17" s="89">
        <v>450000</v>
      </c>
      <c r="C17" s="89">
        <f>B17/105*5</f>
        <v>21428.571428571428</v>
      </c>
      <c r="D17" s="89">
        <f>B17-C17</f>
        <v>428571.42857142858</v>
      </c>
      <c r="E17" s="89">
        <f>SUM($D$16:D17)</f>
        <v>1568447.6190476192</v>
      </c>
      <c r="F17" s="90">
        <v>0.03</v>
      </c>
      <c r="G17" s="89">
        <f t="shared" ref="G17:G20" si="4">E17*F17</f>
        <v>47053.428571428572</v>
      </c>
      <c r="H17" s="89">
        <f>SUM($I$16:I16)</f>
        <v>22797.523809523813</v>
      </c>
      <c r="I17" s="89">
        <f>G17-H17</f>
        <v>24255.90476190476</v>
      </c>
      <c r="J17" s="89">
        <f>B17-C17-I17</f>
        <v>404315.52380952385</v>
      </c>
      <c r="K17" s="91"/>
    </row>
    <row r="18" spans="1:11" s="38" customFormat="1" x14ac:dyDescent="0.25">
      <c r="A18" s="88">
        <v>43062</v>
      </c>
      <c r="B18" s="89">
        <v>190000</v>
      </c>
      <c r="C18" s="89">
        <f>B18/105*5</f>
        <v>9047.6190476190477</v>
      </c>
      <c r="D18" s="89">
        <f>B18-C18</f>
        <v>180952.38095238095</v>
      </c>
      <c r="E18" s="89">
        <f>SUM($D$16:D18)</f>
        <v>1749400</v>
      </c>
      <c r="F18" s="90">
        <v>0.03</v>
      </c>
      <c r="G18" s="89">
        <f t="shared" si="4"/>
        <v>52482</v>
      </c>
      <c r="H18" s="89">
        <f>SUM($I$16:I17)</f>
        <v>47053.428571428572</v>
      </c>
      <c r="I18" s="89">
        <f t="shared" ref="I18:I20" si="5">G18-H18</f>
        <v>5428.5714285714275</v>
      </c>
      <c r="J18" s="89">
        <f>B18-C18-I18</f>
        <v>175523.80952380953</v>
      </c>
      <c r="K18" s="91"/>
    </row>
    <row r="19" spans="1:11" s="38" customFormat="1" x14ac:dyDescent="0.25">
      <c r="A19" s="88">
        <v>43124</v>
      </c>
      <c r="B19" s="89">
        <v>450000</v>
      </c>
      <c r="C19" s="89">
        <f>B19/105*5</f>
        <v>21428.571428571428</v>
      </c>
      <c r="D19" s="89">
        <f>B19-C19</f>
        <v>428571.42857142858</v>
      </c>
      <c r="E19" s="89">
        <f>SUM($D$16:D19)</f>
        <v>2177971.4285714286</v>
      </c>
      <c r="F19" s="90">
        <v>0.03</v>
      </c>
      <c r="G19" s="89">
        <f t="shared" si="4"/>
        <v>65339.142857142855</v>
      </c>
      <c r="H19" s="89">
        <f>SUM($I$16:I18)</f>
        <v>52482</v>
      </c>
      <c r="I19" s="89">
        <f t="shared" si="5"/>
        <v>12857.142857142855</v>
      </c>
      <c r="J19" s="89">
        <f>B19-C19-I19</f>
        <v>415714.28571428574</v>
      </c>
      <c r="K19" s="91"/>
    </row>
    <row r="20" spans="1:11" s="38" customFormat="1" x14ac:dyDescent="0.25">
      <c r="A20" s="88">
        <v>43181</v>
      </c>
      <c r="B20" s="89">
        <v>453000</v>
      </c>
      <c r="C20" s="89">
        <f>B20/105*5</f>
        <v>21571.428571428572</v>
      </c>
      <c r="D20" s="89">
        <f>B20-C20</f>
        <v>431428.57142857142</v>
      </c>
      <c r="E20" s="89">
        <f>SUM($D$16:D20)</f>
        <v>2609400</v>
      </c>
      <c r="F20" s="90">
        <v>0.04</v>
      </c>
      <c r="G20" s="89">
        <f t="shared" si="4"/>
        <v>104376</v>
      </c>
      <c r="H20" s="89">
        <f>SUM($I$16:I19)</f>
        <v>65339.142857142855</v>
      </c>
      <c r="I20" s="89">
        <f t="shared" si="5"/>
        <v>39036.857142857145</v>
      </c>
      <c r="J20" s="89">
        <f>B20-C20-I20</f>
        <v>392391.71428571426</v>
      </c>
      <c r="K20" s="91"/>
    </row>
    <row r="21" spans="1:11" s="38" customFormat="1" x14ac:dyDescent="0.25">
      <c r="F21" s="92"/>
    </row>
    <row r="22" spans="1:11" s="38" customFormat="1" x14ac:dyDescent="0.25">
      <c r="F22" s="92"/>
    </row>
    <row r="23" spans="1:11" s="38" customFormat="1" x14ac:dyDescent="0.25">
      <c r="F23" s="92"/>
    </row>
    <row r="24" spans="1:11" s="38" customFormat="1" x14ac:dyDescent="0.25">
      <c r="F24" s="92"/>
    </row>
    <row r="25" spans="1:11" s="38" customFormat="1" x14ac:dyDescent="0.25">
      <c r="F25" s="92"/>
    </row>
    <row r="27" spans="1:11" x14ac:dyDescent="0.25">
      <c r="A27" t="s">
        <v>314</v>
      </c>
    </row>
    <row r="28" spans="1:11" x14ac:dyDescent="0.25">
      <c r="A28" t="s">
        <v>315</v>
      </c>
    </row>
    <row r="29" spans="1:11" x14ac:dyDescent="0.25">
      <c r="H29" s="93"/>
      <c r="I29" s="93"/>
      <c r="J29" s="93"/>
    </row>
    <row r="30" spans="1:11" x14ac:dyDescent="0.25">
      <c r="E30" s="157" t="s">
        <v>316</v>
      </c>
      <c r="F30" s="157"/>
      <c r="G30" s="157"/>
      <c r="H30" s="93"/>
      <c r="I30" s="93"/>
      <c r="J30" s="93"/>
    </row>
    <row r="31" spans="1:11" x14ac:dyDescent="0.25">
      <c r="E31" s="94">
        <v>0</v>
      </c>
      <c r="F31" s="94">
        <v>1500000</v>
      </c>
      <c r="G31" s="95">
        <f>IF(F31&lt;=1500000,2%,0)</f>
        <v>0.02</v>
      </c>
      <c r="H31" s="93"/>
      <c r="I31" s="93"/>
      <c r="J31" s="96"/>
    </row>
    <row r="32" spans="1:11" x14ac:dyDescent="0.25">
      <c r="E32" s="94">
        <v>1500001</v>
      </c>
      <c r="F32" s="94">
        <v>2500000</v>
      </c>
      <c r="G32" s="95">
        <f>IF(AND(F32&gt;1500000,F32&lt;=2500000),3%,0)</f>
        <v>0.03</v>
      </c>
      <c r="H32" s="93"/>
      <c r="I32" s="93"/>
      <c r="J32" s="96"/>
    </row>
    <row r="33" spans="4:10" x14ac:dyDescent="0.25">
      <c r="E33" s="94">
        <v>2500001</v>
      </c>
      <c r="F33" s="94">
        <v>10000000</v>
      </c>
      <c r="G33" s="95">
        <f>IF(AND(F33&gt;2500000,F33&lt;=10000000),4%,0)</f>
        <v>0.04</v>
      </c>
      <c r="H33" s="93"/>
      <c r="I33" s="93"/>
      <c r="J33" s="96"/>
    </row>
    <row r="34" spans="4:10" x14ac:dyDescent="0.25">
      <c r="E34" s="94">
        <v>10000001</v>
      </c>
      <c r="F34" s="94">
        <v>50000000</v>
      </c>
      <c r="G34" s="95">
        <f>IF(AND(F34&gt;10000000,F34&lt;=50000000),5%,0)</f>
        <v>0.05</v>
      </c>
      <c r="H34" s="93"/>
      <c r="I34" s="93"/>
      <c r="J34" s="96"/>
    </row>
    <row r="35" spans="4:10" x14ac:dyDescent="0.25">
      <c r="E35" s="94">
        <v>50000001</v>
      </c>
      <c r="F35" s="94">
        <v>100000000</v>
      </c>
      <c r="G35" s="95">
        <f>IF(AND(F35&gt;50000000,F35&lt;=100000000),6%,0)</f>
        <v>0.06</v>
      </c>
      <c r="H35" s="93"/>
      <c r="I35" s="93"/>
      <c r="J35" s="96"/>
    </row>
    <row r="36" spans="4:10" x14ac:dyDescent="0.25">
      <c r="E36" s="97"/>
      <c r="F36" s="94">
        <v>100000001</v>
      </c>
      <c r="G36" s="95">
        <f>IF(F36&gt;100000000,7%,0)</f>
        <v>7.0000000000000007E-2</v>
      </c>
      <c r="H36" s="93"/>
      <c r="I36" s="98"/>
      <c r="J36" s="96"/>
    </row>
    <row r="37" spans="4:10" x14ac:dyDescent="0.25">
      <c r="D37" s="99"/>
      <c r="E37" s="99"/>
      <c r="F37" s="100"/>
      <c r="H37" s="93"/>
      <c r="I37" s="93"/>
      <c r="J37" s="96"/>
    </row>
    <row r="38" spans="4:10" x14ac:dyDescent="0.25">
      <c r="D38" s="99"/>
      <c r="E38" s="99"/>
      <c r="H38" s="93"/>
      <c r="I38" s="93"/>
      <c r="J38" s="96"/>
    </row>
    <row r="39" spans="4:10" x14ac:dyDescent="0.25">
      <c r="D39" s="99"/>
      <c r="E39" s="99"/>
    </row>
    <row r="40" spans="4:10" x14ac:dyDescent="0.25">
      <c r="D40" s="101"/>
      <c r="E40" s="101"/>
    </row>
  </sheetData>
  <mergeCells count="12">
    <mergeCell ref="H6:H8"/>
    <mergeCell ref="I6:I8"/>
    <mergeCell ref="J6:J8"/>
    <mergeCell ref="K6:K8"/>
    <mergeCell ref="E30:G30"/>
    <mergeCell ref="F6:F8"/>
    <mergeCell ref="G6:G8"/>
    <mergeCell ref="A6:A8"/>
    <mergeCell ref="B6:B8"/>
    <mergeCell ref="C6:C7"/>
    <mergeCell ref="D6:D8"/>
    <mergeCell ref="E6:E8"/>
  </mergeCells>
  <pageMargins left="1" right="1" top="1" bottom="1" header="0" footer="0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2"/>
  <sheetViews>
    <sheetView workbookViewId="0">
      <selection activeCell="H19" sqref="H19"/>
    </sheetView>
  </sheetViews>
  <sheetFormatPr defaultRowHeight="12.75" x14ac:dyDescent="0.2"/>
  <cols>
    <col min="1" max="1" width="6.85546875" style="1" customWidth="1"/>
    <col min="2" max="2" width="30" style="1" bestFit="1" customWidth="1"/>
    <col min="3" max="3" width="11.28515625" style="1" bestFit="1" customWidth="1"/>
    <col min="4" max="4" width="15.85546875" style="1" bestFit="1" customWidth="1"/>
    <col min="5" max="5" width="13.5703125" style="1" bestFit="1" customWidth="1"/>
    <col min="6" max="6" width="10.85546875" style="1" bestFit="1" customWidth="1"/>
    <col min="7" max="7" width="1.140625" style="1" customWidth="1"/>
    <col min="8" max="8" width="12.140625" style="125" customWidth="1"/>
    <col min="9" max="16384" width="9.140625" style="1"/>
  </cols>
  <sheetData>
    <row r="1" spans="1:9" s="6" customFormat="1" ht="15.95" customHeight="1" x14ac:dyDescent="0.3">
      <c r="A1" s="5" t="s">
        <v>31</v>
      </c>
      <c r="B1" s="5" t="s">
        <v>32</v>
      </c>
      <c r="C1" s="5"/>
      <c r="D1" s="5" t="s">
        <v>33</v>
      </c>
      <c r="E1" s="5" t="s">
        <v>34</v>
      </c>
      <c r="F1" s="5" t="s">
        <v>35</v>
      </c>
      <c r="G1" s="5" t="s">
        <v>36</v>
      </c>
      <c r="H1" s="124" t="s">
        <v>36</v>
      </c>
    </row>
    <row r="2" spans="1:9" ht="15.95" customHeight="1" x14ac:dyDescent="0.3">
      <c r="A2" s="2">
        <v>3027</v>
      </c>
      <c r="B2" s="3" t="s">
        <v>0</v>
      </c>
      <c r="C2" s="1" t="str">
        <f t="shared" ref="C2:C15" si="0">LEFT(B2,SEARCH(" ",B2)-1)</f>
        <v>Md.</v>
      </c>
      <c r="D2" s="3" t="s">
        <v>29</v>
      </c>
      <c r="E2" s="3" t="s">
        <v>39</v>
      </c>
      <c r="F2" s="3" t="s">
        <v>2</v>
      </c>
      <c r="G2" s="4">
        <v>36730</v>
      </c>
      <c r="H2" s="125">
        <f t="shared" ref="H2:H15" si="1">G2*9%</f>
        <v>3305.7</v>
      </c>
      <c r="I2" s="7"/>
    </row>
    <row r="3" spans="1:9" ht="15.95" customHeight="1" x14ac:dyDescent="0.3">
      <c r="A3" s="2">
        <v>3262</v>
      </c>
      <c r="B3" s="3" t="s">
        <v>3</v>
      </c>
      <c r="C3" s="1" t="str">
        <f t="shared" si="0"/>
        <v>Quazi</v>
      </c>
      <c r="D3" s="3" t="s">
        <v>1</v>
      </c>
      <c r="E3" s="3" t="s">
        <v>39</v>
      </c>
      <c r="F3" s="3" t="s">
        <v>4</v>
      </c>
      <c r="G3" s="4">
        <v>36500</v>
      </c>
      <c r="H3" s="125">
        <f t="shared" si="1"/>
        <v>3285</v>
      </c>
      <c r="I3" s="7"/>
    </row>
    <row r="4" spans="1:9" ht="15.95" customHeight="1" x14ac:dyDescent="0.3">
      <c r="A4" s="2">
        <v>3267</v>
      </c>
      <c r="B4" s="3" t="s">
        <v>5</v>
      </c>
      <c r="C4" s="1" t="str">
        <f t="shared" si="0"/>
        <v>Mr.</v>
      </c>
      <c r="D4" s="3" t="s">
        <v>1</v>
      </c>
      <c r="E4" s="3" t="s">
        <v>39</v>
      </c>
      <c r="F4" s="3" t="s">
        <v>6</v>
      </c>
      <c r="G4" s="4">
        <v>33250</v>
      </c>
      <c r="H4" s="125">
        <f t="shared" si="1"/>
        <v>2992.5</v>
      </c>
      <c r="I4" s="7"/>
    </row>
    <row r="5" spans="1:9" ht="15.95" customHeight="1" x14ac:dyDescent="0.3">
      <c r="A5" s="2">
        <v>1184</v>
      </c>
      <c r="B5" s="3" t="s">
        <v>7</v>
      </c>
      <c r="C5" s="1" t="str">
        <f t="shared" si="0"/>
        <v>Md.</v>
      </c>
      <c r="D5" s="3" t="s">
        <v>8</v>
      </c>
      <c r="E5" s="3" t="s">
        <v>39</v>
      </c>
      <c r="F5" s="3" t="s">
        <v>9</v>
      </c>
      <c r="G5" s="4">
        <v>27480</v>
      </c>
      <c r="H5" s="125">
        <f t="shared" si="1"/>
        <v>2473.1999999999998</v>
      </c>
      <c r="I5" s="7"/>
    </row>
    <row r="6" spans="1:9" ht="15.95" customHeight="1" x14ac:dyDescent="0.3">
      <c r="A6" s="2">
        <v>3273</v>
      </c>
      <c r="B6" s="3" t="s">
        <v>10</v>
      </c>
      <c r="C6" s="1" t="str">
        <f t="shared" si="0"/>
        <v>Md.</v>
      </c>
      <c r="D6" s="3" t="s">
        <v>8</v>
      </c>
      <c r="E6" s="3" t="s">
        <v>39</v>
      </c>
      <c r="F6" s="3" t="s">
        <v>11</v>
      </c>
      <c r="G6" s="4">
        <v>27480</v>
      </c>
      <c r="H6" s="125">
        <f t="shared" si="1"/>
        <v>2473.1999999999998</v>
      </c>
      <c r="I6" s="7"/>
    </row>
    <row r="7" spans="1:9" ht="15.95" customHeight="1" x14ac:dyDescent="0.3">
      <c r="A7" s="2">
        <v>3297</v>
      </c>
      <c r="B7" s="3" t="s">
        <v>12</v>
      </c>
      <c r="C7" s="1" t="str">
        <f t="shared" si="0"/>
        <v>Mohammad</v>
      </c>
      <c r="D7" s="3" t="s">
        <v>30</v>
      </c>
      <c r="E7" s="3" t="s">
        <v>39</v>
      </c>
      <c r="F7" s="3" t="s">
        <v>13</v>
      </c>
      <c r="G7" s="4">
        <v>18720</v>
      </c>
      <c r="H7" s="125">
        <f t="shared" si="1"/>
        <v>1684.8</v>
      </c>
      <c r="I7" s="7"/>
    </row>
    <row r="8" spans="1:9" ht="15.95" customHeight="1" x14ac:dyDescent="0.3">
      <c r="A8" s="2">
        <v>3361</v>
      </c>
      <c r="B8" s="3" t="s">
        <v>37</v>
      </c>
      <c r="C8" s="1" t="str">
        <f t="shared" si="0"/>
        <v>Abu</v>
      </c>
      <c r="D8" s="3" t="s">
        <v>30</v>
      </c>
      <c r="E8" s="3" t="s">
        <v>39</v>
      </c>
      <c r="F8" s="3" t="s">
        <v>14</v>
      </c>
      <c r="G8" s="4">
        <v>17625</v>
      </c>
      <c r="H8" s="125">
        <f t="shared" si="1"/>
        <v>1586.25</v>
      </c>
      <c r="I8" s="7"/>
    </row>
    <row r="9" spans="1:9" ht="15.95" customHeight="1" x14ac:dyDescent="0.3">
      <c r="A9" s="2">
        <v>3367</v>
      </c>
      <c r="B9" s="3" t="s">
        <v>15</v>
      </c>
      <c r="C9" s="1" t="str">
        <f t="shared" si="0"/>
        <v>Mafizur</v>
      </c>
      <c r="D9" s="3" t="s">
        <v>8</v>
      </c>
      <c r="E9" s="3" t="s">
        <v>39</v>
      </c>
      <c r="F9" s="3" t="s">
        <v>16</v>
      </c>
      <c r="G9" s="4">
        <v>15435</v>
      </c>
      <c r="H9" s="125">
        <f t="shared" si="1"/>
        <v>1389.1499999999999</v>
      </c>
      <c r="I9" s="7"/>
    </row>
    <row r="10" spans="1:9" ht="15.95" customHeight="1" x14ac:dyDescent="0.3">
      <c r="A10" s="2">
        <v>3395</v>
      </c>
      <c r="B10" s="3" t="s">
        <v>38</v>
      </c>
      <c r="C10" s="1" t="str">
        <f t="shared" si="0"/>
        <v>Sajib</v>
      </c>
      <c r="D10" s="3" t="s">
        <v>8</v>
      </c>
      <c r="E10" s="3" t="s">
        <v>39</v>
      </c>
      <c r="F10" s="3" t="s">
        <v>17</v>
      </c>
      <c r="G10" s="4">
        <v>14340</v>
      </c>
      <c r="H10" s="125">
        <f t="shared" si="1"/>
        <v>1290.5999999999999</v>
      </c>
    </row>
    <row r="11" spans="1:9" ht="15.95" customHeight="1" x14ac:dyDescent="0.3">
      <c r="A11" s="2">
        <v>3394</v>
      </c>
      <c r="B11" s="3" t="s">
        <v>40</v>
      </c>
      <c r="C11" s="1" t="str">
        <f t="shared" si="0"/>
        <v>Sushanta</v>
      </c>
      <c r="D11" s="3" t="s">
        <v>8</v>
      </c>
      <c r="E11" s="3" t="s">
        <v>39</v>
      </c>
      <c r="F11" s="3" t="s">
        <v>18</v>
      </c>
      <c r="G11" s="4">
        <v>15435</v>
      </c>
      <c r="H11" s="125">
        <f t="shared" si="1"/>
        <v>1389.1499999999999</v>
      </c>
      <c r="I11" s="7"/>
    </row>
    <row r="12" spans="1:9" ht="15.95" customHeight="1" x14ac:dyDescent="0.3">
      <c r="A12" s="2">
        <v>3636</v>
      </c>
      <c r="B12" s="3" t="s">
        <v>19</v>
      </c>
      <c r="C12" s="1" t="str">
        <f t="shared" si="0"/>
        <v>Md.</v>
      </c>
      <c r="D12" s="3" t="s">
        <v>8</v>
      </c>
      <c r="E12" s="3" t="s">
        <v>39</v>
      </c>
      <c r="F12" s="3" t="s">
        <v>20</v>
      </c>
      <c r="G12" s="4">
        <v>14340</v>
      </c>
      <c r="H12" s="125">
        <f t="shared" si="1"/>
        <v>1290.5999999999999</v>
      </c>
      <c r="I12" s="7"/>
    </row>
    <row r="13" spans="1:9" ht="15.95" customHeight="1" x14ac:dyDescent="0.3">
      <c r="A13" s="2">
        <v>3661</v>
      </c>
      <c r="B13" s="3" t="s">
        <v>21</v>
      </c>
      <c r="C13" s="1" t="str">
        <f t="shared" si="0"/>
        <v>Shuesanquar</v>
      </c>
      <c r="D13" s="3" t="s">
        <v>22</v>
      </c>
      <c r="E13" s="3" t="s">
        <v>39</v>
      </c>
      <c r="F13" s="3" t="s">
        <v>23</v>
      </c>
      <c r="G13" s="4">
        <v>13765</v>
      </c>
      <c r="H13" s="125">
        <f t="shared" si="1"/>
        <v>1238.8499999999999</v>
      </c>
      <c r="I13" s="7"/>
    </row>
    <row r="14" spans="1:9" ht="15.95" customHeight="1" x14ac:dyDescent="0.3">
      <c r="A14" s="2">
        <v>3668</v>
      </c>
      <c r="B14" s="3" t="s">
        <v>24</v>
      </c>
      <c r="C14" s="1" t="str">
        <f t="shared" si="0"/>
        <v>Md.</v>
      </c>
      <c r="D14" s="3" t="s">
        <v>22</v>
      </c>
      <c r="E14" s="3" t="s">
        <v>39</v>
      </c>
      <c r="F14" s="3" t="s">
        <v>25</v>
      </c>
      <c r="G14" s="4">
        <v>13765</v>
      </c>
      <c r="H14" s="125">
        <f t="shared" si="1"/>
        <v>1238.8499999999999</v>
      </c>
      <c r="I14" s="7"/>
    </row>
    <row r="15" spans="1:9" ht="15.95" customHeight="1" x14ac:dyDescent="0.3">
      <c r="A15" s="2">
        <v>3652</v>
      </c>
      <c r="B15" s="3" t="s">
        <v>26</v>
      </c>
      <c r="C15" s="1" t="str">
        <f t="shared" si="0"/>
        <v>Md.</v>
      </c>
      <c r="D15" s="3" t="s">
        <v>27</v>
      </c>
      <c r="E15" s="3" t="s">
        <v>39</v>
      </c>
      <c r="F15" s="3" t="s">
        <v>28</v>
      </c>
      <c r="G15" s="4">
        <v>6405</v>
      </c>
      <c r="H15" s="125">
        <f t="shared" si="1"/>
        <v>576.44999999999993</v>
      </c>
      <c r="I15" s="7"/>
    </row>
    <row r="16" spans="1:9" ht="15.95" customHeight="1" x14ac:dyDescent="0.25">
      <c r="A16"/>
      <c r="B16"/>
      <c r="C16"/>
      <c r="D16"/>
      <c r="E16"/>
      <c r="F16"/>
      <c r="G16"/>
      <c r="H16" s="126"/>
      <c r="I16" s="7"/>
    </row>
    <row r="17" spans="1:9" ht="15.95" customHeight="1" x14ac:dyDescent="0.25">
      <c r="A17"/>
      <c r="B17"/>
      <c r="C17"/>
      <c r="D17"/>
      <c r="E17"/>
      <c r="F17"/>
      <c r="G17"/>
      <c r="H17" s="126"/>
      <c r="I17" s="7"/>
    </row>
    <row r="19" spans="1:9" x14ac:dyDescent="0.2">
      <c r="A19" s="1">
        <v>3395</v>
      </c>
      <c r="B19" s="1" t="str">
        <f>IFERROR(VLOOKUP($A$19,$A$2:$H$17,COLUMNS($A$1:B1),0),"WRONG ID")</f>
        <v>Sajib Sarker ORIG</v>
      </c>
      <c r="C19" s="1" t="str">
        <f>IFERROR(VLOOKUP($A$19,$A$2:$H$17,COLUMNS($A$1:C1),0),"WRONG ID")</f>
        <v>Sajib</v>
      </c>
      <c r="D19" s="1" t="str">
        <f>IFERROR(VLOOKUP($A$19,$A$2:$H$17,COLUMNS($A$1:D1),0),"WRONG ID")</f>
        <v>Senior Executive</v>
      </c>
      <c r="E19" s="1" t="str">
        <f>IFERROR(VLOOKUP($A$19,$A$2:$H$17,COLUMNS($A$1:E1),0),"WRONG ID")</f>
        <v>Internal Audit</v>
      </c>
      <c r="F19" s="1" t="str">
        <f>IFERROR(VLOOKUP($A$19,$A$2:$H$17,COLUMNS($A$1:F1),0),"WRONG ID")</f>
        <v>22-MAY-11</v>
      </c>
      <c r="G19" s="1">
        <f>IFERROR(VLOOKUP($A$19,$A$2:$H$17,COLUMNS($A$1:G1),0),"WRONG ID")</f>
        <v>14340</v>
      </c>
      <c r="H19" s="125">
        <f>IFERROR(VLOOKUP($A$19,$A$2:$H$17,COLUMNS($A$1:H1),0),"WRONG ID")</f>
        <v>1290.5999999999999</v>
      </c>
    </row>
    <row r="20" spans="1:9" x14ac:dyDescent="0.2">
      <c r="A20" s="1">
        <v>3</v>
      </c>
    </row>
    <row r="22" spans="1:9" x14ac:dyDescent="0.2">
      <c r="E22" s="8"/>
      <c r="F22" s="8"/>
    </row>
    <row r="25" spans="1:9" x14ac:dyDescent="0.2">
      <c r="E25" s="8"/>
      <c r="F25" s="8"/>
    </row>
    <row r="27" spans="1:9" x14ac:dyDescent="0.2">
      <c r="B27" s="1" t="str">
        <f>LEFT(B10,SEARCH(" ",B10)-1)</f>
        <v>Sajib</v>
      </c>
    </row>
    <row r="35" spans="2:5" ht="15" x14ac:dyDescent="0.3">
      <c r="B35" s="3"/>
    </row>
    <row r="36" spans="2:5" ht="15" x14ac:dyDescent="0.3">
      <c r="B36" s="3"/>
    </row>
    <row r="37" spans="2:5" ht="15" x14ac:dyDescent="0.3">
      <c r="B37" s="3"/>
    </row>
    <row r="38" spans="2:5" ht="15" x14ac:dyDescent="0.3">
      <c r="B38" s="3"/>
    </row>
    <row r="39" spans="2:5" ht="15" x14ac:dyDescent="0.3">
      <c r="B39" s="3"/>
    </row>
    <row r="40" spans="2:5" ht="15" x14ac:dyDescent="0.3">
      <c r="B40" s="3"/>
    </row>
    <row r="41" spans="2:5" ht="15" x14ac:dyDescent="0.3">
      <c r="B41" s="3"/>
      <c r="E41" s="1">
        <f>$E$39</f>
        <v>0</v>
      </c>
    </row>
    <row r="42" spans="2:5" ht="15" x14ac:dyDescent="0.3">
      <c r="B42" s="3"/>
    </row>
  </sheetData>
  <dataValidations count="1">
    <dataValidation type="list" allowBlank="1" showInputMessage="1" showErrorMessage="1" sqref="B2:B15" xr:uid="{00000000-0002-0000-0500-000000000000}">
      <formula1>$B$2:$B$17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"/>
  <sheetViews>
    <sheetView topLeftCell="A4" workbookViewId="0">
      <selection activeCell="E21" sqref="E21"/>
    </sheetView>
  </sheetViews>
  <sheetFormatPr defaultColWidth="16.42578125" defaultRowHeight="15" x14ac:dyDescent="0.25"/>
  <cols>
    <col min="1" max="1" width="5.5703125" bestFit="1" customWidth="1"/>
    <col min="2" max="2" width="31.7109375" style="45" customWidth="1"/>
    <col min="3" max="3" width="11.28515625" bestFit="1" customWidth="1"/>
    <col min="4" max="4" width="15.85546875" bestFit="1" customWidth="1"/>
    <col min="5" max="5" width="13.5703125" bestFit="1" customWidth="1"/>
    <col min="6" max="6" width="10.85546875" style="46" bestFit="1" customWidth="1"/>
    <col min="7" max="7" width="9" customWidth="1"/>
    <col min="8" max="8" width="9.140625" style="47" bestFit="1" customWidth="1"/>
    <col min="9" max="9" width="9.140625" style="47" customWidth="1"/>
    <col min="10" max="10" width="25.85546875" style="47" customWidth="1"/>
    <col min="11" max="11" width="25.28515625" style="38" customWidth="1"/>
    <col min="12" max="12" width="27.7109375" customWidth="1"/>
    <col min="13" max="13" width="22.28515625" customWidth="1"/>
  </cols>
  <sheetData>
    <row r="1" spans="1:12" s="44" customFormat="1" ht="16.5" x14ac:dyDescent="0.35">
      <c r="A1" s="50" t="s">
        <v>31</v>
      </c>
      <c r="B1" s="51" t="s">
        <v>32</v>
      </c>
      <c r="C1" s="50" t="s">
        <v>74</v>
      </c>
      <c r="D1" s="50" t="s">
        <v>33</v>
      </c>
      <c r="E1" s="50" t="s">
        <v>34</v>
      </c>
      <c r="F1" s="52" t="s">
        <v>35</v>
      </c>
      <c r="G1" s="50" t="s">
        <v>36</v>
      </c>
      <c r="H1" s="53" t="s">
        <v>36</v>
      </c>
      <c r="I1" s="64"/>
      <c r="K1" s="67"/>
    </row>
    <row r="2" spans="1:12" ht="15.75" x14ac:dyDescent="0.3">
      <c r="A2" s="54">
        <v>3027</v>
      </c>
      <c r="B2" s="55" t="s">
        <v>0</v>
      </c>
      <c r="C2" s="56" t="str">
        <f t="shared" ref="C2:C9" si="0">LEFT(B2,SEARCH(" ",B2)-1)</f>
        <v>Md.</v>
      </c>
      <c r="D2" s="57" t="s">
        <v>29</v>
      </c>
      <c r="E2" s="57" t="s">
        <v>39</v>
      </c>
      <c r="F2" s="58">
        <v>40909</v>
      </c>
      <c r="G2" s="59">
        <v>30000</v>
      </c>
      <c r="H2" s="49">
        <f t="shared" ref="H2:H15" si="1">G2*9%</f>
        <v>2700</v>
      </c>
      <c r="I2" s="65"/>
    </row>
    <row r="3" spans="1:12" ht="15.75" x14ac:dyDescent="0.3">
      <c r="A3" s="54">
        <v>3262</v>
      </c>
      <c r="B3" s="55" t="s">
        <v>3</v>
      </c>
      <c r="C3" s="56" t="str">
        <f>LEFT(B3,SEARCH(" ",B3)-1)</f>
        <v>Quazi</v>
      </c>
      <c r="D3" s="57" t="s">
        <v>1</v>
      </c>
      <c r="E3" s="57" t="s">
        <v>39</v>
      </c>
      <c r="F3" s="58">
        <v>35765</v>
      </c>
      <c r="G3" s="59">
        <v>30001.5</v>
      </c>
      <c r="H3" s="49">
        <f>G3*9%</f>
        <v>2700.1349999999998</v>
      </c>
      <c r="I3" s="65"/>
    </row>
    <row r="4" spans="1:12" ht="15.75" x14ac:dyDescent="0.3">
      <c r="A4" s="54">
        <v>3267</v>
      </c>
      <c r="B4" s="55" t="s">
        <v>5</v>
      </c>
      <c r="C4" s="56" t="str">
        <f t="shared" si="0"/>
        <v>Mr.</v>
      </c>
      <c r="D4" s="57" t="s">
        <v>1</v>
      </c>
      <c r="E4" s="57" t="s">
        <v>39</v>
      </c>
      <c r="F4" s="58">
        <v>36251</v>
      </c>
      <c r="G4" s="59">
        <v>24937.5</v>
      </c>
      <c r="H4" s="49"/>
      <c r="I4" s="65"/>
    </row>
    <row r="5" spans="1:12" ht="15.75" x14ac:dyDescent="0.3">
      <c r="A5" s="54">
        <v>1184</v>
      </c>
      <c r="B5" s="55" t="s">
        <v>7</v>
      </c>
      <c r="C5" s="56" t="str">
        <f>LEFT(B5,3)</f>
        <v>Md.</v>
      </c>
      <c r="D5" s="57" t="s">
        <v>8</v>
      </c>
      <c r="E5" s="57" t="s">
        <v>39</v>
      </c>
      <c r="F5" s="58">
        <v>35683</v>
      </c>
      <c r="G5" s="59">
        <v>20610</v>
      </c>
      <c r="H5" s="49">
        <f>G5*9%+144.12</f>
        <v>1999.02</v>
      </c>
      <c r="I5" s="65"/>
    </row>
    <row r="6" spans="1:12" ht="15.75" x14ac:dyDescent="0.3">
      <c r="A6" s="54">
        <v>3273</v>
      </c>
      <c r="B6" s="55" t="s">
        <v>10</v>
      </c>
      <c r="C6" s="56" t="str">
        <f t="shared" si="0"/>
        <v>Md.</v>
      </c>
      <c r="D6" s="57" t="s">
        <v>8</v>
      </c>
      <c r="E6" s="57" t="s">
        <v>39</v>
      </c>
      <c r="F6" s="58">
        <v>36731</v>
      </c>
      <c r="G6" s="59">
        <v>20610</v>
      </c>
      <c r="H6" s="49">
        <f t="shared" si="1"/>
        <v>1854.8999999999999</v>
      </c>
      <c r="I6" s="65"/>
      <c r="J6" s="57" t="s">
        <v>27</v>
      </c>
      <c r="K6" s="38">
        <f>SUMIF($D$2:$D$15,J6,$G$2:$G$15)</f>
        <v>4803.75</v>
      </c>
      <c r="L6" s="63"/>
    </row>
    <row r="7" spans="1:12" ht="15.75" x14ac:dyDescent="0.3">
      <c r="A7" s="54">
        <v>3297</v>
      </c>
      <c r="B7" s="55" t="s">
        <v>12</v>
      </c>
      <c r="C7" s="56" t="str">
        <f t="shared" si="0"/>
        <v>Mohammad</v>
      </c>
      <c r="D7" s="57" t="s">
        <v>30</v>
      </c>
      <c r="E7" s="57" t="s">
        <v>39</v>
      </c>
      <c r="F7" s="58">
        <v>38504</v>
      </c>
      <c r="G7" s="59">
        <v>14040</v>
      </c>
      <c r="H7" s="49">
        <f t="shared" si="1"/>
        <v>1263.5999999999999</v>
      </c>
      <c r="I7" s="65"/>
      <c r="J7" s="57" t="s">
        <v>22</v>
      </c>
      <c r="K7" s="38">
        <f>SUMIF($D$2:$D$15,J7,$G$2:$G$15)</f>
        <v>20647.5</v>
      </c>
    </row>
    <row r="8" spans="1:12" ht="15.75" x14ac:dyDescent="0.3">
      <c r="A8" s="54">
        <v>3361</v>
      </c>
      <c r="B8" s="55" t="s">
        <v>37</v>
      </c>
      <c r="C8" s="56" t="str">
        <f t="shared" si="0"/>
        <v>Abu</v>
      </c>
      <c r="D8" s="57" t="s">
        <v>30</v>
      </c>
      <c r="E8" s="57" t="s">
        <v>39</v>
      </c>
      <c r="F8" s="58">
        <v>39142</v>
      </c>
      <c r="G8" s="59">
        <v>13218.75</v>
      </c>
      <c r="H8" s="49"/>
      <c r="I8" s="65"/>
      <c r="J8" s="57" t="s">
        <v>8</v>
      </c>
      <c r="K8" s="38">
        <f t="shared" ref="K8:K11" si="2">SUMIF($D$2:$D$15,J8,$G$2:$G$15)</f>
        <v>85882.5</v>
      </c>
    </row>
    <row r="9" spans="1:12" ht="15.75" x14ac:dyDescent="0.3">
      <c r="A9" s="54">
        <v>3367</v>
      </c>
      <c r="B9" s="55" t="s">
        <v>15</v>
      </c>
      <c r="C9" s="56" t="str">
        <f t="shared" si="0"/>
        <v>Mafizur</v>
      </c>
      <c r="D9" s="57" t="s">
        <v>8</v>
      </c>
      <c r="E9" s="57" t="s">
        <v>39</v>
      </c>
      <c r="F9" s="58">
        <v>39418</v>
      </c>
      <c r="G9" s="59">
        <v>11576.25</v>
      </c>
      <c r="H9" s="49">
        <f>G9*9%</f>
        <v>1041.8625</v>
      </c>
      <c r="I9" s="65"/>
      <c r="J9" s="57" t="s">
        <v>30</v>
      </c>
      <c r="K9" s="38">
        <f t="shared" si="2"/>
        <v>27258.75</v>
      </c>
    </row>
    <row r="10" spans="1:12" ht="15.75" x14ac:dyDescent="0.3">
      <c r="A10" s="54">
        <v>3395</v>
      </c>
      <c r="B10" s="55" t="s">
        <v>38</v>
      </c>
      <c r="C10" s="56" t="str">
        <f>LEFT(B10,SEARCH(" ",B10)-1)</f>
        <v>Sajib</v>
      </c>
      <c r="D10" s="57" t="s">
        <v>8</v>
      </c>
      <c r="E10" s="57" t="s">
        <v>39</v>
      </c>
      <c r="F10" s="58">
        <v>40685</v>
      </c>
      <c r="G10" s="59">
        <v>10755</v>
      </c>
      <c r="H10" s="49">
        <f t="shared" si="1"/>
        <v>967.94999999999993</v>
      </c>
      <c r="I10" s="65"/>
      <c r="J10" s="57" t="s">
        <v>1</v>
      </c>
      <c r="K10" s="38">
        <f t="shared" si="2"/>
        <v>54939</v>
      </c>
    </row>
    <row r="11" spans="1:12" ht="15.75" x14ac:dyDescent="0.3">
      <c r="A11" s="54">
        <v>3394</v>
      </c>
      <c r="B11" s="55" t="s">
        <v>40</v>
      </c>
      <c r="C11" s="56" t="str">
        <f t="shared" ref="C11:C15" si="3">LEFT(B11,SEARCH(" ",B11)-1)</f>
        <v>Sushanta</v>
      </c>
      <c r="D11" s="57" t="s">
        <v>8</v>
      </c>
      <c r="E11" s="57" t="s">
        <v>39</v>
      </c>
      <c r="F11" s="58">
        <v>40253</v>
      </c>
      <c r="G11" s="59">
        <v>11576.25</v>
      </c>
      <c r="H11" s="49"/>
      <c r="I11" s="65"/>
      <c r="J11" s="57" t="s">
        <v>29</v>
      </c>
      <c r="K11" s="38">
        <f t="shared" si="2"/>
        <v>30000</v>
      </c>
    </row>
    <row r="12" spans="1:12" ht="15.75" x14ac:dyDescent="0.3">
      <c r="A12" s="54">
        <v>3636</v>
      </c>
      <c r="B12" s="55" t="s">
        <v>19</v>
      </c>
      <c r="C12" s="56" t="str">
        <f t="shared" si="3"/>
        <v>Md.</v>
      </c>
      <c r="D12" s="57" t="s">
        <v>8</v>
      </c>
      <c r="E12" s="57" t="s">
        <v>39</v>
      </c>
      <c r="F12" s="58">
        <v>40622</v>
      </c>
      <c r="G12" s="59">
        <v>10755</v>
      </c>
      <c r="H12" s="49">
        <f t="shared" si="1"/>
        <v>967.94999999999993</v>
      </c>
      <c r="I12" s="65"/>
      <c r="J12" s="65"/>
      <c r="K12" s="38">
        <f>SUM(K6:K11)</f>
        <v>223531.5</v>
      </c>
    </row>
    <row r="13" spans="1:12" ht="15.75" x14ac:dyDescent="0.3">
      <c r="A13" s="54">
        <v>3661</v>
      </c>
      <c r="B13" s="55" t="s">
        <v>21</v>
      </c>
      <c r="C13" s="56" t="str">
        <f t="shared" si="3"/>
        <v>Shuesanquar</v>
      </c>
      <c r="D13" s="57" t="s">
        <v>22</v>
      </c>
      <c r="E13" s="57" t="s">
        <v>39</v>
      </c>
      <c r="F13" s="58">
        <v>41148</v>
      </c>
      <c r="G13" s="59">
        <v>10323.75</v>
      </c>
      <c r="H13" s="49">
        <f t="shared" si="1"/>
        <v>929.13749999999993</v>
      </c>
      <c r="I13" s="65"/>
      <c r="J13" s="65"/>
    </row>
    <row r="14" spans="1:12" ht="15.75" x14ac:dyDescent="0.3">
      <c r="A14" s="54">
        <v>3668</v>
      </c>
      <c r="B14" s="55" t="s">
        <v>24</v>
      </c>
      <c r="C14" s="56" t="str">
        <f t="shared" si="3"/>
        <v>Md.</v>
      </c>
      <c r="D14" s="57" t="s">
        <v>22</v>
      </c>
      <c r="E14" s="57" t="s">
        <v>39</v>
      </c>
      <c r="F14" s="58">
        <v>41396</v>
      </c>
      <c r="G14" s="59">
        <v>10323.75</v>
      </c>
      <c r="H14" s="49">
        <f t="shared" si="1"/>
        <v>929.13749999999993</v>
      </c>
      <c r="I14" s="65"/>
      <c r="J14" s="57" t="s">
        <v>29</v>
      </c>
      <c r="K14" s="38">
        <f t="shared" ref="K14" si="4">SUMIF($D$2:$D$15,J14,$G$2:$G$15)</f>
        <v>30000</v>
      </c>
    </row>
    <row r="15" spans="1:12" ht="15.75" x14ac:dyDescent="0.3">
      <c r="A15" s="54">
        <v>3652</v>
      </c>
      <c r="B15" s="55" t="s">
        <v>26</v>
      </c>
      <c r="C15" s="56" t="str">
        <f t="shared" si="3"/>
        <v>Md.</v>
      </c>
      <c r="D15" s="57" t="s">
        <v>27</v>
      </c>
      <c r="E15" s="57" t="s">
        <v>39</v>
      </c>
      <c r="F15" s="58">
        <v>41038</v>
      </c>
      <c r="G15" s="59">
        <v>4803.75</v>
      </c>
      <c r="H15" s="49">
        <f t="shared" si="1"/>
        <v>432.33749999999998</v>
      </c>
      <c r="I15" s="65"/>
      <c r="J15" s="65"/>
    </row>
    <row r="16" spans="1:12" ht="15.75" thickBot="1" x14ac:dyDescent="0.3">
      <c r="G16" s="63">
        <f>SUM(G2:G15)</f>
        <v>223531.5</v>
      </c>
      <c r="H16" s="48">
        <f>SUM(H1:H15)</f>
        <v>15786.030000000002</v>
      </c>
      <c r="I16" s="66"/>
      <c r="J16" s="66"/>
      <c r="L16" s="66"/>
    </row>
    <row r="17" spans="2:12" ht="15.75" thickTop="1" x14ac:dyDescent="0.25">
      <c r="B17" s="66" t="s">
        <v>78</v>
      </c>
      <c r="C17" s="38">
        <f>RIGHT(SEARCH(" ",B17))+1</f>
        <v>7</v>
      </c>
      <c r="D17" t="str">
        <f>IFERROR(LEFT(B17,FIND(" ",B17)-1),B17)</f>
        <v>SAJIB</v>
      </c>
      <c r="E17" s="66" t="str">
        <f>IFERROR(MID(B17,SEARCH(" ",B17),LEN(RIGHT(B17,SEARCH(" ",B17)+1))),B17)</f>
        <v xml:space="preserve"> SARKER</v>
      </c>
      <c r="F17" s="46" t="str">
        <f>IFERROR(RIGHT(B17,LEN(B17)-LEN(D17)-1),B17)</f>
        <v>SARKER DIPTOOO duronto</v>
      </c>
      <c r="G17" s="63"/>
      <c r="J17" s="66"/>
      <c r="L17" t="str">
        <f>'Lef Right'!D17</f>
        <v>SAJIB</v>
      </c>
    </row>
    <row r="18" spans="2:12" x14ac:dyDescent="0.25">
      <c r="B18" s="66" t="s">
        <v>336</v>
      </c>
      <c r="C18" s="38" t="e">
        <f>RIGHT(SEARCH(" ",B18))+1</f>
        <v>#VALUE!</v>
      </c>
      <c r="D18" t="str">
        <f>IFERROR(LEFT(B18,FIND(" ",B18)-1),B18)</f>
        <v>rony</v>
      </c>
      <c r="E18" s="66" t="str">
        <f>IFERROR(MID(B18,SEARCH(" ",B18),LEN(RIGHT(B18,SEARCH(" ",B18)+1))),B18)</f>
        <v>rony</v>
      </c>
      <c r="F18" s="46" t="str">
        <f>IFERROR(RIGHT(B18,LEN(B18)-LEN(D18)-1),B18)</f>
        <v>rony</v>
      </c>
      <c r="G18" s="63"/>
    </row>
    <row r="19" spans="2:12" x14ac:dyDescent="0.25">
      <c r="D19">
        <f>FIND(" ",B17)</f>
        <v>6</v>
      </c>
    </row>
    <row r="20" spans="2:12" x14ac:dyDescent="0.25">
      <c r="D20" t="str">
        <f>LEFT(B17,FIND(" ",B17)-1)</f>
        <v>SAJIB</v>
      </c>
    </row>
  </sheetData>
  <protectedRanges>
    <protectedRange algorithmName="SHA-512" hashValue="qC5wwZU5k3q7eSVjCxRNAhAU1dXJcWggXeuDydQlqJuld/FoOUmwUOWWsgmncJfLy1G/B4sm2QkDBAf+FMNr6A==" saltValue="a0O3KLlG33QiRmZJZQTqkA==" spinCount="100000" sqref="A1:I15 J6:J15" name="Range1"/>
  </protectedRanges>
  <dataValidations count="1">
    <dataValidation type="list" allowBlank="1" showInputMessage="1" showErrorMessage="1" sqref="B2:B15" xr:uid="{00000000-0002-0000-0600-000000000000}">
      <formula1>$B$2:$B$17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2EE3-0345-4572-8AD4-FF518D8A29DD}">
  <dimension ref="A1:N21"/>
  <sheetViews>
    <sheetView topLeftCell="B4" workbookViewId="0">
      <selection activeCell="C8" sqref="C8"/>
    </sheetView>
  </sheetViews>
  <sheetFormatPr defaultRowHeight="15" x14ac:dyDescent="0.25"/>
  <cols>
    <col min="1" max="1" width="28.140625" bestFit="1" customWidth="1"/>
    <col min="3" max="6" width="18.140625" customWidth="1"/>
  </cols>
  <sheetData>
    <row r="1" spans="1:14" x14ac:dyDescent="0.25">
      <c r="A1" t="s">
        <v>337</v>
      </c>
      <c r="C1" s="127" t="str">
        <f t="shared" ref="C1:C2" si="0">IFERROR(LEFT(A1,FIND(" ",A1)-1),A1)</f>
        <v>Sajib</v>
      </c>
      <c r="D1" s="127" t="str">
        <f>MID(A1,FIND(" ",A1)+1,FIND(" ",A1,FIND(" ",A1)+1)-1-FIND(" ",A1))</f>
        <v>Sarker</v>
      </c>
      <c r="E1" s="127" t="str">
        <f>RIGHT(A1,LEN(A1)-FIND(" ",A1,FIND(" ",A1)+1))</f>
        <v>ORIG man</v>
      </c>
    </row>
    <row r="2" spans="1:14" x14ac:dyDescent="0.25">
      <c r="A2" t="s">
        <v>338</v>
      </c>
      <c r="C2" s="127" t="str">
        <f t="shared" si="0"/>
        <v>SS</v>
      </c>
      <c r="D2" s="127" t="e">
        <f t="shared" ref="D2:D3" si="1">MID(A2,FIND(" ",A2)+1,FIND(" ",A2,FIND(" ",A2)+1)-1-FIND(" ",A2))</f>
        <v>#VALUE!</v>
      </c>
      <c r="E2" s="127" t="e">
        <f t="shared" ref="E2:E3" si="2">RIGHT(A2,LEN(A2)-FIND(" ",A2,FIND(" ",A2)+1))</f>
        <v>#VALUE!</v>
      </c>
    </row>
    <row r="3" spans="1:14" x14ac:dyDescent="0.25">
      <c r="A3" t="s">
        <v>339</v>
      </c>
      <c r="C3" s="127" t="str">
        <f>IFERROR(LEFT(A3,FIND(" ",A3)-1),A3)</f>
        <v>ZZZZZZZ</v>
      </c>
      <c r="D3" s="127" t="e">
        <f t="shared" si="1"/>
        <v>#VALUE!</v>
      </c>
      <c r="E3" s="127" t="e">
        <f t="shared" si="2"/>
        <v>#VALUE!</v>
      </c>
    </row>
    <row r="4" spans="1:14" x14ac:dyDescent="0.25">
      <c r="A4" t="s">
        <v>38</v>
      </c>
      <c r="C4" s="127" t="str">
        <f>IFERROR(LEFT(A4,FIND(" ",A4)-1),A4)</f>
        <v>Sajib</v>
      </c>
      <c r="D4" s="127" t="str">
        <f t="shared" ref="D4" si="3">MID(A4,FIND(" ",A4)+1,FIND(" ",A4,FIND(" ",A4)+1)-1-FIND(" ",A4))</f>
        <v>Sarker</v>
      </c>
      <c r="E4" s="127" t="str">
        <f t="shared" ref="E4" si="4">RIGHT(A4,LEN(A4)-FIND(" ",A4,FIND(" ",A4)+1))</f>
        <v>ORIG</v>
      </c>
    </row>
    <row r="6" spans="1:14" ht="15.75" x14ac:dyDescent="0.25">
      <c r="A6" s="128" t="s">
        <v>345</v>
      </c>
      <c r="C6" s="134" t="str">
        <f>SUBSTITUTE(SUBSTITUTE(SUBSTITUTE(SUBSTITUTE(SUBSTITUTE(SUBSTITUTE(SUBSTITUTE(SUBSTITUTE(SUBSTITUTE(SUBSTITUTE(A6,0,""),1,""),2,""),3,""),4,""),5,""),6,""),7,""),8,""),9,"")</f>
        <v xml:space="preserve">      Rocky Set</v>
      </c>
    </row>
    <row r="7" spans="1:14" x14ac:dyDescent="0.25">
      <c r="A7" t="s">
        <v>340</v>
      </c>
      <c r="C7" s="127" t="str">
        <f>TRIM(SUBSTITUTE(SUBSTITUTE(SUBSTITUTE(SUBSTITUTE(SUBSTITUTE(SUBSTITUTE(SUBSTITUTE(SUBSTITUTE(SUBSTITUTE(SUBSTITUTE(A7,0,""),1,""),2,""),3,""),4,""),5,""),6,""),7,""),8,""),9,""))</f>
        <v>SAJIB SARKER</v>
      </c>
    </row>
    <row r="8" spans="1:14" x14ac:dyDescent="0.25">
      <c r="A8" t="s">
        <v>341</v>
      </c>
      <c r="C8" s="127" t="str">
        <f t="shared" ref="C8" si="5">TRIM(SUBSTITUTE(SUBSTITUTE(SUBSTITUTE(SUBSTITUTE(SUBSTITUTE(SUBSTITUTE(SUBSTITUTE(SUBSTITUTE(SUBSTITUTE(SUBSTITUTE(A8,0,""),1,""),2,""),3,""),4,""),5,""),6,""),7,""),8,""),9,""))</f>
        <v>Sajib Sarker Dew</v>
      </c>
    </row>
    <row r="9" spans="1:14" x14ac:dyDescent="0.25">
      <c r="C9" s="79"/>
      <c r="D9" s="79"/>
      <c r="E9" s="79"/>
      <c r="F9" s="79"/>
      <c r="G9" s="79"/>
      <c r="H9" s="79"/>
      <c r="I9" s="79"/>
      <c r="J9" s="79"/>
      <c r="K9" s="79"/>
      <c r="L9" s="79"/>
    </row>
    <row r="11" spans="1:14" x14ac:dyDescent="0.25">
      <c r="A11" s="129" t="s">
        <v>342</v>
      </c>
      <c r="B11" s="130" t="str">
        <f>MID($A11,COLUMN()-(COLUMN($A11)),1)</f>
        <v>3</v>
      </c>
      <c r="C11" s="130" t="str">
        <f t="shared" ref="C11:N11" si="6">MID($A11,COLUMN()-(COLUMN($A11)),1)</f>
        <v>8</v>
      </c>
      <c r="D11" s="130" t="str">
        <f t="shared" si="6"/>
        <v>3</v>
      </c>
      <c r="E11" s="130" t="str">
        <f t="shared" si="6"/>
        <v>4</v>
      </c>
      <c r="F11" s="130" t="str">
        <f t="shared" si="6"/>
        <v>1</v>
      </c>
      <c r="G11" s="130" t="str">
        <f t="shared" si="6"/>
        <v>3</v>
      </c>
      <c r="H11" s="130" t="str">
        <f t="shared" si="6"/>
        <v>9</v>
      </c>
      <c r="I11" s="130" t="str">
        <f t="shared" si="6"/>
        <v>0</v>
      </c>
      <c r="J11" s="130" t="str">
        <f t="shared" si="6"/>
        <v>7</v>
      </c>
      <c r="K11" s="130" t="str">
        <f t="shared" si="6"/>
        <v>2</v>
      </c>
      <c r="L11" s="130" t="str">
        <f t="shared" si="6"/>
        <v>5</v>
      </c>
      <c r="M11" s="130" t="str">
        <f t="shared" si="6"/>
        <v>7</v>
      </c>
      <c r="N11" s="130" t="str">
        <f t="shared" si="6"/>
        <v/>
      </c>
    </row>
    <row r="17" spans="1:3" x14ac:dyDescent="0.25">
      <c r="A17" t="s">
        <v>343</v>
      </c>
      <c r="C17" t="str">
        <f>TRIM(SUBSTITUTE(A17,5,""))</f>
        <v>34 Sajib 34</v>
      </c>
    </row>
    <row r="20" spans="1:3" x14ac:dyDescent="0.25">
      <c r="A20" t="s">
        <v>346</v>
      </c>
      <c r="C20" s="127" t="str">
        <f>LEFT(A20,FIND(" ",A20)-1)</f>
        <v>ddd</v>
      </c>
    </row>
    <row r="21" spans="1:3" x14ac:dyDescent="0.25">
      <c r="A21" t="s">
        <v>344</v>
      </c>
      <c r="C21" s="127" t="str">
        <f>LEFT(A21,FIND(" ",A21)-1)</f>
        <v>sssss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SL</vt:lpstr>
      <vt:lpstr>age</vt:lpstr>
      <vt:lpstr>aging</vt:lpstr>
      <vt:lpstr>slabTax_lo</vt:lpstr>
      <vt:lpstr>slabCon</vt:lpstr>
      <vt:lpstr>VAT_TAX_Deduction</vt:lpstr>
      <vt:lpstr>VLUP</vt:lpstr>
      <vt:lpstr>Lef Right</vt:lpstr>
      <vt:lpstr>FML name</vt:lpstr>
      <vt:lpstr>FML</vt:lpstr>
      <vt:lpstr>D_MAS</vt:lpstr>
      <vt:lpstr>Sumif</vt:lpstr>
      <vt:lpstr>Textjoin</vt:lpstr>
      <vt:lpstr>SUBSTITUTE</vt:lpstr>
      <vt:lpstr>AUD</vt:lpstr>
    </vt:vector>
  </TitlesOfParts>
  <Company>ACME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</dc:creator>
  <cp:lastModifiedBy>Sajib Sarker</cp:lastModifiedBy>
  <cp:lastPrinted>2022-09-26T04:58:24Z</cp:lastPrinted>
  <dcterms:created xsi:type="dcterms:W3CDTF">2016-07-27T04:45:26Z</dcterms:created>
  <dcterms:modified xsi:type="dcterms:W3CDTF">2025-02-27T04:14:15Z</dcterms:modified>
</cp:coreProperties>
</file>