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sitpana\Desktop\DEMANDAS NUEVO FORMATO\"/>
    </mc:Choice>
  </mc:AlternateContent>
  <bookViews>
    <workbookView xWindow="0" yWindow="0" windowWidth="28800" windowHeight="12300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H18" i="1" l="1" a="1"/>
  <c r="H18" i="1" s="1"/>
  <c r="C18" i="1" a="1"/>
  <c r="C18" i="1" s="1"/>
  <c r="E18" i="1" a="1"/>
  <c r="E18" i="1" s="1"/>
  <c r="J18" i="1" a="1"/>
  <c r="J18" i="1" s="1"/>
  <c r="H21" i="1" l="1"/>
  <c r="H20" i="1"/>
  <c r="H19" i="1"/>
  <c r="C20" i="1"/>
  <c r="C19" i="1"/>
  <c r="C21" i="1"/>
  <c r="E21" i="1"/>
  <c r="E20" i="1"/>
  <c r="E19" i="1"/>
  <c r="J21" i="1"/>
  <c r="J20" i="1"/>
  <c r="J19" i="1"/>
  <c r="E23" i="1" l="1" a="1"/>
  <c r="E23" i="1" s="1"/>
  <c r="H23" i="1" a="1"/>
  <c r="H23" i="1" s="1"/>
  <c r="J23" i="1" a="1"/>
  <c r="J23" i="1" s="1"/>
  <c r="G7" i="1" a="1"/>
  <c r="G7" i="1" s="1"/>
  <c r="F7" i="1" a="1"/>
  <c r="F7" i="1" s="1"/>
  <c r="J7" i="1" a="1"/>
  <c r="J7" i="1" s="1"/>
  <c r="J12" i="1" a="1"/>
  <c r="J12" i="1" s="1"/>
  <c r="H12" i="1" a="1"/>
  <c r="H12" i="1" s="1"/>
  <c r="E12" i="1" a="1"/>
  <c r="E15" i="1" s="1"/>
  <c r="O18" i="1" a="1"/>
  <c r="O20" i="1" s="1"/>
  <c r="E25" i="1" l="1"/>
  <c r="E26" i="1"/>
  <c r="E24" i="1"/>
  <c r="E27" i="1"/>
  <c r="H26" i="1"/>
  <c r="H25" i="1"/>
  <c r="H24" i="1"/>
  <c r="H27" i="1"/>
  <c r="J25" i="1"/>
  <c r="J27" i="1"/>
  <c r="J26" i="1"/>
  <c r="J24" i="1"/>
  <c r="J13" i="1"/>
  <c r="J15" i="1"/>
  <c r="J14" i="1"/>
  <c r="H15" i="1"/>
  <c r="H14" i="1"/>
  <c r="H13" i="1"/>
  <c r="E14" i="1"/>
  <c r="E13" i="1"/>
  <c r="E12" i="1"/>
  <c r="O21" i="1"/>
  <c r="O19" i="1"/>
  <c r="O18" i="1"/>
  <c r="O23" i="1" l="1" a="1"/>
  <c r="O23" i="1" s="1"/>
  <c r="O26" i="1" l="1"/>
  <c r="O25" i="1"/>
  <c r="O28" i="1"/>
  <c r="O24" i="1"/>
  <c r="O27" i="1"/>
  <c r="O10" i="1" l="1" a="1"/>
  <c r="O10" i="1" s="1"/>
  <c r="O12" i="1" l="1" a="1"/>
  <c r="O13" i="1" s="1"/>
  <c r="O14" i="1" l="1"/>
  <c r="O16" i="1"/>
  <c r="O12" i="1"/>
  <c r="O15" i="1"/>
  <c r="I19" i="1"/>
  <c r="I20" i="1"/>
  <c r="U26" i="1" l="1"/>
  <c r="J9" i="1" l="1"/>
  <c r="F22" i="1" l="1"/>
  <c r="Z33" i="1" s="1"/>
  <c r="M7" i="1"/>
  <c r="M6" i="1" s="1"/>
  <c r="H22" i="1"/>
  <c r="J22" i="1"/>
  <c r="K22" i="1" s="1"/>
  <c r="E22" i="1"/>
  <c r="X33" i="1" s="1"/>
  <c r="I7" i="1"/>
  <c r="I6" i="1" s="1"/>
  <c r="I14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J6" i="1"/>
  <c r="K6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Y30" i="1" l="1"/>
  <c r="T13" i="1"/>
  <c r="Y7" i="1"/>
  <c r="T14" i="1"/>
  <c r="T15" i="1"/>
  <c r="Y20" i="1"/>
  <c r="T21" i="1"/>
  <c r="T8" i="1"/>
  <c r="W7" i="1" s="1"/>
  <c r="Y14" i="1"/>
  <c r="Y12" i="1"/>
  <c r="Y15" i="1"/>
  <c r="AB7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E29" i="1"/>
  <c r="G29" i="1"/>
  <c r="H29" i="1"/>
  <c r="J29" i="1"/>
  <c r="W12" i="1" l="1"/>
  <c r="AA34" i="1"/>
  <c r="W18" i="1"/>
  <c r="AB18" i="1"/>
  <c r="AB12" i="1"/>
  <c r="Y34" i="1"/>
  <c r="M29" i="1"/>
  <c r="N29" i="1"/>
</calcChain>
</file>

<file path=xl/sharedStrings.xml><?xml version="1.0" encoding="utf-8"?>
<sst xmlns="http://schemas.openxmlformats.org/spreadsheetml/2006/main" count="126" uniqueCount="85">
  <si>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</si>
  <si>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</si>
  <si>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</si>
  <si>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</si>
  <si>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</si>
  <si>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</si>
  <si>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</si>
  <si>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</si>
  <si>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</si>
  <si>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</si>
  <si>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</si>
  <si>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</si>
  <si>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</si>
  <si>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</si>
  <si>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</si>
  <si>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</si>
  <si>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</si>
  <si>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</si>
  <si>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</si>
  <si>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</si>
  <si>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</si>
  <si>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</si>
  <si>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</si>
  <si>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</si>
  <si>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</si>
  <si>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</si>
  <si>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</si>
  <si>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</si>
  <si>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</si>
  <si>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</si>
  <si>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</si>
  <si>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</si>
  <si>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</si>
  <si>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</si>
  <si>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</si>
  <si>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</si>
  <si>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</si>
  <si>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</si>
  <si>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</si>
  <si>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</si>
  <si>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</si>
  <si>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</si>
  <si>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</si>
  <si>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</si>
  <si>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</si>
  <si>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</si>
  <si>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</si>
  <si>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</si>
  <si>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</si>
  <si>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</si>
  <si>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</si>
  <si>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</si>
  <si>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</si>
  <si>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</si>
  <si>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</si>
  <si>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</si>
  <si>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</si>
  <si>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</si>
  <si>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</si>
  <si>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</si>
  <si>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</si>
  <si>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</si>
  <si>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</si>
  <si>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</si>
  <si>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 xml:space="preserve">BUSES Y PASAJEROS POR SERVICIO SAN JUAN DE LURIGANCHO                                                                                                                                                                             </t>
  </si>
  <si>
    <t>0</t>
  </si>
  <si>
    <t>616:09</t>
  </si>
  <si>
    <t>1741:20</t>
  </si>
  <si>
    <t>717:24</t>
  </si>
  <si>
    <t>389:29</t>
  </si>
  <si>
    <t>279:28</t>
  </si>
  <si>
    <t>354:49</t>
  </si>
  <si>
    <t>72:45</t>
  </si>
  <si>
    <t>1317:15</t>
  </si>
  <si>
    <t>543:06</t>
  </si>
  <si>
    <t>37:28</t>
  </si>
  <si>
    <t>302:53</t>
  </si>
  <si>
    <t>153:03</t>
  </si>
  <si>
    <t>280:45</t>
  </si>
  <si>
    <t>490:50</t>
  </si>
  <si>
    <t>1148:50</t>
  </si>
  <si>
    <t>230:56</t>
  </si>
  <si>
    <t>183:17</t>
  </si>
  <si>
    <t>241:47</t>
  </si>
  <si>
    <t xml:space="preserve">  14:00:00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</si>
</sst>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12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0" fillId="0" borderId="12" xfId="0" applyFill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/>
    <cellStyle name="Normal 2 2 2" xfId="4"/>
    <cellStyle name="Normal 2 2 3" xfId="5"/>
    <cellStyle name="Normal 2 3" xfId="2"/>
    <cellStyle name="Normal 23" xfId="3"/>
    <cellStyle name="Normal 3" xfId="9"/>
    <cellStyle name="Normal 5 2" xfId="6"/>
    <cellStyle name="Normal 6" xfId="7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15874</xdr:rowOff>
    </xdr:from>
    <xdr:to>
      <xdr:col>15</xdr:col>
      <xdr:colOff>6708</xdr:colOff>
      <xdr:row>29</xdr:row>
      <xdr:rowOff>1848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5874"/>
          <a:ext cx="10627083" cy="582797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PRODUCCION%20CAV%2010-08-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VELOCIDAD%20LUNES%2010.08.2020_SR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PRODUCCION%20%2010.08.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VELOCIDAD%20MORADO%2010-08.20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PRODUC%20-%20RESUMEN%20VELOC-TIEMPOS%20TGA%20-10.08.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AZUL%2010-08-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PRODUC%20-%20RESUMEN%20VELOC-TIEMPOS%20%20JP-10.08.2020-%20MARCELO-%20of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ROJO%20VELOCIDAD%2010.08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KM!F8C10" advise="1">
            <x14:values>
              <value>
                <val>1409.2599999999998</val>
              </value>
            </x14:values>
          </x14:oleItem>
        </mc:Choice>
        <mc:Fallback>
          <oleItem name="!KM!F8C10" advise="1"/>
        </mc:Fallback>
      </mc:AlternateContent>
      <mc:AlternateContent xmlns:mc="http://schemas.openxmlformats.org/markup-compatibility/2006">
        <mc:Choice Requires="x14">
          <x14:oleItem name="!KM!F8C11" advise="1">
            <x14:values>
              <value>
                <val>2488</val>
              </value>
            </x14:values>
          </x14:oleItem>
        </mc:Choice>
        <mc:Fallback>
          <oleItem name="!KM!F8C11" advise="1"/>
        </mc:Fallback>
      </mc:AlternateContent>
      <mc:AlternateContent xmlns:mc="http://schemas.openxmlformats.org/markup-compatibility/2006">
        <mc:Choice Requires="x14">
          <x14:oleItem name="!KM!F8C12" advise="1">
            <x14:values>
              <value>
                <val>2985.6</val>
              </value>
            </x14:values>
          </x14:oleItem>
        </mc:Choice>
        <mc:Fallback>
          <oleItem name="!KM!F8C12" advise="1"/>
        </mc:Fallback>
      </mc:AlternateContent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8C14" advise="1">
            <x14:values>
              <value>
                <val>27.881775302773171</val>
              </value>
            </x14:values>
          </x14:oleItem>
        </mc:Choice>
        <mc:Fallback>
          <oleItem name="!MAÑANA!F8C14" advise="1"/>
        </mc:Fallback>
      </mc:AlternateContent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Hoja1!F18C3:F21C3" advise="1">
            <x14:values rows="4">
              <value>
                <val>60</val>
              </value>
              <value>
                <val>33</val>
              </value>
              <value>
                <val>28</val>
              </value>
              <value>
                <val>27</val>
              </value>
            </x14:values>
          </x14:oleItem>
        </mc:Choice>
        <mc:Fallback>
          <oleItem name="!Hoja1!F18C3:F21C3" advise="1"/>
        </mc:Fallback>
      </mc:AlternateContent>
      <mc:AlternateContent xmlns:mc="http://schemas.openxmlformats.org/markup-compatibility/2006">
        <mc:Choice Requires="x14">
          <x14:oleItem name="!Hoja1!F5C11:F8C11" advise="1">
            <x14:values rows="4">
              <value>
                <val>9083.3990000000013</val>
              </value>
              <value>
                <val>4853.1180000000013</val>
              </value>
              <value>
                <val>5333.37</val>
              </value>
              <value>
                <val>4725.1300000000019</val>
              </value>
            </x14:values>
          </x14:oleItem>
        </mc:Choice>
        <mc:Fallback>
          <oleItem name="!Hoja1!F5C11:F8C11" advise="1"/>
        </mc:Fallback>
      </mc:AlternateContent>
      <mc:AlternateContent xmlns:mc="http://schemas.openxmlformats.org/markup-compatibility/2006">
        <mc:Choice Requires="x14">
          <x14:oleItem name="!Hoja1!F5C6:F8C6" advise="1">
            <x14:values rows="4">
              <value>
                <val>557</val>
              </value>
              <value>
                <val>389</val>
              </value>
              <value>
                <val>315</val>
              </value>
              <value>
                <val>370</val>
              </value>
            </x14:values>
          </x14:oleItem>
        </mc:Choice>
        <mc:Fallback>
          <oleItem name="!Hoja1!F5C6:F8C6" advise="1"/>
        </mc:Fallback>
      </mc:AlternateContent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12C14:F16C14" advise="1">
            <x14:values rows="5">
              <value>
                <val>21.898864756421958</val>
              </value>
              <value>
                <val>22.809857167812616</val>
              </value>
              <value>
                <val>21.791770223813256</val>
              </value>
              <value>
                <val>25.805451222643818</val>
              </value>
              <value>
                <val>0</val>
              </value>
            </x14:values>
          </x14:oleItem>
        </mc:Choice>
        <mc:Fallback>
          <oleItem name="!MAÑANA!F12C14:F16C14" advise="1"/>
        </mc:Fallback>
      </mc:AlternateContent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KM - FLOTA MAXIMA !F17C5:F20C5" advise="1">
            <x14:values rows="4">
              <value>
                <val>45</val>
              </value>
              <value>
                <val>31</val>
              </value>
              <value>
                <val>18</val>
              </value>
              <value>
                <val>21</val>
              </value>
            </x14:values>
          </x14:oleItem>
        </mc:Choice>
        <mc:Fallback>
          <oleItem name="!KM - FLOTA MAXIMA !F17C5:F20C5" advise="1"/>
        </mc:Fallback>
      </mc:AlternateContent>
      <mc:AlternateContent xmlns:mc="http://schemas.openxmlformats.org/markup-compatibility/2006">
        <mc:Choice Requires="x14">
          <x14:oleItem name="!KM - FLOTA MAXIMA !F17C6:F20C6" advise="1">
            <x14:values rows="4">
              <value>
                <val>42</val>
              </value>
              <value>
                <val>29</val>
              </value>
              <value>
                <val>16</val>
              </value>
              <value>
                <val>21</val>
              </value>
            </x14:values>
          </x14:oleItem>
        </mc:Choice>
        <mc:Fallback>
          <oleItem name="!KM - FLOTA MAXIMA !F17C6:F20C6" advise="1"/>
        </mc:Fallback>
      </mc:AlternateContent>
      <mc:AlternateContent xmlns:mc="http://schemas.openxmlformats.org/markup-compatibility/2006">
        <mc:Choice Requires="x14">
          <x14:oleItem name="!KM - FLOTA MAXIMA !F6C6:F9C6" advise="1">
            <x14:values rows="4">
              <value>
                <val>642</val>
              </value>
              <value>
                <val>466</val>
              </value>
              <value>
                <val>360</val>
              </value>
              <value>
                <val>402</val>
              </value>
            </x14:values>
          </x14:oleItem>
        </mc:Choice>
        <mc:Fallback>
          <oleItem name="!KM - FLOTA MAXIMA !F6C6:F9C6" advise="1"/>
        </mc:Fallback>
      </mc:AlternateContent>
      <mc:AlternateContent xmlns:mc="http://schemas.openxmlformats.org/markup-compatibility/2006">
        <mc:Choice Requires="x14">
          <x14:oleItem name="!KM - FLOTA MAXIMA !F6C8:F9C8" advise="1">
            <x14:values rows="4">
              <value>
                <val>9222.9700000000012</val>
              </value>
              <value>
                <val>5094.66</val>
              </value>
              <value>
                <val>4275.1499999999996</val>
              </value>
              <value>
                <val>4196.16</val>
              </value>
            </x14:values>
          </x14:oleItem>
        </mc:Choice>
        <mc:Fallback>
          <oleItem name="!KM - FLOTA MAXIMA !F6C8:F9C8" advise="1"/>
        </mc:Fallback>
      </mc:AlternateContent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11C14:F14C14" advise="1">
            <x14:values rows="4">
              <value>
                <val>19.862175686616879</val>
              </value>
              <value>
                <val>21.354145453967782</val>
              </value>
              <value>
                <val>26.326321133044146</val>
              </value>
              <value>
                <val>17.806311894073524</val>
              </value>
            </x14:values>
          </x14:oleItem>
        </mc:Choice>
        <mc:Fallback>
          <oleItem name="!MAÑANA!F11C14:F14C14" advise="1"/>
        </mc:Fallback>
      </mc:AlternateContent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KM - FLOTA MAXIMA !F19C6:F23C6" advise="1">
            <x14:values rows="5">
              <value>
                <val>69</val>
              </value>
              <value>
                <val>10</val>
              </value>
              <value>
                <val>32</val>
              </value>
              <value>
                <val>14</val>
              </value>
              <value>
                <val>42</val>
              </value>
            </x14:values>
          </x14:oleItem>
        </mc:Choice>
        <mc:Fallback>
          <oleItem name="!KM - FLOTA MAXIMA !F19C6:F23C6" advise="1"/>
        </mc:Fallback>
      </mc:AlternateContent>
      <mc:AlternateContent xmlns:mc="http://schemas.openxmlformats.org/markup-compatibility/2006">
        <mc:Choice Requires="x14">
          <x14:oleItem name="!KM - FLOTA MAXIMA !F6C7:F10C7" advise="1">
            <x14:values rows="5">
              <value>
                <val>538</val>
              </value>
              <value>
                <val>49</val>
              </value>
              <value>
                <val>290</val>
              </value>
              <value>
                <val>113</val>
              </value>
              <value>
                <val>313</val>
              </value>
            </x14:values>
          </x14:oleItem>
        </mc:Choice>
        <mc:Fallback>
          <oleItem name="!KM - FLOTA MAXIMA !F6C7:F10C7" advise="1"/>
        </mc:Fallback>
      </mc:AlternateContent>
      <mc:AlternateContent xmlns:mc="http://schemas.openxmlformats.org/markup-compatibility/2006">
        <mc:Choice Requires="x14">
          <x14:oleItem name="!KM - FLOTA MAXIMA !F6C8:F10C8" advise="1">
            <x14:values rows="5">
              <value>
                <val>12836.68</val>
              </value>
              <value>
                <val>842.80000000000018</val>
              </value>
              <value>
                <val>7821.2999999999993</val>
              </value>
              <value>
                <val>3565.15</val>
              </value>
              <value>
                <val>7382.1050000000005</val>
              </value>
            </x14:values>
          </x14:oleItem>
        </mc:Choice>
        <mc:Fallback>
          <oleItem name="!KM - FLOTA MAXIMA !F6C8:F10C8" advise="1"/>
        </mc:Fallback>
      </mc:AlternateContent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13C14:F18C14" advise="1">
            <x14:values rows="6">
              <value>
                <val>22.173987162751249</val>
              </value>
              <value>
                <val>27.05035771518704</val>
              </value>
              <value>
                <val>26.950623625352573</val>
              </value>
              <value>
                <val>23.776744955907269</val>
              </value>
              <value>
                <val>20.297139856589354</val>
              </value>
              <value>
                <val>0</val>
              </value>
            </x14:values>
          </x14:oleItem>
        </mc:Choice>
        <mc:Fallback>
          <oleItem name="!MAÑANA!F13C14:F18C14" advise="1"/>
        </mc:Fallback>
      </mc:AlternateContent>
    </oleItems>
  </oleLin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F53"/>
  <sheetViews>
    <sheetView showGridLines="0" tabSelected="1" topLeftCell="N17" zoomScale="96" zoomScaleNormal="96" workbookViewId="0">
      <selection activeCell="U23" sqref="U23:AA23"/>
    </sheetView>
  </sheetViews>
  <sheetFormatPr baseColWidth="10" defaultColWidth="10.7109375" defaultRowHeight="15" x14ac:dyDescent="0.25"/>
  <cols>
    <col min="1" max="1" width="0.7109375" customWidth="1"/>
    <col min="2" max="2" width="12.140625" customWidth="1"/>
    <col min="3" max="3" width="10.140625" customWidth="1"/>
    <col min="4" max="4" width="3" customWidth="1"/>
    <col min="5" max="5" width="8.28515625" customWidth="1"/>
    <col min="6" max="6" width="21.7109375" customWidth="1"/>
    <col min="7" max="7" width="17.42578125" customWidth="1"/>
    <col min="8" max="9" width="11.7109375" customWidth="1"/>
    <col min="10" max="10" width="13.140625" customWidth="1"/>
    <col min="11" max="11" width="13.140625" hidden="1" customWidth="1"/>
    <col min="12" max="12" width="13.5703125" customWidth="1"/>
    <col min="13" max="14" width="9.42578125" customWidth="1"/>
    <col min="15" max="15" width="12.5703125" customWidth="1"/>
    <col min="16" max="16" width="8.28515625" customWidth="1"/>
    <col min="17" max="17" width="10.7109375" customWidth="1"/>
    <col min="18" max="18" width="8.28515625" customWidth="1"/>
    <col min="19" max="19" width="7" style="1" customWidth="1"/>
    <col min="20" max="20" width="7" customWidth="1"/>
    <col min="21" max="21" width="10" customWidth="1"/>
    <col min="22" max="22" width="8.7109375" customWidth="1"/>
    <col min="23" max="23" width="8" customWidth="1"/>
    <col min="24" max="24" width="9.7109375" customWidth="1"/>
    <col min="25" max="25" width="9.140625" customWidth="1"/>
    <col min="26" max="26" width="9.85546875" bestFit="1" customWidth="1"/>
    <col min="27" max="27" width="16.7109375" customWidth="1"/>
    <col min="31" max="31" width="13.7109375" customWidth="1"/>
  </cols>
  <sheetData>
    <row r="1" spans="2:32" ht="15.75" x14ac:dyDescent="0.25">
      <c r="B1" s="150" t="s">
        <v>37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2"/>
      <c r="O1" s="93"/>
    </row>
    <row r="2" spans="2:32" ht="18" customHeight="1" thickBot="1" x14ac:dyDescent="0.3">
      <c r="B2" s="153" t="s">
        <v>38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5"/>
      <c r="O2" s="93"/>
    </row>
    <row r="3" spans="2:32" ht="18.75" customHeight="1" thickBot="1" x14ac:dyDescent="0.3">
      <c r="B3" s="154">
        <v>44053</v>
      </c>
      <c r="C3" s="154"/>
      <c r="D3" s="154"/>
      <c r="E3" s="154"/>
      <c r="F3" s="154"/>
      <c r="G3" s="154"/>
      <c r="H3" s="154"/>
      <c r="I3" s="154"/>
      <c r="J3" s="154"/>
      <c r="K3" s="76"/>
      <c r="L3" s="76"/>
      <c r="M3" s="180">
        <v>0.625</v>
      </c>
      <c r="N3" s="180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">
      <c r="B4" s="158" t="s">
        <v>4</v>
      </c>
      <c r="C4" s="160" t="s">
        <v>5</v>
      </c>
      <c r="D4" s="161"/>
      <c r="E4" s="162"/>
      <c r="F4" s="163" t="s">
        <v>36</v>
      </c>
      <c r="G4" s="165" t="s">
        <v>3</v>
      </c>
      <c r="H4" s="169" t="s">
        <v>6</v>
      </c>
      <c r="I4" s="80" t="s">
        <v>55</v>
      </c>
      <c r="J4" s="184" t="s">
        <v>7</v>
      </c>
      <c r="K4" s="77" t="s">
        <v>53</v>
      </c>
      <c r="L4" s="80" t="s">
        <v>54</v>
      </c>
      <c r="M4" s="184" t="s">
        <v>8</v>
      </c>
      <c r="N4" s="184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">
      <c r="B5" s="159"/>
      <c r="C5" s="13" t="s">
        <v>10</v>
      </c>
      <c r="D5" s="166" t="s">
        <v>11</v>
      </c>
      <c r="E5" s="14" t="s">
        <v>12</v>
      </c>
      <c r="F5" s="164"/>
      <c r="G5" s="165"/>
      <c r="H5" s="169"/>
      <c r="I5" s="89" t="s">
        <v>58</v>
      </c>
      <c r="J5" s="185"/>
      <c r="K5" s="88" t="s">
        <v>57</v>
      </c>
      <c r="L5" s="89" t="s">
        <v>56</v>
      </c>
      <c r="M5" s="185"/>
      <c r="N5" s="185"/>
      <c r="O5" s="96" t="s">
        <v>63</v>
      </c>
      <c r="Q5" s="15"/>
      <c r="R5" s="15"/>
      <c r="S5" s="186" t="s">
        <v>13</v>
      </c>
      <c r="T5" s="186"/>
      <c r="U5" s="186"/>
      <c r="V5" s="186"/>
      <c r="W5" s="186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25">
      <c r="B6" s="19" t="s">
        <v>14</v>
      </c>
      <c r="C6" s="99">
        <f>SUM(C8+C7)</f>
        <v>14</v>
      </c>
      <c r="D6" s="167"/>
      <c r="E6" s="100">
        <f>E7</f>
        <v>8</v>
      </c>
      <c r="F6" s="101">
        <f>F7</f>
        <v>2488</v>
      </c>
      <c r="G6" s="102">
        <f>G7</f>
        <v>2985.6</v>
      </c>
      <c r="H6" s="103">
        <f>+H7</f>
        <v>124</v>
      </c>
      <c r="I6" s="104">
        <f>I7</f>
        <v>19.371271477663228</v>
      </c>
      <c r="J6" s="105">
        <f>SUM(J8+J7)</f>
        <v>1409.2599999999998</v>
      </c>
      <c r="K6" s="105">
        <f>J6</f>
        <v>1409.2599999999998</v>
      </c>
      <c r="L6" s="106" t="s">
        <v>72</v>
      </c>
      <c r="M6" s="107">
        <f>M7</f>
        <v>1.7654655634872205</v>
      </c>
      <c r="N6" s="108">
        <f>N7</f>
        <v>373.2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25">
      <c r="B7" s="23">
        <v>508</v>
      </c>
      <c r="C7" s="109">
        <v>14</v>
      </c>
      <c r="D7" s="167"/>
      <c r="E7" s="110">
        <v>8</v>
      </c>
      <c r="F7" s="111">
        <f t="array" ref="F7">[2]!'!KM!F8C11'</f>
        <v>2488</v>
      </c>
      <c r="G7" s="112">
        <f t="array" ref="G7">[2]!'!KM!F8C12'</f>
        <v>2985.6</v>
      </c>
      <c r="H7" s="113">
        <v>124</v>
      </c>
      <c r="I7" s="114">
        <f>J7/(L7*24)</f>
        <v>19.371271477663228</v>
      </c>
      <c r="J7" s="115">
        <f t="array" ref="J7">[2]!'!KM!F8C10'</f>
        <v>1409.2599999999998</v>
      </c>
      <c r="K7" s="115">
        <v>2717.99</v>
      </c>
      <c r="L7" s="116" t="s">
        <v>72</v>
      </c>
      <c r="M7" s="117">
        <f>+F7/J7</f>
        <v>1.7654655634872205</v>
      </c>
      <c r="N7" s="118">
        <f>+G7/E7</f>
        <v>373.2</v>
      </c>
      <c r="O7" s="118">
        <v>18.754666996645227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25">
      <c r="B8" s="23">
        <v>516</v>
      </c>
      <c r="C8" s="109">
        <v>0</v>
      </c>
      <c r="D8" s="167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">
      <c r="B9" s="28" t="s">
        <v>16</v>
      </c>
      <c r="C9" s="99">
        <f>C10</f>
        <v>70</v>
      </c>
      <c r="D9" s="167"/>
      <c r="E9" s="121">
        <f>E10</f>
        <v>70</v>
      </c>
      <c r="F9" s="122">
        <f>F10</f>
        <v>10657</v>
      </c>
      <c r="G9" s="123">
        <f t="shared" ref="G9" si="0">G10</f>
        <v>25592.5</v>
      </c>
      <c r="H9" s="124">
        <f>H10</f>
        <v>483</v>
      </c>
      <c r="I9" s="114">
        <f t="shared" ref="I9:I27" si="1">J9/(L9*24)</f>
        <v>26.596640428467097</v>
      </c>
      <c r="J9" s="125">
        <f>J10</f>
        <v>16387.52</v>
      </c>
      <c r="K9" s="125">
        <f>J9</f>
        <v>16387.52</v>
      </c>
      <c r="L9" s="126" t="s">
        <v>66</v>
      </c>
      <c r="M9" s="117">
        <f t="shared" ref="M9:M29" si="2">+F9/J9</f>
        <v>0.65031194469938103</v>
      </c>
      <c r="N9" s="118">
        <f t="shared" ref="N9:N27" si="3">+G9/E9</f>
        <v>365.60714285714283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25">
      <c r="B10" s="28">
        <v>107</v>
      </c>
      <c r="C10" s="109">
        <v>70</v>
      </c>
      <c r="D10" s="167"/>
      <c r="E10" s="127">
        <v>70</v>
      </c>
      <c r="F10" s="111">
        <v>10657</v>
      </c>
      <c r="G10" s="112">
        <v>25592.5</v>
      </c>
      <c r="H10" s="113">
        <v>483</v>
      </c>
      <c r="I10" s="114">
        <f>J10/(L10*24)</f>
        <v>26.596640428467097</v>
      </c>
      <c r="J10" s="115">
        <v>16387.52</v>
      </c>
      <c r="K10" s="115">
        <v>32.5</v>
      </c>
      <c r="L10" s="116" t="s">
        <v>66</v>
      </c>
      <c r="M10" s="117">
        <f>+F10/J10</f>
        <v>0.65031194469938103</v>
      </c>
      <c r="N10" s="118">
        <f t="shared" si="3"/>
        <v>365.60714285714283</v>
      </c>
      <c r="O10" s="118">
        <f t="array" ref="O10">[3]!'!MAÑANA!F8C14'</f>
        <v>27.881775302773171</v>
      </c>
      <c r="T10" s="1"/>
      <c r="U10" s="1"/>
      <c r="V10" s="1"/>
      <c r="W10" s="1"/>
    </row>
    <row r="11" spans="2:32" x14ac:dyDescent="0.25">
      <c r="B11" s="35" t="s">
        <v>18</v>
      </c>
      <c r="C11" s="99">
        <f>SUM(C15+C14+C13+C12+C16)</f>
        <v>168</v>
      </c>
      <c r="D11" s="167"/>
      <c r="E11" s="121">
        <f>SUM(E15+E14+E13+E12+E16)</f>
        <v>148</v>
      </c>
      <c r="F11" s="122">
        <f>SUM(F15+F14+F13+F12+F16)</f>
        <v>47697</v>
      </c>
      <c r="G11" s="123">
        <f>SUM(G15+G14+G13+G12+G16)</f>
        <v>65526</v>
      </c>
      <c r="H11" s="124">
        <f>SUM(H12+H13+H14+H15+H16)</f>
        <v>1631</v>
      </c>
      <c r="I11" s="114">
        <f t="shared" si="1"/>
        <v>13.779680513016846</v>
      </c>
      <c r="J11" s="125">
        <f>SUM(J12+J13+J14+J15+J16)</f>
        <v>23995.017000000003</v>
      </c>
      <c r="K11" s="125">
        <f>J11</f>
        <v>23995.017000000003</v>
      </c>
      <c r="L11" s="126" t="s">
        <v>67</v>
      </c>
      <c r="M11" s="117">
        <f t="shared" si="2"/>
        <v>1.9877877144242071</v>
      </c>
      <c r="N11" s="118">
        <f t="shared" si="3"/>
        <v>442.74324324324323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25">
      <c r="B12" s="36">
        <v>404</v>
      </c>
      <c r="C12" s="109">
        <v>60</v>
      </c>
      <c r="D12" s="167"/>
      <c r="E12" s="127">
        <f t="array" ref="E12:E15">[4]!'!Hoja1!F18C3:F21C3'</f>
        <v>60</v>
      </c>
      <c r="F12" s="111">
        <v>18949</v>
      </c>
      <c r="G12" s="112">
        <v>26332.5</v>
      </c>
      <c r="H12" s="113">
        <f t="array" ref="H12:H15">[4]!'!Hoja1!F5C6:F8C6'</f>
        <v>557</v>
      </c>
      <c r="I12" s="128">
        <f>J12/(L12*24)</f>
        <v>12.661554223585171</v>
      </c>
      <c r="J12" s="115">
        <f t="array" ref="J12:J15">[4]!'!Hoja1!F5C11:F8C11'</f>
        <v>9083.3990000000013</v>
      </c>
      <c r="K12" s="115">
        <v>24.200000000000003</v>
      </c>
      <c r="L12" s="116" t="s">
        <v>68</v>
      </c>
      <c r="M12" s="117">
        <f t="shared" si="2"/>
        <v>2.0861133591070917</v>
      </c>
      <c r="N12" s="118">
        <f t="shared" si="3"/>
        <v>438.875</v>
      </c>
      <c r="O12" s="118">
        <f t="array" ref="O12:O16">[5]!'!MAÑANA!F12C14:F16C14'</f>
        <v>21.898864756421958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25">
      <c r="B13" s="36">
        <v>405</v>
      </c>
      <c r="C13" s="109">
        <v>41</v>
      </c>
      <c r="D13" s="167"/>
      <c r="E13" s="127">
        <v>33</v>
      </c>
      <c r="F13" s="111">
        <v>10156</v>
      </c>
      <c r="G13" s="112">
        <v>13459.5</v>
      </c>
      <c r="H13" s="113">
        <v>389</v>
      </c>
      <c r="I13" s="128">
        <f t="shared" si="1"/>
        <v>12.460399674782835</v>
      </c>
      <c r="J13" s="115">
        <v>4853.1180000000013</v>
      </c>
      <c r="K13" s="115">
        <v>21.7</v>
      </c>
      <c r="L13" s="116" t="s">
        <v>69</v>
      </c>
      <c r="M13" s="117">
        <f t="shared" si="2"/>
        <v>2.0926752656745617</v>
      </c>
      <c r="N13" s="118">
        <f t="shared" si="3"/>
        <v>407.86363636363637</v>
      </c>
      <c r="O13" s="118">
        <v>22.809857167812616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25">
      <c r="B14" s="36">
        <v>409</v>
      </c>
      <c r="C14" s="109">
        <v>34</v>
      </c>
      <c r="D14" s="167"/>
      <c r="E14" s="127">
        <v>28</v>
      </c>
      <c r="F14" s="111">
        <v>7745</v>
      </c>
      <c r="G14" s="112">
        <v>10740.75</v>
      </c>
      <c r="H14" s="113">
        <v>315</v>
      </c>
      <c r="I14" s="128">
        <f t="shared" si="1"/>
        <v>15.031340128704965</v>
      </c>
      <c r="J14" s="115">
        <v>5333.37</v>
      </c>
      <c r="K14" s="115">
        <v>22.95</v>
      </c>
      <c r="L14" s="116" t="s">
        <v>71</v>
      </c>
      <c r="M14" s="117">
        <f t="shared" si="2"/>
        <v>1.4521775162795756</v>
      </c>
      <c r="N14" s="118">
        <f t="shared" si="3"/>
        <v>383.59821428571428</v>
      </c>
      <c r="O14" s="118">
        <v>21.791770223813256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25">
      <c r="B15" s="36">
        <v>412</v>
      </c>
      <c r="C15" s="109">
        <v>33</v>
      </c>
      <c r="D15" s="167"/>
      <c r="E15" s="127">
        <v>27</v>
      </c>
      <c r="F15" s="111">
        <v>10847</v>
      </c>
      <c r="G15" s="112">
        <v>14993.25</v>
      </c>
      <c r="H15" s="113">
        <v>370</v>
      </c>
      <c r="I15" s="128">
        <f t="shared" si="1"/>
        <v>16.907669370229016</v>
      </c>
      <c r="J15" s="115">
        <v>4725.1300000000019</v>
      </c>
      <c r="K15" s="115">
        <v>17.244999999999997</v>
      </c>
      <c r="L15" s="116" t="s">
        <v>70</v>
      </c>
      <c r="M15" s="117">
        <f t="shared" si="2"/>
        <v>2.2955982163453696</v>
      </c>
      <c r="N15" s="118">
        <f t="shared" si="3"/>
        <v>555.30555555555554</v>
      </c>
      <c r="O15" s="118">
        <v>25.805451222643818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25">
      <c r="B16" s="36" t="s">
        <v>61</v>
      </c>
      <c r="C16" s="109">
        <v>0</v>
      </c>
      <c r="D16" s="167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65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25">
      <c r="B17" s="39" t="s">
        <v>50</v>
      </c>
      <c r="C17" s="99">
        <f>SUM(C21+C20+C19+C18)</f>
        <v>115</v>
      </c>
      <c r="D17" s="167"/>
      <c r="E17" s="121">
        <f>SUM(E21+E20+E19+E18)</f>
        <v>108</v>
      </c>
      <c r="F17" s="122">
        <f>SUM(F21+F20+F19+F18)</f>
        <v>37618</v>
      </c>
      <c r="G17" s="123">
        <f>SUM(G21+G20+G19+G18)</f>
        <v>52438.5</v>
      </c>
      <c r="H17" s="124">
        <f>SUM(H21+H20+H19+H18)</f>
        <v>1870</v>
      </c>
      <c r="I17" s="114">
        <f t="shared" si="1"/>
        <v>19.83659364572755</v>
      </c>
      <c r="J17" s="125">
        <f>SUM(J18:J21)</f>
        <v>22788.94</v>
      </c>
      <c r="K17" s="125">
        <f>J17</f>
        <v>22788.94</v>
      </c>
      <c r="L17" s="126" t="s">
        <v>80</v>
      </c>
      <c r="M17" s="117">
        <f t="shared" si="2"/>
        <v>1.6507130213164809</v>
      </c>
      <c r="N17" s="118">
        <f t="shared" si="3"/>
        <v>485.54166666666669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25">
      <c r="B18" s="40">
        <v>301</v>
      </c>
      <c r="C18" s="109">
        <f t="array" ref="C18:C21">[6]!'!KM - FLOTA MAXIMA !F17C5:F20C5'</f>
        <v>45</v>
      </c>
      <c r="D18" s="167"/>
      <c r="E18" s="127">
        <f t="array" ref="E18:E21">[6]!'!KM - FLOTA MAXIMA !F17C6:F20C6'</f>
        <v>42</v>
      </c>
      <c r="F18" s="111">
        <v>16871</v>
      </c>
      <c r="G18" s="112">
        <v>23437.5</v>
      </c>
      <c r="H18" s="113">
        <f t="array" ref="H18:H21">[6]!'!KM - FLOTA MAXIMA !F6C6:F9C6'</f>
        <v>642</v>
      </c>
      <c r="I18" s="128">
        <f t="shared" si="1"/>
        <v>18.790431239388795</v>
      </c>
      <c r="J18" s="115">
        <f t="array" ref="J18:J21">[6]!'!KM - FLOTA MAXIMA !F6C8:F9C8'</f>
        <v>9222.9700000000012</v>
      </c>
      <c r="K18" s="115">
        <v>16.295000000000002</v>
      </c>
      <c r="L18" s="116" t="s">
        <v>79</v>
      </c>
      <c r="M18" s="117">
        <f t="shared" si="2"/>
        <v>1.8292372196808617</v>
      </c>
      <c r="N18" s="118">
        <f t="shared" si="3"/>
        <v>558.03571428571433</v>
      </c>
      <c r="O18" s="118">
        <f t="array" ref="O18:O21">[7]!'!MAÑANA!F11C14:F14C14'</f>
        <v>19.862175686616879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25">
      <c r="B19" s="40">
        <v>302</v>
      </c>
      <c r="C19" s="109">
        <v>31</v>
      </c>
      <c r="D19" s="167"/>
      <c r="E19" s="127">
        <v>29</v>
      </c>
      <c r="F19" s="111">
        <v>8165</v>
      </c>
      <c r="G19" s="112">
        <v>11338.5</v>
      </c>
      <c r="H19" s="113">
        <v>466</v>
      </c>
      <c r="I19" s="128">
        <f t="shared" si="1"/>
        <v>22.061172055427249</v>
      </c>
      <c r="J19" s="115">
        <v>5094.66</v>
      </c>
      <c r="K19" s="115">
        <v>11.69</v>
      </c>
      <c r="L19" s="116" t="s">
        <v>81</v>
      </c>
      <c r="M19" s="117">
        <v>0</v>
      </c>
      <c r="N19" s="118">
        <v>0</v>
      </c>
      <c r="O19" s="118">
        <v>21.354145453967782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25">
      <c r="B20" s="40">
        <v>303</v>
      </c>
      <c r="C20" s="109">
        <v>18</v>
      </c>
      <c r="D20" s="167"/>
      <c r="E20" s="127">
        <v>16</v>
      </c>
      <c r="F20" s="111">
        <v>6184</v>
      </c>
      <c r="G20" s="112">
        <v>8667.75</v>
      </c>
      <c r="H20" s="113">
        <v>360</v>
      </c>
      <c r="I20" s="128">
        <f t="shared" si="1"/>
        <v>23.325361462216968</v>
      </c>
      <c r="J20" s="115">
        <v>4275.1499999999996</v>
      </c>
      <c r="K20" s="115">
        <v>12.96</v>
      </c>
      <c r="L20" s="116" t="s">
        <v>82</v>
      </c>
      <c r="M20" s="117">
        <v>0</v>
      </c>
      <c r="N20" s="118">
        <v>0</v>
      </c>
      <c r="O20" s="118">
        <v>26.326321133044146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25">
      <c r="B21" s="40">
        <v>306</v>
      </c>
      <c r="C21" s="109">
        <v>21</v>
      </c>
      <c r="D21" s="167"/>
      <c r="E21" s="127">
        <v>21</v>
      </c>
      <c r="F21" s="111">
        <v>6398</v>
      </c>
      <c r="G21" s="112">
        <v>8994.75</v>
      </c>
      <c r="H21" s="113">
        <v>402</v>
      </c>
      <c r="I21" s="128">
        <f>J21/(L21*24)</f>
        <v>17.355042393327356</v>
      </c>
      <c r="J21" s="115">
        <v>4196.16</v>
      </c>
      <c r="K21" s="115">
        <v>9.94</v>
      </c>
      <c r="L21" s="116" t="s">
        <v>83</v>
      </c>
      <c r="M21" s="117">
        <f t="shared" si="2"/>
        <v>1.5247273697857089</v>
      </c>
      <c r="N21" s="118">
        <f t="shared" si="3"/>
        <v>428.32142857142856</v>
      </c>
      <c r="O21" s="118">
        <v>17.806311894073524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25">
      <c r="B22" s="43" t="s">
        <v>23</v>
      </c>
      <c r="C22" s="99">
        <f>SUM(C28+C27+C26+C25+C24+C23)</f>
        <v>171</v>
      </c>
      <c r="D22" s="167"/>
      <c r="E22" s="121">
        <f>SUM(E28+E27+E26+E25+E24+E23)</f>
        <v>167</v>
      </c>
      <c r="F22" s="122">
        <f>SUM(F23:F28)</f>
        <v>48084</v>
      </c>
      <c r="G22" s="123">
        <f>SUM(G28+G27+G26+G25+G24+G23)</f>
        <v>79534.499999999913</v>
      </c>
      <c r="H22" s="124">
        <f>SUM(H28+H27+H26+H25+H24+H23)</f>
        <v>1303</v>
      </c>
      <c r="I22" s="114">
        <f t="shared" si="1"/>
        <v>24.633163788195102</v>
      </c>
      <c r="J22" s="114">
        <f>SUM(J28+J27+J26+J25+J24+J23)</f>
        <v>32448.035</v>
      </c>
      <c r="K22" s="114">
        <f>J22</f>
        <v>32448.035</v>
      </c>
      <c r="L22" s="126" t="s">
        <v>73</v>
      </c>
      <c r="M22" s="117">
        <f>+F22/J22</f>
        <v>1.4818770997997259</v>
      </c>
      <c r="N22" s="118">
        <f>+G22/E22</f>
        <v>476.25449101796357</v>
      </c>
      <c r="O22" s="118"/>
      <c r="U22" s="156"/>
      <c r="V22" s="156"/>
      <c r="W22" s="156"/>
      <c r="X22" s="156"/>
      <c r="Y22" s="156"/>
      <c r="Z22" s="156"/>
      <c r="AA22" s="156"/>
    </row>
    <row r="23" spans="2:29" x14ac:dyDescent="0.25">
      <c r="B23" s="44">
        <v>201</v>
      </c>
      <c r="C23" s="110">
        <v>74</v>
      </c>
      <c r="D23" s="167"/>
      <c r="E23" s="127">
        <f t="array" ref="E23:E27">[8]!'!KM - FLOTA MAXIMA !F19C6:F23C6'</f>
        <v>69</v>
      </c>
      <c r="F23" s="129">
        <v>22335</v>
      </c>
      <c r="G23" s="112">
        <v>36951.199999999903</v>
      </c>
      <c r="H23" s="113">
        <f t="array" ref="H23:H27">[8]!'!KM - FLOTA MAXIMA !F6C7:F10C7'</f>
        <v>538</v>
      </c>
      <c r="I23" s="128">
        <f t="shared" si="1"/>
        <v>23.635941815503589</v>
      </c>
      <c r="J23" s="115">
        <f t="array" ref="J23:J27">[8]!'!KM - FLOTA MAXIMA !F6C8:F10C8'</f>
        <v>12836.68</v>
      </c>
      <c r="K23" s="115">
        <v>24.27</v>
      </c>
      <c r="L23" s="116" t="s">
        <v>74</v>
      </c>
      <c r="M23" s="117">
        <f t="shared" si="2"/>
        <v>1.739935871268895</v>
      </c>
      <c r="N23" s="118">
        <f t="shared" si="3"/>
        <v>535.52463768115797</v>
      </c>
      <c r="O23" s="118">
        <f t="array" ref="O23:O28">[9]!'!MAÑANA!F13C14:F18C14'</f>
        <v>22.173987162751249</v>
      </c>
      <c r="S23" s="1" t="s">
        <v>2</v>
      </c>
      <c r="T23" s="1"/>
      <c r="U23" s="157" t="s">
        <v>40</v>
      </c>
      <c r="V23" s="157"/>
      <c r="W23" s="157"/>
      <c r="X23" s="157"/>
      <c r="Y23" s="157"/>
      <c r="Z23" s="157"/>
      <c r="AA23" s="157"/>
    </row>
    <row r="24" spans="2:29" x14ac:dyDescent="0.25">
      <c r="B24" s="44">
        <v>202</v>
      </c>
      <c r="C24" s="110">
        <v>10</v>
      </c>
      <c r="D24" s="167"/>
      <c r="E24" s="127">
        <v>10</v>
      </c>
      <c r="F24" s="111">
        <v>565</v>
      </c>
      <c r="G24" s="112">
        <v>920.55000000000098</v>
      </c>
      <c r="H24" s="113">
        <v>49</v>
      </c>
      <c r="I24" s="128">
        <v>0</v>
      </c>
      <c r="J24" s="115">
        <v>842.80000000000018</v>
      </c>
      <c r="K24" s="115">
        <v>24.27</v>
      </c>
      <c r="L24" s="116" t="s">
        <v>75</v>
      </c>
      <c r="M24" s="117">
        <v>0</v>
      </c>
      <c r="N24" s="118">
        <v>0</v>
      </c>
      <c r="O24" s="118">
        <v>27.05035771518704</v>
      </c>
      <c r="T24" s="1"/>
      <c r="U24" s="190" t="s">
        <v>41</v>
      </c>
      <c r="V24" s="190"/>
      <c r="W24" s="190"/>
      <c r="X24" s="190"/>
      <c r="Y24" s="190"/>
      <c r="Z24" s="190"/>
      <c r="AA24" s="190"/>
    </row>
    <row r="25" spans="2:29" ht="15.75" thickBot="1" x14ac:dyDescent="0.3">
      <c r="B25" s="44">
        <v>204</v>
      </c>
      <c r="C25" s="110">
        <v>32</v>
      </c>
      <c r="D25" s="167"/>
      <c r="E25" s="127">
        <v>32</v>
      </c>
      <c r="F25" s="111">
        <v>8995</v>
      </c>
      <c r="G25" s="130">
        <v>14954.9</v>
      </c>
      <c r="H25" s="113">
        <v>290</v>
      </c>
      <c r="I25" s="128">
        <f t="shared" si="1"/>
        <v>25.822814064821436</v>
      </c>
      <c r="J25" s="115">
        <v>7821.2999999999993</v>
      </c>
      <c r="K25" s="115">
        <v>37.130000000000003</v>
      </c>
      <c r="L25" s="116" t="s">
        <v>76</v>
      </c>
      <c r="M25" s="117">
        <f t="shared" si="2"/>
        <v>1.1500645672714256</v>
      </c>
      <c r="N25" s="118">
        <f t="shared" si="3"/>
        <v>467.34062499999999</v>
      </c>
      <c r="O25" s="118">
        <v>26.950623625352573</v>
      </c>
      <c r="T25" s="1"/>
      <c r="U25" s="84"/>
      <c r="V25" s="84"/>
      <c r="W25" s="84"/>
      <c r="X25" s="84"/>
      <c r="Y25" s="84"/>
      <c r="Z25" s="84"/>
      <c r="AA25" s="84" t="s">
        <v>84</v>
      </c>
    </row>
    <row r="26" spans="2:29" ht="16.5" thickBot="1" x14ac:dyDescent="0.3">
      <c r="B26" s="44">
        <v>206</v>
      </c>
      <c r="C26" s="110">
        <v>13</v>
      </c>
      <c r="D26" s="167"/>
      <c r="E26" s="127">
        <v>14</v>
      </c>
      <c r="F26" s="111">
        <v>4401</v>
      </c>
      <c r="G26" s="130">
        <v>7247.95</v>
      </c>
      <c r="H26" s="113">
        <v>113</v>
      </c>
      <c r="I26" s="128">
        <f t="shared" si="1"/>
        <v>23.294021561581182</v>
      </c>
      <c r="J26" s="115">
        <v>3565.15</v>
      </c>
      <c r="K26" s="115">
        <v>30.099999999999969</v>
      </c>
      <c r="L26" s="116" t="s">
        <v>77</v>
      </c>
      <c r="M26" s="117">
        <f t="shared" si="2"/>
        <v>1.2344501633872347</v>
      </c>
      <c r="N26" s="118">
        <f t="shared" si="3"/>
        <v>517.71071428571429</v>
      </c>
      <c r="O26" s="118">
        <v>23.776744955907269</v>
      </c>
      <c r="S26" t="s">
        <v>24</v>
      </c>
      <c r="T26" s="1"/>
      <c r="U26" s="181">
        <f>B3</f>
        <v>44053</v>
      </c>
      <c r="V26" s="182"/>
      <c r="W26" s="182"/>
      <c r="X26" s="182"/>
      <c r="Y26" s="182"/>
      <c r="Z26" s="182"/>
      <c r="AA26" s="183"/>
    </row>
    <row r="27" spans="2:29" ht="15.75" thickBot="1" x14ac:dyDescent="0.3">
      <c r="B27" s="44">
        <v>209</v>
      </c>
      <c r="C27" s="110">
        <v>42</v>
      </c>
      <c r="D27" s="167"/>
      <c r="E27" s="127">
        <v>42</v>
      </c>
      <c r="F27" s="111">
        <v>11788</v>
      </c>
      <c r="G27" s="112">
        <v>19459.900000000001</v>
      </c>
      <c r="H27" s="113">
        <v>313</v>
      </c>
      <c r="I27" s="128">
        <f t="shared" si="1"/>
        <v>26.294229741763136</v>
      </c>
      <c r="J27" s="115">
        <v>7382.1050000000005</v>
      </c>
      <c r="K27" s="115">
        <v>23.87</v>
      </c>
      <c r="L27" s="116" t="s">
        <v>78</v>
      </c>
      <c r="M27" s="117">
        <f t="shared" si="2"/>
        <v>1.5968345072306611</v>
      </c>
      <c r="N27" s="118">
        <f t="shared" si="3"/>
        <v>463.3309523809524</v>
      </c>
      <c r="O27" s="118">
        <v>20.297139856589354</v>
      </c>
      <c r="T27" s="1"/>
      <c r="U27" s="170" t="s">
        <v>4</v>
      </c>
      <c r="V27" s="187" t="s">
        <v>5</v>
      </c>
      <c r="W27" s="188"/>
      <c r="X27" s="188"/>
      <c r="Y27" s="189"/>
      <c r="Z27" s="170" t="s">
        <v>2</v>
      </c>
      <c r="AA27" s="170" t="s">
        <v>3</v>
      </c>
    </row>
    <row r="28" spans="2:29" ht="15.75" thickBot="1" x14ac:dyDescent="0.3">
      <c r="B28" s="45">
        <v>257</v>
      </c>
      <c r="C28" s="110">
        <v>0</v>
      </c>
      <c r="D28" s="167"/>
      <c r="E28" s="131">
        <v>0</v>
      </c>
      <c r="F28" s="132">
        <v>0</v>
      </c>
      <c r="G28" s="133">
        <v>0</v>
      </c>
      <c r="H28" s="134"/>
      <c r="I28" s="135">
        <v>0</v>
      </c>
      <c r="J28" s="136">
        <v>0</v>
      </c>
      <c r="K28" s="136">
        <v>13.76</v>
      </c>
      <c r="L28" s="137" t="s">
        <v>65</v>
      </c>
      <c r="M28" s="138">
        <v>0</v>
      </c>
      <c r="N28" s="139">
        <v>0</v>
      </c>
      <c r="O28" s="139">
        <v>0</v>
      </c>
      <c r="T28" s="1"/>
      <c r="U28" s="164"/>
      <c r="V28" s="13" t="s">
        <v>10</v>
      </c>
      <c r="W28" s="171" t="s">
        <v>11</v>
      </c>
      <c r="X28" s="14" t="s">
        <v>12</v>
      </c>
      <c r="Y28" s="48" t="s">
        <v>25</v>
      </c>
      <c r="Z28" s="164"/>
      <c r="AA28" s="164"/>
    </row>
    <row r="29" spans="2:29" ht="15.75" customHeight="1" thickBot="1" x14ac:dyDescent="0.3">
      <c r="B29" s="49" t="s">
        <v>26</v>
      </c>
      <c r="C29" s="50">
        <f>SUM(C6+C9+C11+C17+C22)</f>
        <v>538</v>
      </c>
      <c r="D29" s="168"/>
      <c r="E29" s="50">
        <f>SUM(E6+E9+E11+E17+E22+P32)</f>
        <v>501</v>
      </c>
      <c r="F29" s="98">
        <f>SUM(F6+F9+F11+F17+F22)</f>
        <v>146544</v>
      </c>
      <c r="G29" s="90">
        <f>SUM(G6+G9+G11+G17+G22)</f>
        <v>226077.09999999992</v>
      </c>
      <c r="H29" s="52">
        <f>SUM(H6+H9+H11+H17+H22)</f>
        <v>5411</v>
      </c>
      <c r="I29" s="52"/>
      <c r="J29" s="53">
        <f>SUM(J6+J9+J11+J17+J22)</f>
        <v>97028.772000000012</v>
      </c>
      <c r="K29" s="53"/>
      <c r="L29" s="53"/>
      <c r="M29" s="53">
        <f t="shared" si="2"/>
        <v>1.5103148991723814</v>
      </c>
      <c r="N29" s="91">
        <f>G29/E29</f>
        <v>451.25169660678625</v>
      </c>
      <c r="O29" s="97"/>
      <c r="T29" s="1"/>
      <c r="U29" s="66" t="s">
        <v>14</v>
      </c>
      <c r="V29" s="54">
        <f>C6</f>
        <v>14</v>
      </c>
      <c r="W29" s="172"/>
      <c r="X29" s="54">
        <f>E6</f>
        <v>8</v>
      </c>
      <c r="Y29" s="55">
        <f t="shared" ref="Y29:Y34" si="4">+X29/V29</f>
        <v>0.5714285714285714</v>
      </c>
      <c r="Z29" s="24">
        <f>F7</f>
        <v>2488</v>
      </c>
      <c r="AA29" s="67">
        <f>G6</f>
        <v>2985.6</v>
      </c>
    </row>
    <row r="30" spans="2:29" ht="15.75" customHeight="1" x14ac:dyDescent="0.25">
      <c r="B30" s="175" t="s">
        <v>64</v>
      </c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S30" s="73" t="s">
        <v>39</v>
      </c>
      <c r="U30" s="68" t="s">
        <v>16</v>
      </c>
      <c r="V30" s="34">
        <f>C9</f>
        <v>70</v>
      </c>
      <c r="W30" s="172"/>
      <c r="X30" s="56">
        <f>E9</f>
        <v>70</v>
      </c>
      <c r="Y30" s="55">
        <f t="shared" si="4"/>
        <v>1</v>
      </c>
      <c r="Z30" s="24">
        <f>F9</f>
        <v>10657</v>
      </c>
      <c r="AA30" s="67">
        <f>G9</f>
        <v>25592.5</v>
      </c>
    </row>
    <row r="31" spans="2:29" x14ac:dyDescent="0.25"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Q31" s="85"/>
      <c r="U31" s="69" t="s">
        <v>18</v>
      </c>
      <c r="V31" s="34">
        <f>C11</f>
        <v>168</v>
      </c>
      <c r="W31" s="172"/>
      <c r="X31" s="56">
        <f>E11</f>
        <v>148</v>
      </c>
      <c r="Y31" s="55">
        <f t="shared" si="4"/>
        <v>0.88095238095238093</v>
      </c>
      <c r="Z31" s="24">
        <f>F11</f>
        <v>47697</v>
      </c>
      <c r="AA31" s="67">
        <f>G11</f>
        <v>65526</v>
      </c>
    </row>
    <row r="32" spans="2:29" x14ac:dyDescent="0.25">
      <c r="B32" s="173" t="s">
        <v>42</v>
      </c>
      <c r="C32" s="173"/>
      <c r="D32" s="174" t="s">
        <v>43</v>
      </c>
      <c r="E32" s="174"/>
      <c r="F32" s="174"/>
      <c r="G32" s="174" t="s">
        <v>44</v>
      </c>
      <c r="H32" s="174"/>
      <c r="I32" s="174" t="s">
        <v>45</v>
      </c>
      <c r="J32" s="174"/>
      <c r="K32" s="174"/>
      <c r="L32" s="174"/>
      <c r="M32" s="174"/>
      <c r="N32" s="174"/>
      <c r="O32" s="174"/>
      <c r="U32" s="70" t="s">
        <v>21</v>
      </c>
      <c r="V32" s="34">
        <f>C17</f>
        <v>115</v>
      </c>
      <c r="W32" s="172"/>
      <c r="X32" s="56">
        <f>E17</f>
        <v>108</v>
      </c>
      <c r="Y32" s="55">
        <f t="shared" si="4"/>
        <v>0.93913043478260871</v>
      </c>
      <c r="Z32" s="24">
        <f>F17</f>
        <v>37618</v>
      </c>
      <c r="AA32" s="67">
        <f>G17</f>
        <v>52438.5</v>
      </c>
    </row>
    <row r="33" spans="2:27" ht="15.75" thickBot="1" x14ac:dyDescent="0.3">
      <c r="B33" s="141" t="s">
        <v>46</v>
      </c>
      <c r="C33" s="141"/>
      <c r="D33" s="140">
        <v>40</v>
      </c>
      <c r="E33" s="140"/>
      <c r="F33" s="140"/>
      <c r="G33" s="140">
        <v>32</v>
      </c>
      <c r="H33" s="140"/>
      <c r="I33" s="140">
        <v>8</v>
      </c>
      <c r="J33" s="140"/>
      <c r="K33" s="140"/>
      <c r="L33" s="140"/>
      <c r="M33" s="140"/>
      <c r="N33" s="140"/>
      <c r="O33" s="140"/>
      <c r="U33" s="71" t="s">
        <v>23</v>
      </c>
      <c r="V33" s="46">
        <f>C22</f>
        <v>171</v>
      </c>
      <c r="W33" s="172"/>
      <c r="X33" s="57">
        <f>E22</f>
        <v>167</v>
      </c>
      <c r="Y33" s="58">
        <f t="shared" si="4"/>
        <v>0.97660818713450293</v>
      </c>
      <c r="Z33" s="47">
        <f>F22</f>
        <v>48084</v>
      </c>
      <c r="AA33" s="72">
        <f>G22</f>
        <v>79534.499999999913</v>
      </c>
    </row>
    <row r="34" spans="2:27" ht="15.75" thickBot="1" x14ac:dyDescent="0.3">
      <c r="B34" s="141" t="s">
        <v>47</v>
      </c>
      <c r="C34" s="141"/>
      <c r="D34" s="140">
        <v>58</v>
      </c>
      <c r="E34" s="140"/>
      <c r="F34" s="140"/>
      <c r="G34" s="140">
        <v>49</v>
      </c>
      <c r="H34" s="140"/>
      <c r="I34" s="140">
        <v>4</v>
      </c>
      <c r="J34" s="140"/>
      <c r="K34" s="140"/>
      <c r="L34" s="140"/>
      <c r="M34" s="140"/>
      <c r="N34" s="140"/>
      <c r="O34" s="140"/>
      <c r="U34" s="49" t="s">
        <v>26</v>
      </c>
      <c r="V34" s="75">
        <f>SUM(V29:V33)</f>
        <v>538</v>
      </c>
      <c r="W34" s="172"/>
      <c r="X34" s="75">
        <f>SUM(X29:X33)</f>
        <v>501</v>
      </c>
      <c r="Y34" s="59">
        <f t="shared" si="4"/>
        <v>0.93122676579925645</v>
      </c>
      <c r="Z34" s="51">
        <f>SUM(Z29+Z30+Z31+Z32+Z33)</f>
        <v>146544</v>
      </c>
      <c r="AA34" s="60">
        <f>SUM(AA29:AA33)</f>
        <v>226077.09999999992</v>
      </c>
    </row>
    <row r="35" spans="2:27" x14ac:dyDescent="0.25">
      <c r="B35" s="141" t="s">
        <v>48</v>
      </c>
      <c r="C35" s="141"/>
      <c r="D35" s="140">
        <v>70</v>
      </c>
      <c r="E35" s="140"/>
      <c r="F35" s="140"/>
      <c r="G35" s="144">
        <v>67</v>
      </c>
      <c r="H35" s="145"/>
      <c r="I35" s="140">
        <v>3</v>
      </c>
      <c r="J35" s="140"/>
      <c r="K35" s="140"/>
      <c r="L35" s="140"/>
      <c r="M35" s="140"/>
      <c r="N35" s="140"/>
      <c r="O35" s="140"/>
      <c r="U35" s="74" t="s">
        <v>50</v>
      </c>
      <c r="V35" s="177" t="s">
        <v>60</v>
      </c>
      <c r="W35" s="178"/>
      <c r="X35" s="179"/>
    </row>
    <row r="36" spans="2:27" x14ac:dyDescent="0.25">
      <c r="B36" s="141" t="s">
        <v>49</v>
      </c>
      <c r="C36" s="141"/>
      <c r="D36" s="140">
        <v>0</v>
      </c>
      <c r="E36" s="140"/>
      <c r="F36" s="140"/>
      <c r="G36" s="140">
        <v>0</v>
      </c>
      <c r="H36" s="140"/>
      <c r="I36" s="140">
        <f t="shared" ref="I36" si="5">+D36-G36</f>
        <v>0</v>
      </c>
      <c r="J36" s="140"/>
      <c r="K36" s="140"/>
      <c r="L36" s="140"/>
      <c r="M36" s="140"/>
      <c r="N36" s="140"/>
      <c r="O36" s="140"/>
      <c r="U36" s="79" t="s">
        <v>51</v>
      </c>
      <c r="V36" s="195" t="s">
        <v>60</v>
      </c>
      <c r="W36" s="196"/>
      <c r="X36" s="197"/>
    </row>
    <row r="37" spans="2:27" x14ac:dyDescent="0.25">
      <c r="B37" s="149" t="s">
        <v>26</v>
      </c>
      <c r="C37" s="149"/>
      <c r="D37" s="199">
        <f>SUM(D33+D34+D35+D36)</f>
        <v>168</v>
      </c>
      <c r="E37" s="200"/>
      <c r="F37" s="201"/>
      <c r="G37" s="149">
        <f>SUM(G33+G34+G35+G36)</f>
        <v>148</v>
      </c>
      <c r="H37" s="149"/>
      <c r="I37" s="149">
        <f>SUM(I33+I34+I35+I36)</f>
        <v>15</v>
      </c>
      <c r="J37" s="149"/>
      <c r="K37" s="149"/>
      <c r="L37" s="149"/>
      <c r="M37" s="149"/>
      <c r="N37" s="149"/>
      <c r="O37" s="149"/>
      <c r="U37" s="78" t="s">
        <v>52</v>
      </c>
      <c r="V37" s="191" t="s">
        <v>60</v>
      </c>
      <c r="W37" s="192"/>
      <c r="X37" s="193"/>
    </row>
    <row r="38" spans="2:27" x14ac:dyDescent="0.25">
      <c r="B38" s="74" t="s">
        <v>50</v>
      </c>
      <c r="C38" s="198" t="s">
        <v>60</v>
      </c>
      <c r="D38" s="198"/>
      <c r="E38" s="198"/>
      <c r="F38" s="148" t="s">
        <v>62</v>
      </c>
      <c r="G38" s="148"/>
      <c r="H38" s="148"/>
      <c r="I38" s="92"/>
      <c r="U38" s="86" t="s">
        <v>59</v>
      </c>
      <c r="V38" s="202" t="s">
        <v>60</v>
      </c>
      <c r="W38" s="203"/>
      <c r="X38" s="204"/>
    </row>
    <row r="39" spans="2:27" x14ac:dyDescent="0.25">
      <c r="B39" s="79" t="s">
        <v>51</v>
      </c>
      <c r="C39" s="194" t="s">
        <v>60</v>
      </c>
      <c r="D39" s="194"/>
      <c r="E39" s="194"/>
    </row>
    <row r="40" spans="2:27" x14ac:dyDescent="0.25">
      <c r="B40" s="78" t="s">
        <v>52</v>
      </c>
      <c r="C40" s="146" t="s">
        <v>60</v>
      </c>
      <c r="D40" s="146"/>
      <c r="E40" s="146"/>
    </row>
    <row r="41" spans="2:27" x14ac:dyDescent="0.25">
      <c r="B41" s="86" t="s">
        <v>59</v>
      </c>
      <c r="C41" s="147" t="s">
        <v>60</v>
      </c>
      <c r="D41" s="147"/>
      <c r="E41" s="147"/>
    </row>
    <row r="48" spans="2:27" x14ac:dyDescent="0.25">
      <c r="K48" s="142"/>
      <c r="L48" s="143"/>
    </row>
    <row r="49" spans="11:12" x14ac:dyDescent="0.25">
      <c r="K49" s="82"/>
      <c r="L49" s="83"/>
    </row>
    <row r="50" spans="11:12" x14ac:dyDescent="0.25">
      <c r="K50" s="82"/>
      <c r="L50" s="83"/>
    </row>
    <row r="51" spans="11:12" x14ac:dyDescent="0.25">
      <c r="K51" s="82"/>
      <c r="L51" s="83"/>
    </row>
    <row r="52" spans="11:12" x14ac:dyDescent="0.25">
      <c r="K52" s="82"/>
      <c r="L52" s="83"/>
    </row>
    <row r="53" spans="11:12" x14ac:dyDescent="0.25">
      <c r="K53" s="82"/>
      <c r="L53" s="83"/>
    </row>
  </sheetData>
  <mergeCells count="58">
    <mergeCell ref="V37:X37"/>
    <mergeCell ref="C39:E39"/>
    <mergeCell ref="V36:X36"/>
    <mergeCell ref="C38:E38"/>
    <mergeCell ref="B37:C37"/>
    <mergeCell ref="D37:F37"/>
    <mergeCell ref="G37:H37"/>
    <mergeCell ref="V38:X38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I34:O34"/>
    <mergeCell ref="I35:O35"/>
    <mergeCell ref="B33:C33"/>
    <mergeCell ref="B34:C34"/>
    <mergeCell ref="D34:F34"/>
    <mergeCell ref="G34:H34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3" sqref="E3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13" sqref="D1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10:J19"/>
  <sheetViews>
    <sheetView workbookViewId="0">
      <selection activeCell="H33" sqref="H33"/>
    </sheetView>
  </sheetViews>
  <sheetFormatPr baseColWidth="10" defaultColWidth="10.7109375" defaultRowHeight="15" x14ac:dyDescent="0.25"/>
  <cols>
    <col min="6" max="6" width="21.42578125" customWidth="1"/>
    <col min="10" max="10" width="21.28515625" customWidth="1"/>
  </cols>
  <sheetData>
    <row r="10" spans="3:10" ht="24" customHeight="1" x14ac:dyDescent="0.25">
      <c r="C10" s="210" t="s">
        <v>4</v>
      </c>
      <c r="D10" s="205" t="s">
        <v>27</v>
      </c>
      <c r="E10" s="205" t="s">
        <v>28</v>
      </c>
      <c r="F10" s="205" t="s">
        <v>29</v>
      </c>
      <c r="G10" s="205" t="s">
        <v>30</v>
      </c>
      <c r="H10" s="205" t="s">
        <v>31</v>
      </c>
      <c r="I10" s="205" t="s">
        <v>32</v>
      </c>
      <c r="J10" s="205" t="s">
        <v>33</v>
      </c>
    </row>
    <row r="11" spans="3:10" ht="24" customHeight="1" x14ac:dyDescent="0.25">
      <c r="C11" s="211"/>
      <c r="D11" s="205"/>
      <c r="E11" s="205"/>
      <c r="F11" s="205"/>
      <c r="G11" s="205"/>
      <c r="H11" s="205"/>
      <c r="I11" s="205"/>
      <c r="J11" s="205"/>
    </row>
    <row r="12" spans="3:10" ht="20.100000000000001" customHeight="1" x14ac:dyDescent="0.25">
      <c r="C12" s="208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25">
      <c r="C13" s="209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25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25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25">
      <c r="C16" s="206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25">
      <c r="C17" s="207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25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25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OperadorPana OperadorSit</cp:lastModifiedBy>
  <dcterms:created xsi:type="dcterms:W3CDTF">2019-02-06T14:14:25Z</dcterms:created>
  <dcterms:modified xsi:type="dcterms:W3CDTF">2020-08-16T12:40:18Z</dcterms:modified>
</cp:coreProperties>
</file>