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a85b43aed92f1a/Documents/"/>
    </mc:Choice>
  </mc:AlternateContent>
  <xr:revisionPtr revIDLastSave="7" documentId="8_{3CF47213-97D4-4323-A8F5-786AFB63CC3D}" xr6:coauthVersionLast="47" xr6:coauthVersionMax="47" xr10:uidLastSave="{3A21D0BE-7960-4676-8896-72316D23C747}"/>
  <bookViews>
    <workbookView xWindow="-110" yWindow="-110" windowWidth="19420" windowHeight="10420" activeTab="1" xr2:uid="{DFCC8B75-F147-43A7-93BB-CF99416A0D60}"/>
  </bookViews>
  <sheets>
    <sheet name="Data" sheetId="1" r:id="rId1"/>
    <sheet name="Price BreakModel" sheetId="2" r:id="rId2"/>
    <sheet name="Reorder Point " sheetId="3" r:id="rId3"/>
    <sheet name="ABC analysis" sheetId="4" r:id="rId4"/>
  </sheets>
  <definedNames>
    <definedName name="a">'Price BreakModel'!$G$2:$G$70</definedName>
    <definedName name="Annual_Demand__Units">Data!$D$2:$D$70</definedName>
    <definedName name="b">'Price BreakModel'!$H$2:$H$70</definedName>
    <definedName name="c_">'Price BreakModel'!$I$2:$I$70</definedName>
    <definedName name="Daily_Demand">Data!$C$2:$C$70</definedName>
    <definedName name="dis">'Price BreakModel'!$J$2:$J$70</definedName>
    <definedName name="Discounted_Price">Data!$J$2:$J$70</definedName>
    <definedName name="EOQ">'Price BreakModel'!$B$2:$B$70</definedName>
    <definedName name="Holding_Cost">'Price BreakModel'!$E$2:$E$70</definedName>
    <definedName name="Holding_Cost_per_Unit_per_Year">Data!$G$2:$G$70</definedName>
    <definedName name="Lead_Time__Days">Data!$H$2:$H$70</definedName>
    <definedName name="Order_Cost">Data!$F$2:$F$70</definedName>
    <definedName name="Q">'Price BreakModel'!$K$2:$K$70</definedName>
    <definedName name="Sales_Price_per_Unit">Data!$I$2:$I$70</definedName>
    <definedName name="Setup_Cost">'Price BreakModel'!$D$2:$D$70</definedName>
    <definedName name="Size_Limit">'Price BreakModel'!$C$2:$C$70</definedName>
    <definedName name="solver_adj" localSheetId="1" hidden="1">'Price BreakModel'!$F$2:$F$70</definedName>
    <definedName name="solver_eng" localSheetId="1" hidden="1">1</definedName>
    <definedName name="solver_lhs1" localSheetId="1" hidden="1">'Price BreakModel'!$B$2:$B$70</definedName>
    <definedName name="solver_lhs2" localSheetId="1" hidden="1">'Price BreakModel'!$C$2:$C$70</definedName>
    <definedName name="solver_neg" localSheetId="1" hidden="1">1</definedName>
    <definedName name="solver_num" localSheetId="1" hidden="1">2</definedName>
    <definedName name="solver_opt" localSheetId="1" hidden="1">'Price BreakModel'!$O$2</definedName>
    <definedName name="solver_rel1" localSheetId="1" hidden="1">1</definedName>
    <definedName name="solver_rel2" localSheetId="1" hidden="1">1</definedName>
    <definedName name="solver_rhs1" localSheetId="1" hidden="1">Size_Limit</definedName>
    <definedName name="solver_rhs2" localSheetId="1" hidden="1">Q</definedName>
    <definedName name="solver_typ" localSheetId="1" hidden="1">2</definedName>
    <definedName name="solver_val" localSheetId="1" hidden="1">0</definedName>
    <definedName name="solver_ver" localSheetId="1" hidden="1">3</definedName>
    <definedName name="TCU_y_m">'Price BreakModel'!$F$2:$F$70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2" l="1"/>
  <c r="D71" i="4"/>
  <c r="B2" i="4"/>
  <c r="C2" i="4"/>
  <c r="D2" i="4" s="1"/>
  <c r="B3" i="4"/>
  <c r="C3" i="4"/>
  <c r="D3" i="4"/>
  <c r="B4" i="4"/>
  <c r="C4" i="4"/>
  <c r="D4" i="4"/>
  <c r="I4" i="4" s="1"/>
  <c r="J4" i="4" s="1"/>
  <c r="B5" i="4"/>
  <c r="C5" i="4" s="1"/>
  <c r="B6" i="4"/>
  <c r="C6" i="4"/>
  <c r="D6" i="4" s="1"/>
  <c r="B7" i="4"/>
  <c r="C7" i="4"/>
  <c r="D7" i="4"/>
  <c r="B8" i="4"/>
  <c r="C8" i="4"/>
  <c r="D8" i="4"/>
  <c r="I8" i="4" s="1"/>
  <c r="J8" i="4" s="1"/>
  <c r="B9" i="4"/>
  <c r="C9" i="4" s="1"/>
  <c r="B10" i="4"/>
  <c r="C10" i="4"/>
  <c r="D10" i="4" s="1"/>
  <c r="B11" i="4"/>
  <c r="C11" i="4"/>
  <c r="D11" i="4"/>
  <c r="B12" i="4"/>
  <c r="C12" i="4"/>
  <c r="D12" i="4"/>
  <c r="I12" i="4" s="1"/>
  <c r="J12" i="4" s="1"/>
  <c r="B13" i="4"/>
  <c r="C13" i="4" s="1"/>
  <c r="B14" i="4"/>
  <c r="D14" i="4" s="1"/>
  <c r="C14" i="4"/>
  <c r="B15" i="4"/>
  <c r="C15" i="4"/>
  <c r="D15" i="4"/>
  <c r="B16" i="4"/>
  <c r="C16" i="4"/>
  <c r="D16" i="4"/>
  <c r="I16" i="4" s="1"/>
  <c r="J16" i="4" s="1"/>
  <c r="B17" i="4"/>
  <c r="C17" i="4" s="1"/>
  <c r="B18" i="4"/>
  <c r="D18" i="4" s="1"/>
  <c r="C18" i="4"/>
  <c r="B19" i="4"/>
  <c r="C19" i="4"/>
  <c r="D19" i="4"/>
  <c r="B20" i="4"/>
  <c r="C20" i="4"/>
  <c r="D20" i="4"/>
  <c r="I20" i="4" s="1"/>
  <c r="J20" i="4" s="1"/>
  <c r="B21" i="4"/>
  <c r="C21" i="4" s="1"/>
  <c r="B22" i="4"/>
  <c r="D22" i="4" s="1"/>
  <c r="C22" i="4"/>
  <c r="B23" i="4"/>
  <c r="C23" i="4"/>
  <c r="D23" i="4"/>
  <c r="B24" i="4"/>
  <c r="C24" i="4"/>
  <c r="D24" i="4"/>
  <c r="I24" i="4" s="1"/>
  <c r="J24" i="4" s="1"/>
  <c r="B25" i="4"/>
  <c r="C25" i="4" s="1"/>
  <c r="B26" i="4"/>
  <c r="D26" i="4" s="1"/>
  <c r="C26" i="4"/>
  <c r="B27" i="4"/>
  <c r="C27" i="4"/>
  <c r="D27" i="4"/>
  <c r="B28" i="4"/>
  <c r="C28" i="4"/>
  <c r="D28" i="4"/>
  <c r="I28" i="4" s="1"/>
  <c r="J28" i="4" s="1"/>
  <c r="B29" i="4"/>
  <c r="C29" i="4" s="1"/>
  <c r="B30" i="4"/>
  <c r="D30" i="4" s="1"/>
  <c r="C30" i="4"/>
  <c r="B31" i="4"/>
  <c r="C31" i="4"/>
  <c r="D31" i="4"/>
  <c r="B32" i="4"/>
  <c r="C32" i="4"/>
  <c r="D32" i="4"/>
  <c r="I32" i="4" s="1"/>
  <c r="J32" i="4" s="1"/>
  <c r="B33" i="4"/>
  <c r="C33" i="4" s="1"/>
  <c r="B34" i="4"/>
  <c r="D34" i="4" s="1"/>
  <c r="C34" i="4"/>
  <c r="B35" i="4"/>
  <c r="C35" i="4"/>
  <c r="D35" i="4"/>
  <c r="B36" i="4"/>
  <c r="C36" i="4"/>
  <c r="D36" i="4"/>
  <c r="I36" i="4" s="1"/>
  <c r="J36" i="4" s="1"/>
  <c r="B37" i="4"/>
  <c r="C37" i="4" s="1"/>
  <c r="B38" i="4"/>
  <c r="D38" i="4" s="1"/>
  <c r="C38" i="4"/>
  <c r="B39" i="4"/>
  <c r="C39" i="4"/>
  <c r="D39" i="4"/>
  <c r="B40" i="4"/>
  <c r="C40" i="4"/>
  <c r="D40" i="4"/>
  <c r="I40" i="4" s="1"/>
  <c r="J40" i="4" s="1"/>
  <c r="B41" i="4"/>
  <c r="C41" i="4" s="1"/>
  <c r="B42" i="4"/>
  <c r="D42" i="4" s="1"/>
  <c r="C42" i="4"/>
  <c r="B43" i="4"/>
  <c r="C43" i="4"/>
  <c r="D43" i="4"/>
  <c r="B44" i="4"/>
  <c r="C44" i="4"/>
  <c r="D44" i="4"/>
  <c r="I44" i="4" s="1"/>
  <c r="J44" i="4" s="1"/>
  <c r="B45" i="4"/>
  <c r="C45" i="4" s="1"/>
  <c r="B46" i="4"/>
  <c r="D46" i="4" s="1"/>
  <c r="C46" i="4"/>
  <c r="B47" i="4"/>
  <c r="C47" i="4"/>
  <c r="D47" i="4"/>
  <c r="B48" i="4"/>
  <c r="C48" i="4"/>
  <c r="D48" i="4"/>
  <c r="I48" i="4" s="1"/>
  <c r="J48" i="4" s="1"/>
  <c r="B49" i="4"/>
  <c r="C49" i="4" s="1"/>
  <c r="B50" i="4"/>
  <c r="D50" i="4" s="1"/>
  <c r="C50" i="4"/>
  <c r="B51" i="4"/>
  <c r="C51" i="4"/>
  <c r="D51" i="4"/>
  <c r="B52" i="4"/>
  <c r="C52" i="4"/>
  <c r="D52" i="4"/>
  <c r="I52" i="4" s="1"/>
  <c r="J52" i="4" s="1"/>
  <c r="B53" i="4"/>
  <c r="C53" i="4" s="1"/>
  <c r="B54" i="4"/>
  <c r="D54" i="4" s="1"/>
  <c r="C54" i="4"/>
  <c r="B55" i="4"/>
  <c r="C55" i="4"/>
  <c r="D55" i="4"/>
  <c r="B56" i="4"/>
  <c r="C56" i="4"/>
  <c r="D56" i="4"/>
  <c r="I56" i="4" s="1"/>
  <c r="J56" i="4" s="1"/>
  <c r="B57" i="4"/>
  <c r="C57" i="4" s="1"/>
  <c r="B58" i="4"/>
  <c r="D58" i="4" s="1"/>
  <c r="C58" i="4"/>
  <c r="B59" i="4"/>
  <c r="C59" i="4"/>
  <c r="D59" i="4"/>
  <c r="B60" i="4"/>
  <c r="C60" i="4"/>
  <c r="D60" i="4"/>
  <c r="I60" i="4" s="1"/>
  <c r="J60" i="4" s="1"/>
  <c r="B61" i="4"/>
  <c r="C61" i="4" s="1"/>
  <c r="B62" i="4"/>
  <c r="D62" i="4" s="1"/>
  <c r="C62" i="4"/>
  <c r="B63" i="4"/>
  <c r="C63" i="4"/>
  <c r="D63" i="4"/>
  <c r="B64" i="4"/>
  <c r="C64" i="4"/>
  <c r="D64" i="4"/>
  <c r="I64" i="4" s="1"/>
  <c r="J64" i="4" s="1"/>
  <c r="B65" i="4"/>
  <c r="C65" i="4" s="1"/>
  <c r="B66" i="4"/>
  <c r="D66" i="4" s="1"/>
  <c r="C66" i="4"/>
  <c r="B67" i="4"/>
  <c r="C67" i="4"/>
  <c r="D67" i="4"/>
  <c r="B68" i="4"/>
  <c r="C68" i="4"/>
  <c r="D68" i="4"/>
  <c r="I68" i="4" s="1"/>
  <c r="J68" i="4" s="1"/>
  <c r="B69" i="4"/>
  <c r="C69" i="4" s="1"/>
  <c r="B70" i="4"/>
  <c r="D70" i="4" s="1"/>
  <c r="C70" i="4"/>
  <c r="B2" i="3" a="1"/>
  <c r="B2" i="3" s="1"/>
  <c r="D2" i="3" s="1"/>
  <c r="C2" i="3"/>
  <c r="E2" i="3" a="1"/>
  <c r="E2" i="3"/>
  <c r="C3" i="3"/>
  <c r="D3" i="3"/>
  <c r="C4" i="3"/>
  <c r="C5" i="3"/>
  <c r="D5" i="3"/>
  <c r="C6" i="3"/>
  <c r="C7" i="3"/>
  <c r="C8" i="3"/>
  <c r="D8" i="3"/>
  <c r="C9" i="3"/>
  <c r="D9" i="3"/>
  <c r="C10" i="3"/>
  <c r="C11" i="3"/>
  <c r="D11" i="3"/>
  <c r="C12" i="3"/>
  <c r="C13" i="3"/>
  <c r="C14" i="3"/>
  <c r="D14" i="3"/>
  <c r="C15" i="3"/>
  <c r="D15" i="3"/>
  <c r="C16" i="3"/>
  <c r="C17" i="3"/>
  <c r="D17" i="3"/>
  <c r="C18" i="3"/>
  <c r="C19" i="3"/>
  <c r="C20" i="3"/>
  <c r="D20" i="3"/>
  <c r="C21" i="3"/>
  <c r="D21" i="3"/>
  <c r="C22" i="3"/>
  <c r="C23" i="3"/>
  <c r="D23" i="3"/>
  <c r="C24" i="3"/>
  <c r="C25" i="3"/>
  <c r="C26" i="3"/>
  <c r="D26" i="3"/>
  <c r="C27" i="3"/>
  <c r="D27" i="3"/>
  <c r="C28" i="3"/>
  <c r="C29" i="3"/>
  <c r="D29" i="3"/>
  <c r="C30" i="3"/>
  <c r="C31" i="3"/>
  <c r="C32" i="3"/>
  <c r="D32" i="3"/>
  <c r="C33" i="3"/>
  <c r="D33" i="3"/>
  <c r="C34" i="3"/>
  <c r="C35" i="3"/>
  <c r="D35" i="3"/>
  <c r="C36" i="3"/>
  <c r="C37" i="3"/>
  <c r="C38" i="3"/>
  <c r="D38" i="3"/>
  <c r="C39" i="3"/>
  <c r="D39" i="3"/>
  <c r="C40" i="3"/>
  <c r="C41" i="3"/>
  <c r="D41" i="3"/>
  <c r="C42" i="3"/>
  <c r="C43" i="3"/>
  <c r="C44" i="3"/>
  <c r="D44" i="3"/>
  <c r="C45" i="3"/>
  <c r="D45" i="3"/>
  <c r="C46" i="3"/>
  <c r="C47" i="3"/>
  <c r="D47" i="3"/>
  <c r="C48" i="3"/>
  <c r="C49" i="3"/>
  <c r="C50" i="3"/>
  <c r="D50" i="3"/>
  <c r="C51" i="3"/>
  <c r="D51" i="3"/>
  <c r="C52" i="3"/>
  <c r="C53" i="3"/>
  <c r="D53" i="3"/>
  <c r="C54" i="3"/>
  <c r="C55" i="3"/>
  <c r="C56" i="3"/>
  <c r="D56" i="3"/>
  <c r="C57" i="3"/>
  <c r="D57" i="3"/>
  <c r="C58" i="3"/>
  <c r="C59" i="3"/>
  <c r="D59" i="3"/>
  <c r="C60" i="3"/>
  <c r="C61" i="3"/>
  <c r="C62" i="3"/>
  <c r="D62" i="3"/>
  <c r="C63" i="3"/>
  <c r="D63" i="3"/>
  <c r="C64" i="3"/>
  <c r="C65" i="3"/>
  <c r="D65" i="3"/>
  <c r="C66" i="3"/>
  <c r="C67" i="3"/>
  <c r="C68" i="3"/>
  <c r="D68" i="3"/>
  <c r="C69" i="3"/>
  <c r="D69" i="3"/>
  <c r="C70" i="3"/>
  <c r="B2" i="2" a="1"/>
  <c r="B2" i="2" s="1"/>
  <c r="C2" i="2"/>
  <c r="I2" i="2" a="1"/>
  <c r="I2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D2" i="1"/>
  <c r="C2" i="1" s="1" a="1"/>
  <c r="K2" i="1"/>
  <c r="I58" i="4" l="1"/>
  <c r="J58" i="4" s="1"/>
  <c r="I6" i="4"/>
  <c r="J6" i="4" s="1"/>
  <c r="I70" i="4"/>
  <c r="J70" i="4" s="1"/>
  <c r="I54" i="4"/>
  <c r="J54" i="4" s="1"/>
  <c r="I38" i="4"/>
  <c r="J38" i="4" s="1"/>
  <c r="I22" i="4"/>
  <c r="J22" i="4" s="1"/>
  <c r="I42" i="4"/>
  <c r="J42" i="4" s="1"/>
  <c r="I62" i="4"/>
  <c r="J62" i="4" s="1"/>
  <c r="I46" i="4"/>
  <c r="J46" i="4" s="1"/>
  <c r="I30" i="4"/>
  <c r="J30" i="4" s="1"/>
  <c r="I14" i="4"/>
  <c r="J14" i="4" s="1"/>
  <c r="I26" i="4"/>
  <c r="J26" i="4" s="1"/>
  <c r="I10" i="4"/>
  <c r="J10" i="4" s="1"/>
  <c r="I2" i="4"/>
  <c r="J2" i="4" s="1"/>
  <c r="I66" i="4"/>
  <c r="J66" i="4" s="1"/>
  <c r="I50" i="4"/>
  <c r="J50" i="4" s="1"/>
  <c r="I34" i="4"/>
  <c r="J34" i="4" s="1"/>
  <c r="I18" i="4"/>
  <c r="J18" i="4" s="1"/>
  <c r="F36" i="4"/>
  <c r="D69" i="4"/>
  <c r="D65" i="4"/>
  <c r="D61" i="4"/>
  <c r="D57" i="4"/>
  <c r="D53" i="4"/>
  <c r="D49" i="4"/>
  <c r="D45" i="4"/>
  <c r="D41" i="4"/>
  <c r="D37" i="4"/>
  <c r="D33" i="4"/>
  <c r="D29" i="4"/>
  <c r="F22" i="4" s="1"/>
  <c r="D25" i="4"/>
  <c r="D21" i="4"/>
  <c r="D17" i="4"/>
  <c r="D13" i="4"/>
  <c r="D9" i="4"/>
  <c r="D5" i="4"/>
  <c r="F54" i="4" s="1"/>
  <c r="I67" i="4"/>
  <c r="J67" i="4" s="1"/>
  <c r="I63" i="4"/>
  <c r="J63" i="4" s="1"/>
  <c r="I59" i="4"/>
  <c r="J59" i="4" s="1"/>
  <c r="I55" i="4"/>
  <c r="J55" i="4" s="1"/>
  <c r="I51" i="4"/>
  <c r="J51" i="4" s="1"/>
  <c r="I47" i="4"/>
  <c r="J47" i="4" s="1"/>
  <c r="I43" i="4"/>
  <c r="J43" i="4" s="1"/>
  <c r="I39" i="4"/>
  <c r="J39" i="4" s="1"/>
  <c r="I35" i="4"/>
  <c r="J35" i="4" s="1"/>
  <c r="I31" i="4"/>
  <c r="J31" i="4" s="1"/>
  <c r="I27" i="4"/>
  <c r="J27" i="4" s="1"/>
  <c r="I23" i="4"/>
  <c r="J23" i="4" s="1"/>
  <c r="I19" i="4"/>
  <c r="J19" i="4" s="1"/>
  <c r="I15" i="4"/>
  <c r="J15" i="4" s="1"/>
  <c r="I11" i="4"/>
  <c r="J11" i="4" s="1"/>
  <c r="I7" i="4"/>
  <c r="J7" i="4" s="1"/>
  <c r="I3" i="4"/>
  <c r="J3" i="4" s="1"/>
  <c r="F63" i="4"/>
  <c r="F15" i="4"/>
  <c r="D70" i="3"/>
  <c r="D64" i="3"/>
  <c r="D58" i="3"/>
  <c r="D52" i="3"/>
  <c r="D46" i="3"/>
  <c r="D40" i="3"/>
  <c r="D34" i="3"/>
  <c r="D28" i="3"/>
  <c r="D22" i="3"/>
  <c r="D16" i="3"/>
  <c r="D10" i="3"/>
  <c r="D4" i="3"/>
  <c r="D67" i="3"/>
  <c r="D61" i="3"/>
  <c r="D55" i="3"/>
  <c r="D49" i="3"/>
  <c r="D43" i="3"/>
  <c r="D37" i="3"/>
  <c r="D31" i="3"/>
  <c r="D25" i="3"/>
  <c r="D19" i="3"/>
  <c r="D13" i="3"/>
  <c r="D7" i="3"/>
  <c r="D66" i="3"/>
  <c r="D60" i="3"/>
  <c r="D54" i="3"/>
  <c r="D48" i="3"/>
  <c r="D42" i="3"/>
  <c r="D36" i="3"/>
  <c r="D30" i="3"/>
  <c r="D24" i="3"/>
  <c r="D18" i="3"/>
  <c r="D12" i="3"/>
  <c r="D6" i="3"/>
  <c r="D2" i="2" a="1"/>
  <c r="D2" i="2" s="1"/>
  <c r="F2" i="2" s="1" a="1"/>
  <c r="F2" i="2" s="1"/>
  <c r="H2" i="2" s="1" a="1"/>
  <c r="H2" i="2" s="1"/>
  <c r="E2" i="2" a="1"/>
  <c r="E2" i="2" s="1"/>
  <c r="C2" i="1"/>
  <c r="F62" i="4" l="1"/>
  <c r="F3" i="4"/>
  <c r="F51" i="4"/>
  <c r="F17" i="4"/>
  <c r="I17" i="4"/>
  <c r="J17" i="4" s="1"/>
  <c r="E65" i="4"/>
  <c r="F65" i="4"/>
  <c r="I65" i="4"/>
  <c r="J65" i="4" s="1"/>
  <c r="F24" i="4"/>
  <c r="F18" i="4"/>
  <c r="F46" i="4"/>
  <c r="F70" i="4"/>
  <c r="F7" i="4"/>
  <c r="F55" i="4"/>
  <c r="F21" i="4"/>
  <c r="E21" i="4"/>
  <c r="I21" i="4"/>
  <c r="J21" i="4" s="1"/>
  <c r="F69" i="4"/>
  <c r="E69" i="4"/>
  <c r="I69" i="4"/>
  <c r="J69" i="4" s="1"/>
  <c r="F28" i="4"/>
  <c r="F11" i="4"/>
  <c r="F59" i="4"/>
  <c r="F25" i="4"/>
  <c r="I25" i="4"/>
  <c r="J25" i="4" s="1"/>
  <c r="F32" i="4"/>
  <c r="F2" i="4"/>
  <c r="F26" i="4"/>
  <c r="F6" i="4"/>
  <c r="F19" i="4"/>
  <c r="F33" i="4"/>
  <c r="I33" i="4"/>
  <c r="J33" i="4" s="1"/>
  <c r="F37" i="4"/>
  <c r="I37" i="4"/>
  <c r="J37" i="4" s="1"/>
  <c r="F27" i="4"/>
  <c r="F41" i="4"/>
  <c r="I41" i="4"/>
  <c r="J41" i="4" s="1"/>
  <c r="F48" i="4"/>
  <c r="F14" i="4"/>
  <c r="F31" i="4"/>
  <c r="F45" i="4"/>
  <c r="E45" i="4"/>
  <c r="I45" i="4"/>
  <c r="J45" i="4" s="1"/>
  <c r="F4" i="4"/>
  <c r="F52" i="4"/>
  <c r="F50" i="4"/>
  <c r="F42" i="4"/>
  <c r="E29" i="4"/>
  <c r="F29" i="4"/>
  <c r="I29" i="4"/>
  <c r="J29" i="4" s="1"/>
  <c r="F40" i="4"/>
  <c r="F23" i="4"/>
  <c r="F35" i="4"/>
  <c r="F49" i="4"/>
  <c r="I49" i="4"/>
  <c r="J49" i="4" s="1"/>
  <c r="F8" i="4"/>
  <c r="F56" i="4"/>
  <c r="F34" i="4"/>
  <c r="F44" i="4"/>
  <c r="F38" i="4"/>
  <c r="F39" i="4"/>
  <c r="F5" i="4"/>
  <c r="I5" i="4"/>
  <c r="J5" i="4" s="1"/>
  <c r="F53" i="4"/>
  <c r="I53" i="4"/>
  <c r="J53" i="4" s="1"/>
  <c r="F12" i="4"/>
  <c r="F60" i="4"/>
  <c r="F43" i="4"/>
  <c r="F9" i="4"/>
  <c r="E9" i="4"/>
  <c r="I9" i="4"/>
  <c r="J9" i="4" s="1"/>
  <c r="F57" i="4"/>
  <c r="I57" i="4"/>
  <c r="J57" i="4" s="1"/>
  <c r="F16" i="4"/>
  <c r="F64" i="4"/>
  <c r="F66" i="4"/>
  <c r="F30" i="4"/>
  <c r="F58" i="4"/>
  <c r="F67" i="4"/>
  <c r="F47" i="4"/>
  <c r="E13" i="4"/>
  <c r="F13" i="4"/>
  <c r="I13" i="4"/>
  <c r="J13" i="4" s="1"/>
  <c r="F61" i="4"/>
  <c r="I61" i="4"/>
  <c r="J61" i="4" s="1"/>
  <c r="F20" i="4"/>
  <c r="F68" i="4"/>
  <c r="F10" i="4"/>
  <c r="J2" i="2" a="1"/>
  <c r="J2" i="2" s="1"/>
  <c r="K2" i="2" s="1" a="1"/>
  <c r="K2" i="2" s="1"/>
  <c r="L2" i="2" s="1" a="1"/>
  <c r="L2" i="2" s="1"/>
  <c r="M2" i="2" s="1" a="1"/>
  <c r="M2" i="2" s="1"/>
  <c r="E58" i="4" l="1"/>
  <c r="E19" i="4"/>
  <c r="E30" i="4"/>
  <c r="E66" i="4"/>
  <c r="E40" i="4"/>
  <c r="E31" i="4"/>
  <c r="E34" i="4"/>
  <c r="E6" i="4"/>
  <c r="E56" i="4"/>
  <c r="E54" i="4"/>
  <c r="E3" i="4"/>
  <c r="E63" i="4"/>
  <c r="E36" i="4"/>
  <c r="E11" i="4"/>
  <c r="E12" i="4"/>
  <c r="E2" i="4"/>
  <c r="G2" i="4" s="1"/>
  <c r="H2" i="4" s="1"/>
  <c r="E8" i="4"/>
  <c r="E47" i="4"/>
  <c r="E32" i="4"/>
  <c r="E22" i="4"/>
  <c r="E59" i="4"/>
  <c r="E42" i="4"/>
  <c r="E67" i="4"/>
  <c r="E50" i="4"/>
  <c r="E28" i="4"/>
  <c r="E62" i="4"/>
  <c r="E16" i="4"/>
  <c r="E7" i="4"/>
  <c r="E43" i="4"/>
  <c r="E14" i="4"/>
  <c r="E55" i="4"/>
  <c r="E24" i="4"/>
  <c r="E23" i="4"/>
  <c r="E64" i="4"/>
  <c r="E26" i="4"/>
  <c r="E60" i="4"/>
  <c r="E27" i="4"/>
  <c r="E38" i="4"/>
  <c r="E51" i="4"/>
  <c r="E39" i="4"/>
  <c r="E68" i="4"/>
  <c r="E20" i="4"/>
  <c r="E46" i="4"/>
  <c r="E52" i="4"/>
  <c r="E4" i="4"/>
  <c r="E70" i="4"/>
  <c r="E15" i="4"/>
  <c r="E18" i="4"/>
  <c r="E48" i="4"/>
  <c r="E35" i="4"/>
  <c r="E10" i="4"/>
  <c r="E44" i="4"/>
  <c r="E61" i="4"/>
  <c r="E33" i="4"/>
  <c r="E57" i="4"/>
  <c r="E5" i="4"/>
  <c r="E41" i="4"/>
  <c r="E17" i="4"/>
  <c r="E25" i="4"/>
  <c r="E53" i="4"/>
  <c r="E49" i="4"/>
  <c r="E37" i="4"/>
  <c r="G3" i="4" l="1"/>
  <c r="H3" i="4" s="1"/>
  <c r="G4" i="4" l="1"/>
  <c r="H4" i="4" s="1"/>
  <c r="G5" i="4"/>
  <c r="H5" i="4" l="1"/>
  <c r="G6" i="4"/>
  <c r="H6" i="4" l="1"/>
  <c r="G7" i="4"/>
  <c r="H7" i="4" l="1"/>
  <c r="G8" i="4"/>
  <c r="H8" i="4" l="1"/>
  <c r="G9" i="4"/>
  <c r="H9" i="4" l="1"/>
  <c r="G10" i="4"/>
  <c r="H10" i="4" l="1"/>
  <c r="G11" i="4"/>
  <c r="H11" i="4" l="1"/>
  <c r="G12" i="4"/>
  <c r="H12" i="4" l="1"/>
  <c r="G13" i="4"/>
  <c r="H13" i="4" l="1"/>
  <c r="G14" i="4"/>
  <c r="H14" i="4" l="1"/>
  <c r="G15" i="4"/>
  <c r="H15" i="4" l="1"/>
  <c r="G16" i="4"/>
  <c r="H16" i="4" l="1"/>
  <c r="G17" i="4"/>
  <c r="H17" i="4" l="1"/>
  <c r="G18" i="4"/>
  <c r="H18" i="4" l="1"/>
  <c r="G19" i="4"/>
  <c r="H19" i="4" l="1"/>
  <c r="G20" i="4"/>
  <c r="H20" i="4" l="1"/>
  <c r="G21" i="4"/>
  <c r="H21" i="4" l="1"/>
  <c r="G22" i="4"/>
  <c r="H22" i="4" l="1"/>
  <c r="G23" i="4"/>
  <c r="H23" i="4" l="1"/>
  <c r="G24" i="4"/>
  <c r="H24" i="4" l="1"/>
  <c r="G25" i="4"/>
  <c r="H25" i="4" l="1"/>
  <c r="G26" i="4"/>
  <c r="H26" i="4" l="1"/>
  <c r="G27" i="4"/>
  <c r="H27" i="4" l="1"/>
  <c r="G28" i="4"/>
  <c r="H28" i="4" l="1"/>
  <c r="G29" i="4"/>
  <c r="H29" i="4" l="1"/>
  <c r="G30" i="4"/>
  <c r="H30" i="4" l="1"/>
  <c r="G31" i="4"/>
  <c r="H31" i="4" l="1"/>
  <c r="G32" i="4"/>
  <c r="H32" i="4" l="1"/>
  <c r="G33" i="4"/>
  <c r="H33" i="4" l="1"/>
  <c r="G34" i="4"/>
  <c r="H34" i="4" l="1"/>
  <c r="G35" i="4"/>
  <c r="H35" i="4" l="1"/>
  <c r="G36" i="4"/>
  <c r="H36" i="4" l="1"/>
  <c r="G37" i="4"/>
  <c r="H37" i="4" l="1"/>
  <c r="G38" i="4"/>
  <c r="H38" i="4" l="1"/>
  <c r="G39" i="4"/>
  <c r="H39" i="4" l="1"/>
  <c r="G40" i="4"/>
  <c r="H40" i="4" l="1"/>
  <c r="G41" i="4"/>
  <c r="H41" i="4" l="1"/>
  <c r="G42" i="4"/>
  <c r="H42" i="4" l="1"/>
  <c r="G43" i="4"/>
  <c r="H43" i="4" l="1"/>
  <c r="G44" i="4"/>
  <c r="H44" i="4" l="1"/>
  <c r="G45" i="4"/>
  <c r="H45" i="4" l="1"/>
  <c r="G46" i="4"/>
  <c r="H46" i="4" l="1"/>
  <c r="G47" i="4"/>
  <c r="H47" i="4" l="1"/>
  <c r="G48" i="4"/>
  <c r="H48" i="4" l="1"/>
  <c r="G49" i="4"/>
  <c r="H49" i="4" l="1"/>
  <c r="G50" i="4"/>
  <c r="H50" i="4" l="1"/>
  <c r="G51" i="4"/>
  <c r="H51" i="4" l="1"/>
  <c r="G52" i="4"/>
  <c r="H52" i="4" l="1"/>
  <c r="G53" i="4"/>
  <c r="H53" i="4" l="1"/>
  <c r="G54" i="4"/>
  <c r="H54" i="4" l="1"/>
  <c r="G55" i="4"/>
  <c r="H55" i="4" l="1"/>
  <c r="G56" i="4"/>
  <c r="H56" i="4" l="1"/>
  <c r="G57" i="4"/>
  <c r="H57" i="4" l="1"/>
  <c r="G58" i="4"/>
  <c r="H58" i="4" l="1"/>
  <c r="G59" i="4"/>
  <c r="H59" i="4" l="1"/>
  <c r="G60" i="4"/>
  <c r="H60" i="4" l="1"/>
  <c r="G61" i="4"/>
  <c r="H61" i="4" l="1"/>
  <c r="G62" i="4"/>
  <c r="H62" i="4" l="1"/>
  <c r="G63" i="4"/>
  <c r="H63" i="4" l="1"/>
  <c r="G64" i="4"/>
  <c r="H64" i="4" l="1"/>
  <c r="G65" i="4"/>
  <c r="H65" i="4" l="1"/>
  <c r="G66" i="4"/>
  <c r="H66" i="4" l="1"/>
  <c r="G67" i="4"/>
  <c r="H67" i="4" l="1"/>
  <c r="G68" i="4"/>
  <c r="H68" i="4" l="1"/>
  <c r="G69" i="4"/>
  <c r="H69" i="4" l="1"/>
  <c r="G70" i="4"/>
  <c r="H7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<sst xmlns="http://schemas.openxmlformats.org/spreadsheetml/2006/main" count="110" uniqueCount="107">
  <si>
    <t>Product BQ</t>
  </si>
  <si>
    <t>Product BP</t>
  </si>
  <si>
    <t>Product BO</t>
  </si>
  <si>
    <t>Product BN</t>
  </si>
  <si>
    <t>Product BM</t>
  </si>
  <si>
    <t>Product BL</t>
  </si>
  <si>
    <t>Product BK</t>
  </si>
  <si>
    <t>Product BJ</t>
  </si>
  <si>
    <t>Product BI</t>
  </si>
  <si>
    <t>Product BH</t>
  </si>
  <si>
    <t>Product BG</t>
  </si>
  <si>
    <t>Product BF</t>
  </si>
  <si>
    <t>Product BE</t>
  </si>
  <si>
    <t>Product BD</t>
  </si>
  <si>
    <t>Product BC</t>
  </si>
  <si>
    <t>Product BB</t>
  </si>
  <si>
    <t>Product BA</t>
  </si>
  <si>
    <t>Product AZ</t>
  </si>
  <si>
    <t>Product AY</t>
  </si>
  <si>
    <t>Product AX</t>
  </si>
  <si>
    <t>Product AW</t>
  </si>
  <si>
    <t>Product AV</t>
  </si>
  <si>
    <t>Product AU</t>
  </si>
  <si>
    <t>Product AT</t>
  </si>
  <si>
    <t>Product AS</t>
  </si>
  <si>
    <t>Product AR</t>
  </si>
  <si>
    <t>Product AQ</t>
  </si>
  <si>
    <t>Product AP</t>
  </si>
  <si>
    <t>Product AO</t>
  </si>
  <si>
    <t>Product AN</t>
  </si>
  <si>
    <t>Product AM</t>
  </si>
  <si>
    <t>Product AL</t>
  </si>
  <si>
    <t>Product AK</t>
  </si>
  <si>
    <t>Product AJ</t>
  </si>
  <si>
    <t>Product AI</t>
  </si>
  <si>
    <t>Product AH</t>
  </si>
  <si>
    <t>Product AG</t>
  </si>
  <si>
    <t>Product AF</t>
  </si>
  <si>
    <t>Product AE</t>
  </si>
  <si>
    <t>Product AD</t>
  </si>
  <si>
    <t>Product AC</t>
  </si>
  <si>
    <t>Product AB</t>
  </si>
  <si>
    <t>Product AA</t>
  </si>
  <si>
    <t>Product Z</t>
  </si>
  <si>
    <t>Product Y</t>
  </si>
  <si>
    <t>Product X</t>
  </si>
  <si>
    <t>Product W</t>
  </si>
  <si>
    <t>Product V</t>
  </si>
  <si>
    <t>Product U</t>
  </si>
  <si>
    <t>Product T</t>
  </si>
  <si>
    <t>Product S</t>
  </si>
  <si>
    <t>Product R</t>
  </si>
  <si>
    <t>Product Q</t>
  </si>
  <si>
    <t>Product P</t>
  </si>
  <si>
    <t>Product O</t>
  </si>
  <si>
    <t>Product N</t>
  </si>
  <si>
    <t>Product M</t>
  </si>
  <si>
    <t>Product L</t>
  </si>
  <si>
    <t>Product K</t>
  </si>
  <si>
    <t>Product J</t>
  </si>
  <si>
    <t>Product I</t>
  </si>
  <si>
    <t>Product H</t>
  </si>
  <si>
    <t>Product G</t>
  </si>
  <si>
    <t>Product F</t>
  </si>
  <si>
    <t>Product E</t>
  </si>
  <si>
    <t>Product D</t>
  </si>
  <si>
    <t>Product C</t>
  </si>
  <si>
    <t>Product B</t>
  </si>
  <si>
    <t>Product A</t>
  </si>
  <si>
    <t>Size limit</t>
  </si>
  <si>
    <t>Discounted Price</t>
  </si>
  <si>
    <t>Sales Price per Unit ($)</t>
  </si>
  <si>
    <t>Lead Time (Days)</t>
  </si>
  <si>
    <t>Holding Cost per Unit per Year ($)</t>
  </si>
  <si>
    <t>Order Cost ($)</t>
  </si>
  <si>
    <t>Unit Cost ($)</t>
  </si>
  <si>
    <t>Annual Demand (Units)</t>
  </si>
  <si>
    <t>Daily Demand</t>
  </si>
  <si>
    <t>Product Name</t>
  </si>
  <si>
    <t>Product ID</t>
  </si>
  <si>
    <t>Price Dicision</t>
  </si>
  <si>
    <t>Zone Dicision</t>
  </si>
  <si>
    <t>Q_1</t>
  </si>
  <si>
    <t>discre</t>
  </si>
  <si>
    <t>c</t>
  </si>
  <si>
    <t>b</t>
  </si>
  <si>
    <t>a</t>
  </si>
  <si>
    <t>TCU(y_m)</t>
  </si>
  <si>
    <t>Holding Cost</t>
  </si>
  <si>
    <t xml:space="preserve">Setup Cost </t>
  </si>
  <si>
    <t>Size Limit</t>
  </si>
  <si>
    <t>EOQ</t>
  </si>
  <si>
    <t xml:space="preserve">Reorder Point </t>
  </si>
  <si>
    <t>Number of Cycles (v)</t>
  </si>
  <si>
    <t xml:space="preserve">Lead Time </t>
  </si>
  <si>
    <t xml:space="preserve">Length of Supply Cycle </t>
  </si>
  <si>
    <t>Days in Inventory</t>
  </si>
  <si>
    <t>Inventory Turnover</t>
  </si>
  <si>
    <t>Status</t>
  </si>
  <si>
    <t>Cumulative Percentage</t>
  </si>
  <si>
    <t>Rank</t>
  </si>
  <si>
    <t>Percentage</t>
  </si>
  <si>
    <t>Total Usage</t>
  </si>
  <si>
    <t>Unit Cost</t>
  </si>
  <si>
    <t>Item Qty</t>
  </si>
  <si>
    <t xml:space="preserve">Total 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</si>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</sst>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6"/>
      <color rgb="FF0D0D0D"/>
      <name val="Segoe UI"/>
      <family val="2"/>
    </font>
    <font>
      <sz val="9"/>
      <color theme="1"/>
      <name val="Calibri"/>
      <family val="2"/>
      <scheme val="minor"/>
    </font>
    <font>
      <sz val="9"/>
      <color rgb="FF0D0D0D"/>
      <name val="Segoe UI"/>
      <family val="2"/>
    </font>
    <font>
      <b/>
      <sz val="11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2" fillId="3" borderId="0" xfId="0" applyFont="1" applyFill="1"/>
    <xf numFmtId="0" fontId="6" fillId="3" borderId="2" xfId="0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0DA4-5A83-4A81-9285-B85BD1E97ADE}">
  <dimension ref="A1:K70"/>
  <sheetViews>
    <sheetView workbookViewId="0">
      <selection activeCell="L13" sqref="L13"/>
    </sheetView>
  </sheetViews>
  <sheetFormatPr defaultRowHeight="14.5" x14ac:dyDescent="0.35"/>
  <sheetData>
    <row r="1" spans="1:11" ht="82.5" x14ac:dyDescent="0.35">
      <c r="A1" s="5" t="s">
        <v>79</v>
      </c>
      <c r="B1" s="5" t="s">
        <v>78</v>
      </c>
      <c r="C1" s="5" t="s">
        <v>77</v>
      </c>
      <c r="D1" s="5" t="s">
        <v>76</v>
      </c>
      <c r="E1" s="5" t="s">
        <v>75</v>
      </c>
      <c r="F1" s="5" t="s">
        <v>74</v>
      </c>
      <c r="G1" s="5" t="s">
        <v>73</v>
      </c>
      <c r="H1" s="5" t="s">
        <v>72</v>
      </c>
      <c r="I1" s="5" t="s">
        <v>71</v>
      </c>
      <c r="J1" s="5" t="s">
        <v>70</v>
      </c>
      <c r="K1" s="5" t="s">
        <v>69</v>
      </c>
    </row>
    <row r="2" spans="1:11" x14ac:dyDescent="0.35">
      <c r="A2" s="4">
        <v>1</v>
      </c>
      <c r="B2" s="1" t="s">
        <v>68</v>
      </c>
      <c r="C2" s="2" cm="1">
        <f t="array" ref="C2:C70">Annual_Demand__Units/360</f>
        <v>187.5</v>
      </c>
      <c r="D2" s="3">
        <f>187.5*360</f>
        <v>67500</v>
      </c>
      <c r="E2" s="1">
        <v>10</v>
      </c>
      <c r="F2" s="1">
        <v>20</v>
      </c>
      <c r="G2" s="1">
        <v>0.02</v>
      </c>
      <c r="H2" s="1">
        <v>2</v>
      </c>
      <c r="I2" s="1">
        <v>3</v>
      </c>
      <c r="J2" s="1">
        <v>2.5</v>
      </c>
      <c r="K2" s="1">
        <f>1000</f>
        <v>1000</v>
      </c>
    </row>
    <row r="3" spans="1:11" x14ac:dyDescent="0.35">
      <c r="A3" s="4">
        <v>2</v>
      </c>
      <c r="B3" s="1" t="s">
        <v>67</v>
      </c>
      <c r="C3" s="2">
        <v>140</v>
      </c>
      <c r="D3" s="1">
        <v>50400</v>
      </c>
      <c r="E3" s="1">
        <v>8</v>
      </c>
      <c r="F3" s="1">
        <v>25</v>
      </c>
      <c r="G3" s="1">
        <v>5</v>
      </c>
      <c r="H3" s="1">
        <v>3</v>
      </c>
      <c r="I3" s="1">
        <v>16</v>
      </c>
      <c r="J3" s="1">
        <v>14</v>
      </c>
      <c r="K3" s="1">
        <v>995</v>
      </c>
    </row>
    <row r="4" spans="1:11" x14ac:dyDescent="0.35">
      <c r="A4" s="4">
        <v>3</v>
      </c>
      <c r="B4" s="1" t="s">
        <v>66</v>
      </c>
      <c r="C4" s="2">
        <v>12.777777777777779</v>
      </c>
      <c r="D4" s="1">
        <v>4600</v>
      </c>
      <c r="E4" s="1">
        <v>12</v>
      </c>
      <c r="F4" s="1">
        <v>100</v>
      </c>
      <c r="G4" s="1">
        <v>1.2</v>
      </c>
      <c r="H4" s="1">
        <v>6</v>
      </c>
      <c r="I4" s="1">
        <v>24</v>
      </c>
      <c r="J4" s="1">
        <v>22</v>
      </c>
      <c r="K4" s="1">
        <v>990</v>
      </c>
    </row>
    <row r="5" spans="1:11" x14ac:dyDescent="0.35">
      <c r="A5" s="4">
        <v>4</v>
      </c>
      <c r="B5" s="1" t="s">
        <v>65</v>
      </c>
      <c r="C5" s="2">
        <v>12.5</v>
      </c>
      <c r="D5" s="1">
        <v>4500</v>
      </c>
      <c r="E5" s="1">
        <v>15</v>
      </c>
      <c r="F5" s="1">
        <v>100</v>
      </c>
      <c r="G5" s="1">
        <v>1.5</v>
      </c>
      <c r="H5" s="1">
        <v>7</v>
      </c>
      <c r="I5" s="1">
        <v>30</v>
      </c>
      <c r="J5" s="1">
        <v>27</v>
      </c>
      <c r="K5" s="1">
        <v>985</v>
      </c>
    </row>
    <row r="6" spans="1:11" x14ac:dyDescent="0.35">
      <c r="A6" s="4">
        <v>5</v>
      </c>
      <c r="B6" s="1" t="s">
        <v>64</v>
      </c>
      <c r="C6" s="2">
        <v>12.222222222222221</v>
      </c>
      <c r="D6" s="1">
        <v>4400</v>
      </c>
      <c r="E6" s="1">
        <v>10</v>
      </c>
      <c r="F6" s="1">
        <v>100</v>
      </c>
      <c r="G6" s="1">
        <v>1</v>
      </c>
      <c r="H6" s="1">
        <v>5</v>
      </c>
      <c r="I6" s="1">
        <v>20</v>
      </c>
      <c r="J6" s="1">
        <v>18</v>
      </c>
      <c r="K6" s="1">
        <v>980</v>
      </c>
    </row>
    <row r="7" spans="1:11" x14ac:dyDescent="0.35">
      <c r="A7" s="4">
        <v>6</v>
      </c>
      <c r="B7" s="1" t="s">
        <v>63</v>
      </c>
      <c r="C7" s="2">
        <v>11.944444444444445</v>
      </c>
      <c r="D7" s="1">
        <v>4300</v>
      </c>
      <c r="E7" s="1">
        <v>11</v>
      </c>
      <c r="F7" s="1">
        <v>100</v>
      </c>
      <c r="G7" s="1">
        <v>1.1000000000000001</v>
      </c>
      <c r="H7" s="1">
        <v>6</v>
      </c>
      <c r="I7" s="1">
        <v>22</v>
      </c>
      <c r="J7" s="1">
        <v>20</v>
      </c>
      <c r="K7" s="1">
        <v>975</v>
      </c>
    </row>
    <row r="8" spans="1:11" x14ac:dyDescent="0.35">
      <c r="A8" s="4">
        <v>7</v>
      </c>
      <c r="B8" s="1" t="s">
        <v>62</v>
      </c>
      <c r="C8" s="2">
        <v>11.666666666666666</v>
      </c>
      <c r="D8" s="1">
        <v>4200</v>
      </c>
      <c r="E8" s="1">
        <v>9</v>
      </c>
      <c r="F8" s="1">
        <v>100</v>
      </c>
      <c r="G8" s="1">
        <v>0.9</v>
      </c>
      <c r="H8" s="1">
        <v>4</v>
      </c>
      <c r="I8" s="1">
        <v>18</v>
      </c>
      <c r="J8" s="1">
        <v>16</v>
      </c>
      <c r="K8" s="1">
        <v>970</v>
      </c>
    </row>
    <row r="9" spans="1:11" x14ac:dyDescent="0.35">
      <c r="A9" s="4">
        <v>8</v>
      </c>
      <c r="B9" s="1" t="s">
        <v>61</v>
      </c>
      <c r="C9" s="2">
        <v>11.388888888888889</v>
      </c>
      <c r="D9" s="1">
        <v>4100</v>
      </c>
      <c r="E9" s="1">
        <v>14</v>
      </c>
      <c r="F9" s="1">
        <v>100</v>
      </c>
      <c r="G9" s="1">
        <v>1.4</v>
      </c>
      <c r="H9" s="1">
        <v>6</v>
      </c>
      <c r="I9" s="1">
        <v>28</v>
      </c>
      <c r="J9" s="1">
        <v>25</v>
      </c>
      <c r="K9" s="1">
        <v>965</v>
      </c>
    </row>
    <row r="10" spans="1:11" x14ac:dyDescent="0.35">
      <c r="A10" s="4">
        <v>9</v>
      </c>
      <c r="B10" s="1" t="s">
        <v>60</v>
      </c>
      <c r="C10" s="2">
        <v>11.111111111111111</v>
      </c>
      <c r="D10" s="1">
        <v>4000</v>
      </c>
      <c r="E10" s="1">
        <v>10</v>
      </c>
      <c r="F10" s="1">
        <v>100</v>
      </c>
      <c r="G10" s="1">
        <v>1</v>
      </c>
      <c r="H10" s="1">
        <v>5</v>
      </c>
      <c r="I10" s="1">
        <v>20</v>
      </c>
      <c r="J10" s="1">
        <v>18</v>
      </c>
      <c r="K10" s="1">
        <v>960</v>
      </c>
    </row>
    <row r="11" spans="1:11" x14ac:dyDescent="0.35">
      <c r="A11" s="4">
        <v>10</v>
      </c>
      <c r="B11" s="1" t="s">
        <v>59</v>
      </c>
      <c r="C11" s="2">
        <v>10.833333333333334</v>
      </c>
      <c r="D11" s="1">
        <v>3900</v>
      </c>
      <c r="E11" s="1">
        <v>8</v>
      </c>
      <c r="F11" s="1">
        <v>100</v>
      </c>
      <c r="G11" s="1">
        <v>0.8</v>
      </c>
      <c r="H11" s="1">
        <v>4</v>
      </c>
      <c r="I11" s="1">
        <v>16</v>
      </c>
      <c r="J11" s="1">
        <v>14</v>
      </c>
      <c r="K11" s="1">
        <v>955</v>
      </c>
    </row>
    <row r="12" spans="1:11" x14ac:dyDescent="0.35">
      <c r="A12" s="4">
        <v>11</v>
      </c>
      <c r="B12" s="1" t="s">
        <v>58</v>
      </c>
      <c r="C12" s="2">
        <v>10.555555555555555</v>
      </c>
      <c r="D12" s="1">
        <v>3800</v>
      </c>
      <c r="E12" s="1">
        <v>13</v>
      </c>
      <c r="F12" s="1">
        <v>100</v>
      </c>
      <c r="G12" s="1">
        <v>1.3</v>
      </c>
      <c r="H12" s="1">
        <v>6</v>
      </c>
      <c r="I12" s="1">
        <v>26</v>
      </c>
      <c r="J12" s="1">
        <v>23</v>
      </c>
      <c r="K12" s="1">
        <v>950</v>
      </c>
    </row>
    <row r="13" spans="1:11" x14ac:dyDescent="0.35">
      <c r="A13" s="4">
        <v>12</v>
      </c>
      <c r="B13" s="1" t="s">
        <v>57</v>
      </c>
      <c r="C13" s="2">
        <v>10.277777777777779</v>
      </c>
      <c r="D13" s="1">
        <v>3700</v>
      </c>
      <c r="E13" s="1">
        <v>12</v>
      </c>
      <c r="F13" s="1">
        <v>100</v>
      </c>
      <c r="G13" s="1">
        <v>1.2</v>
      </c>
      <c r="H13" s="1">
        <v>5</v>
      </c>
      <c r="I13" s="1">
        <v>24</v>
      </c>
      <c r="J13" s="1">
        <v>22</v>
      </c>
      <c r="K13" s="1">
        <v>945</v>
      </c>
    </row>
    <row r="14" spans="1:11" ht="27" x14ac:dyDescent="0.35">
      <c r="A14" s="4">
        <v>13</v>
      </c>
      <c r="B14" s="1" t="s">
        <v>56</v>
      </c>
      <c r="C14" s="2">
        <v>10</v>
      </c>
      <c r="D14" s="1">
        <v>3600</v>
      </c>
      <c r="E14" s="1">
        <v>11</v>
      </c>
      <c r="F14" s="1">
        <v>100</v>
      </c>
      <c r="G14" s="1">
        <v>1.1000000000000001</v>
      </c>
      <c r="H14" s="1">
        <v>6</v>
      </c>
      <c r="I14" s="1">
        <v>22</v>
      </c>
      <c r="J14" s="1">
        <v>20</v>
      </c>
      <c r="K14" s="1">
        <v>940</v>
      </c>
    </row>
    <row r="15" spans="1:11" x14ac:dyDescent="0.35">
      <c r="A15" s="4">
        <v>14</v>
      </c>
      <c r="B15" s="1" t="s">
        <v>55</v>
      </c>
      <c r="C15" s="2">
        <v>9.7222222222222214</v>
      </c>
      <c r="D15" s="1">
        <v>3500</v>
      </c>
      <c r="E15" s="1">
        <v>15</v>
      </c>
      <c r="F15" s="1">
        <v>100</v>
      </c>
      <c r="G15" s="1">
        <v>1.5</v>
      </c>
      <c r="H15" s="1">
        <v>7</v>
      </c>
      <c r="I15" s="1">
        <v>30</v>
      </c>
      <c r="J15" s="1">
        <v>27</v>
      </c>
      <c r="K15" s="1">
        <v>935</v>
      </c>
    </row>
    <row r="16" spans="1:11" x14ac:dyDescent="0.35">
      <c r="A16" s="4">
        <v>15</v>
      </c>
      <c r="B16" s="1" t="s">
        <v>54</v>
      </c>
      <c r="C16" s="2">
        <v>9.4444444444444446</v>
      </c>
      <c r="D16" s="1">
        <v>3400</v>
      </c>
      <c r="E16" s="1">
        <v>9</v>
      </c>
      <c r="F16" s="1">
        <v>100</v>
      </c>
      <c r="G16" s="1">
        <v>0.9</v>
      </c>
      <c r="H16" s="1">
        <v>4</v>
      </c>
      <c r="I16" s="1">
        <v>18</v>
      </c>
      <c r="J16" s="1">
        <v>16</v>
      </c>
      <c r="K16" s="1">
        <v>930</v>
      </c>
    </row>
    <row r="17" spans="1:11" x14ac:dyDescent="0.35">
      <c r="A17" s="4">
        <v>16</v>
      </c>
      <c r="B17" s="1" t="s">
        <v>53</v>
      </c>
      <c r="C17" s="2">
        <v>9.1666666666666661</v>
      </c>
      <c r="D17" s="1">
        <v>3300</v>
      </c>
      <c r="E17" s="1">
        <v>14</v>
      </c>
      <c r="F17" s="1">
        <v>100</v>
      </c>
      <c r="G17" s="1">
        <v>1.4</v>
      </c>
      <c r="H17" s="1">
        <v>5</v>
      </c>
      <c r="I17" s="1">
        <v>28</v>
      </c>
      <c r="J17" s="1">
        <v>25</v>
      </c>
      <c r="K17" s="1">
        <v>925</v>
      </c>
    </row>
    <row r="18" spans="1:11" x14ac:dyDescent="0.35">
      <c r="A18" s="4">
        <v>17</v>
      </c>
      <c r="B18" s="1" t="s">
        <v>52</v>
      </c>
      <c r="C18" s="2">
        <v>8.8888888888888893</v>
      </c>
      <c r="D18" s="1">
        <v>3200</v>
      </c>
      <c r="E18" s="1">
        <v>10</v>
      </c>
      <c r="F18" s="1">
        <v>100</v>
      </c>
      <c r="G18" s="1">
        <v>1</v>
      </c>
      <c r="H18" s="1">
        <v>5</v>
      </c>
      <c r="I18" s="1">
        <v>20</v>
      </c>
      <c r="J18" s="1">
        <v>18</v>
      </c>
      <c r="K18" s="1">
        <v>920</v>
      </c>
    </row>
    <row r="19" spans="1:11" x14ac:dyDescent="0.35">
      <c r="A19" s="4">
        <v>18</v>
      </c>
      <c r="B19" s="1" t="s">
        <v>51</v>
      </c>
      <c r="C19" s="2">
        <v>8.6111111111111107</v>
      </c>
      <c r="D19" s="1">
        <v>3100</v>
      </c>
      <c r="E19" s="1">
        <v>8</v>
      </c>
      <c r="F19" s="1">
        <v>100</v>
      </c>
      <c r="G19" s="1">
        <v>0.8</v>
      </c>
      <c r="H19" s="1">
        <v>4</v>
      </c>
      <c r="I19" s="1">
        <v>16</v>
      </c>
      <c r="J19" s="1">
        <v>14</v>
      </c>
      <c r="K19" s="1">
        <v>915</v>
      </c>
    </row>
    <row r="20" spans="1:11" x14ac:dyDescent="0.35">
      <c r="A20" s="4">
        <v>19</v>
      </c>
      <c r="B20" s="1" t="s">
        <v>50</v>
      </c>
      <c r="C20" s="2">
        <v>8.3333333333333339</v>
      </c>
      <c r="D20" s="1">
        <v>3000</v>
      </c>
      <c r="E20" s="1">
        <v>12</v>
      </c>
      <c r="F20" s="1">
        <v>100</v>
      </c>
      <c r="G20" s="1">
        <v>1.2</v>
      </c>
      <c r="H20" s="1">
        <v>6</v>
      </c>
      <c r="I20" s="1">
        <v>24</v>
      </c>
      <c r="J20" s="1">
        <v>22</v>
      </c>
      <c r="K20" s="1">
        <v>910</v>
      </c>
    </row>
    <row r="21" spans="1:11" x14ac:dyDescent="0.35">
      <c r="A21" s="4">
        <v>20</v>
      </c>
      <c r="B21" s="1" t="s">
        <v>49</v>
      </c>
      <c r="C21" s="2">
        <v>8.0555555555555554</v>
      </c>
      <c r="D21" s="1">
        <v>2900</v>
      </c>
      <c r="E21" s="1">
        <v>15</v>
      </c>
      <c r="F21" s="1">
        <v>100</v>
      </c>
      <c r="G21" s="1">
        <v>1.5</v>
      </c>
      <c r="H21" s="1">
        <v>7</v>
      </c>
      <c r="I21" s="1">
        <v>30</v>
      </c>
      <c r="J21" s="1">
        <v>27</v>
      </c>
      <c r="K21" s="1">
        <v>905</v>
      </c>
    </row>
    <row r="22" spans="1:11" x14ac:dyDescent="0.35">
      <c r="A22" s="4">
        <v>21</v>
      </c>
      <c r="B22" s="1" t="s">
        <v>48</v>
      </c>
      <c r="C22" s="2">
        <v>7.7777777777777777</v>
      </c>
      <c r="D22" s="1">
        <v>2800</v>
      </c>
      <c r="E22" s="1">
        <v>10</v>
      </c>
      <c r="F22" s="1">
        <v>100</v>
      </c>
      <c r="G22" s="1">
        <v>1</v>
      </c>
      <c r="H22" s="1">
        <v>5</v>
      </c>
      <c r="I22" s="1">
        <v>20</v>
      </c>
      <c r="J22" s="1">
        <v>18</v>
      </c>
      <c r="K22" s="1">
        <v>900</v>
      </c>
    </row>
    <row r="23" spans="1:11" x14ac:dyDescent="0.35">
      <c r="A23" s="4">
        <v>22</v>
      </c>
      <c r="B23" s="1" t="s">
        <v>47</v>
      </c>
      <c r="C23" s="2">
        <v>7.5</v>
      </c>
      <c r="D23" s="1">
        <v>2700</v>
      </c>
      <c r="E23" s="1">
        <v>11</v>
      </c>
      <c r="F23" s="1">
        <v>100</v>
      </c>
      <c r="G23" s="1">
        <v>1.1000000000000001</v>
      </c>
      <c r="H23" s="1">
        <v>6</v>
      </c>
      <c r="I23" s="1">
        <v>22</v>
      </c>
      <c r="J23" s="1">
        <v>20</v>
      </c>
      <c r="K23" s="1">
        <v>895</v>
      </c>
    </row>
    <row r="24" spans="1:11" ht="27" x14ac:dyDescent="0.35">
      <c r="A24" s="4">
        <v>23</v>
      </c>
      <c r="B24" s="1" t="s">
        <v>46</v>
      </c>
      <c r="C24" s="2">
        <v>7.2222222222222223</v>
      </c>
      <c r="D24" s="1">
        <v>2600</v>
      </c>
      <c r="E24" s="1">
        <v>9</v>
      </c>
      <c r="F24" s="1">
        <v>100</v>
      </c>
      <c r="G24" s="1">
        <v>0.9</v>
      </c>
      <c r="H24" s="1">
        <v>4</v>
      </c>
      <c r="I24" s="1">
        <v>18</v>
      </c>
      <c r="J24" s="1">
        <v>16</v>
      </c>
      <c r="K24" s="1">
        <v>890</v>
      </c>
    </row>
    <row r="25" spans="1:11" x14ac:dyDescent="0.35">
      <c r="A25" s="4">
        <v>24</v>
      </c>
      <c r="B25" s="1" t="s">
        <v>45</v>
      </c>
      <c r="C25" s="2">
        <v>6.9444444444444446</v>
      </c>
      <c r="D25" s="1">
        <v>2500</v>
      </c>
      <c r="E25" s="1">
        <v>14</v>
      </c>
      <c r="F25" s="1">
        <v>100</v>
      </c>
      <c r="G25" s="1">
        <v>1.4</v>
      </c>
      <c r="H25" s="1">
        <v>6</v>
      </c>
      <c r="I25" s="1">
        <v>28</v>
      </c>
      <c r="J25" s="1">
        <v>25</v>
      </c>
      <c r="K25" s="1">
        <v>885</v>
      </c>
    </row>
    <row r="26" spans="1:11" x14ac:dyDescent="0.35">
      <c r="A26" s="4">
        <v>25</v>
      </c>
      <c r="B26" s="1" t="s">
        <v>44</v>
      </c>
      <c r="C26" s="2">
        <v>6.666666666666667</v>
      </c>
      <c r="D26" s="1">
        <v>2400</v>
      </c>
      <c r="E26" s="1">
        <v>10</v>
      </c>
      <c r="F26" s="1">
        <v>100</v>
      </c>
      <c r="G26" s="1">
        <v>1</v>
      </c>
      <c r="H26" s="1">
        <v>5</v>
      </c>
      <c r="I26" s="1">
        <v>20</v>
      </c>
      <c r="J26" s="1">
        <v>18</v>
      </c>
      <c r="K26" s="1">
        <v>880</v>
      </c>
    </row>
    <row r="27" spans="1:11" x14ac:dyDescent="0.35">
      <c r="A27" s="4">
        <v>26</v>
      </c>
      <c r="B27" s="1" t="s">
        <v>43</v>
      </c>
      <c r="C27" s="2">
        <v>6.3888888888888893</v>
      </c>
      <c r="D27" s="1">
        <v>2300</v>
      </c>
      <c r="E27" s="1">
        <v>8</v>
      </c>
      <c r="F27" s="1">
        <v>100</v>
      </c>
      <c r="G27" s="1">
        <v>0.8</v>
      </c>
      <c r="H27" s="1">
        <v>4</v>
      </c>
      <c r="I27" s="1">
        <v>16</v>
      </c>
      <c r="J27" s="1">
        <v>14</v>
      </c>
      <c r="K27" s="1">
        <v>875</v>
      </c>
    </row>
    <row r="28" spans="1:11" ht="27" x14ac:dyDescent="0.35">
      <c r="A28" s="4">
        <v>27</v>
      </c>
      <c r="B28" s="1" t="s">
        <v>42</v>
      </c>
      <c r="C28" s="2">
        <v>6.1111111111111107</v>
      </c>
      <c r="D28" s="1">
        <v>2200</v>
      </c>
      <c r="E28" s="1">
        <v>13</v>
      </c>
      <c r="F28" s="1">
        <v>100</v>
      </c>
      <c r="G28" s="1">
        <v>1.3</v>
      </c>
      <c r="H28" s="1">
        <v>6</v>
      </c>
      <c r="I28" s="1">
        <v>26</v>
      </c>
      <c r="J28" s="1">
        <v>23</v>
      </c>
      <c r="K28" s="1">
        <v>870</v>
      </c>
    </row>
    <row r="29" spans="1:11" ht="27" x14ac:dyDescent="0.35">
      <c r="A29" s="4">
        <v>28</v>
      </c>
      <c r="B29" s="1" t="s">
        <v>41</v>
      </c>
      <c r="C29" s="2">
        <v>5.833333333333333</v>
      </c>
      <c r="D29" s="1">
        <v>2100</v>
      </c>
      <c r="E29" s="1">
        <v>12</v>
      </c>
      <c r="F29" s="1">
        <v>100</v>
      </c>
      <c r="G29" s="1">
        <v>1.2</v>
      </c>
      <c r="H29" s="1">
        <v>5</v>
      </c>
      <c r="I29" s="1">
        <v>24</v>
      </c>
      <c r="J29" s="1">
        <v>22</v>
      </c>
      <c r="K29" s="1">
        <v>865</v>
      </c>
    </row>
    <row r="30" spans="1:11" ht="27" x14ac:dyDescent="0.35">
      <c r="A30" s="4">
        <v>29</v>
      </c>
      <c r="B30" s="1" t="s">
        <v>40</v>
      </c>
      <c r="C30" s="2">
        <v>5.5555555555555554</v>
      </c>
      <c r="D30" s="1">
        <v>2000</v>
      </c>
      <c r="E30" s="1">
        <v>11</v>
      </c>
      <c r="F30" s="1">
        <v>100</v>
      </c>
      <c r="G30" s="1">
        <v>1.1000000000000001</v>
      </c>
      <c r="H30" s="1">
        <v>6</v>
      </c>
      <c r="I30" s="1">
        <v>22</v>
      </c>
      <c r="J30" s="1">
        <v>20</v>
      </c>
      <c r="K30" s="1">
        <v>860</v>
      </c>
    </row>
    <row r="31" spans="1:11" ht="27" x14ac:dyDescent="0.35">
      <c r="A31" s="4">
        <v>30</v>
      </c>
      <c r="B31" s="1" t="s">
        <v>39</v>
      </c>
      <c r="C31" s="2">
        <v>5.2777777777777777</v>
      </c>
      <c r="D31" s="1">
        <v>1900</v>
      </c>
      <c r="E31" s="1">
        <v>15</v>
      </c>
      <c r="F31" s="1">
        <v>100</v>
      </c>
      <c r="G31" s="1">
        <v>1.5</v>
      </c>
      <c r="H31" s="1">
        <v>7</v>
      </c>
      <c r="I31" s="1">
        <v>30</v>
      </c>
      <c r="J31" s="1">
        <v>27</v>
      </c>
      <c r="K31" s="1">
        <v>855</v>
      </c>
    </row>
    <row r="32" spans="1:11" ht="27" x14ac:dyDescent="0.35">
      <c r="A32" s="4">
        <v>31</v>
      </c>
      <c r="B32" s="1" t="s">
        <v>38</v>
      </c>
      <c r="C32" s="2">
        <v>5</v>
      </c>
      <c r="D32" s="1">
        <v>1800</v>
      </c>
      <c r="E32" s="1">
        <v>9</v>
      </c>
      <c r="F32" s="1">
        <v>100</v>
      </c>
      <c r="G32" s="1">
        <v>0.9</v>
      </c>
      <c r="H32" s="1">
        <v>4</v>
      </c>
      <c r="I32" s="1">
        <v>18</v>
      </c>
      <c r="J32" s="1">
        <v>16</v>
      </c>
      <c r="K32" s="1">
        <v>850</v>
      </c>
    </row>
    <row r="33" spans="1:11" ht="27" x14ac:dyDescent="0.35">
      <c r="A33" s="4">
        <v>32</v>
      </c>
      <c r="B33" s="1" t="s">
        <v>37</v>
      </c>
      <c r="C33" s="2">
        <v>4.7222222222222223</v>
      </c>
      <c r="D33" s="1">
        <v>1700</v>
      </c>
      <c r="E33" s="1">
        <v>14</v>
      </c>
      <c r="F33" s="1">
        <v>100</v>
      </c>
      <c r="G33" s="1">
        <v>1.4</v>
      </c>
      <c r="H33" s="1">
        <v>6</v>
      </c>
      <c r="I33" s="1">
        <v>28</v>
      </c>
      <c r="J33" s="1">
        <v>25</v>
      </c>
      <c r="K33" s="1">
        <v>845</v>
      </c>
    </row>
    <row r="34" spans="1:11" ht="27" x14ac:dyDescent="0.35">
      <c r="A34" s="4">
        <v>33</v>
      </c>
      <c r="B34" s="1" t="s">
        <v>36</v>
      </c>
      <c r="C34" s="2">
        <v>4.4444444444444446</v>
      </c>
      <c r="D34" s="1">
        <v>1600</v>
      </c>
      <c r="E34" s="1">
        <v>10</v>
      </c>
      <c r="F34" s="1">
        <v>100</v>
      </c>
      <c r="G34" s="1">
        <v>1</v>
      </c>
      <c r="H34" s="1">
        <v>5</v>
      </c>
      <c r="I34" s="1">
        <v>20</v>
      </c>
      <c r="J34" s="1">
        <v>18</v>
      </c>
      <c r="K34" s="1">
        <v>840</v>
      </c>
    </row>
    <row r="35" spans="1:11" ht="27" x14ac:dyDescent="0.35">
      <c r="A35" s="4">
        <v>34</v>
      </c>
      <c r="B35" s="1" t="s">
        <v>35</v>
      </c>
      <c r="C35" s="2">
        <v>4.166666666666667</v>
      </c>
      <c r="D35" s="1">
        <v>1500</v>
      </c>
      <c r="E35" s="1">
        <v>8</v>
      </c>
      <c r="F35" s="1">
        <v>100</v>
      </c>
      <c r="G35" s="1">
        <v>0.8</v>
      </c>
      <c r="H35" s="1">
        <v>4</v>
      </c>
      <c r="I35" s="1">
        <v>16</v>
      </c>
      <c r="J35" s="1">
        <v>14</v>
      </c>
      <c r="K35" s="1">
        <v>835</v>
      </c>
    </row>
    <row r="36" spans="1:11" ht="27" x14ac:dyDescent="0.35">
      <c r="A36" s="4">
        <v>35</v>
      </c>
      <c r="B36" s="1" t="s">
        <v>34</v>
      </c>
      <c r="C36" s="2">
        <v>3.8888888888888888</v>
      </c>
      <c r="D36" s="1">
        <v>1400</v>
      </c>
      <c r="E36" s="1">
        <v>12</v>
      </c>
      <c r="F36" s="1">
        <v>100</v>
      </c>
      <c r="G36" s="1">
        <v>1.2</v>
      </c>
      <c r="H36" s="1">
        <v>6</v>
      </c>
      <c r="I36" s="1">
        <v>24</v>
      </c>
      <c r="J36" s="1">
        <v>22</v>
      </c>
      <c r="K36" s="1">
        <v>830</v>
      </c>
    </row>
    <row r="37" spans="1:11" ht="27" x14ac:dyDescent="0.35">
      <c r="A37" s="4">
        <v>36</v>
      </c>
      <c r="B37" s="1" t="s">
        <v>33</v>
      </c>
      <c r="C37" s="2">
        <v>3.6111111111111112</v>
      </c>
      <c r="D37" s="1">
        <v>1300</v>
      </c>
      <c r="E37" s="1">
        <v>15</v>
      </c>
      <c r="F37" s="1">
        <v>100</v>
      </c>
      <c r="G37" s="1">
        <v>1.5</v>
      </c>
      <c r="H37" s="1">
        <v>7</v>
      </c>
      <c r="I37" s="1">
        <v>30</v>
      </c>
      <c r="J37" s="1">
        <v>27</v>
      </c>
      <c r="K37" s="1">
        <v>825</v>
      </c>
    </row>
    <row r="38" spans="1:11" ht="27" x14ac:dyDescent="0.35">
      <c r="A38" s="4">
        <v>37</v>
      </c>
      <c r="B38" s="1" t="s">
        <v>32</v>
      </c>
      <c r="C38" s="2">
        <v>3.3333333333333335</v>
      </c>
      <c r="D38" s="1">
        <v>1200</v>
      </c>
      <c r="E38" s="1">
        <v>10</v>
      </c>
      <c r="F38" s="1">
        <v>100</v>
      </c>
      <c r="G38" s="1">
        <v>1</v>
      </c>
      <c r="H38" s="1">
        <v>5</v>
      </c>
      <c r="I38" s="1">
        <v>20</v>
      </c>
      <c r="J38" s="1">
        <v>18</v>
      </c>
      <c r="K38" s="1">
        <v>820</v>
      </c>
    </row>
    <row r="39" spans="1:11" ht="27" x14ac:dyDescent="0.35">
      <c r="A39" s="4">
        <v>38</v>
      </c>
      <c r="B39" s="1" t="s">
        <v>31</v>
      </c>
      <c r="C39" s="2">
        <v>3.0555555555555554</v>
      </c>
      <c r="D39" s="1">
        <v>1100</v>
      </c>
      <c r="E39" s="1">
        <v>11</v>
      </c>
      <c r="F39" s="1">
        <v>100</v>
      </c>
      <c r="G39" s="1">
        <v>1.1000000000000001</v>
      </c>
      <c r="H39" s="1">
        <v>6</v>
      </c>
      <c r="I39" s="1">
        <v>22</v>
      </c>
      <c r="J39" s="1">
        <v>20</v>
      </c>
      <c r="K39" s="1">
        <v>815</v>
      </c>
    </row>
    <row r="40" spans="1:11" ht="27" x14ac:dyDescent="0.35">
      <c r="A40" s="4">
        <v>39</v>
      </c>
      <c r="B40" s="1" t="s">
        <v>30</v>
      </c>
      <c r="C40" s="2">
        <v>2.7777777777777777</v>
      </c>
      <c r="D40" s="1">
        <v>1000</v>
      </c>
      <c r="E40" s="1">
        <v>9</v>
      </c>
      <c r="F40" s="1">
        <v>100</v>
      </c>
      <c r="G40" s="1">
        <v>0.9</v>
      </c>
      <c r="H40" s="1">
        <v>4</v>
      </c>
      <c r="I40" s="1">
        <v>18</v>
      </c>
      <c r="J40" s="1">
        <v>16</v>
      </c>
      <c r="K40" s="1">
        <v>810</v>
      </c>
    </row>
    <row r="41" spans="1:11" ht="27" x14ac:dyDescent="0.35">
      <c r="A41" s="4">
        <v>40</v>
      </c>
      <c r="B41" s="1" t="s">
        <v>29</v>
      </c>
      <c r="C41" s="2">
        <v>2.6388888888888888</v>
      </c>
      <c r="D41" s="1">
        <v>950</v>
      </c>
      <c r="E41" s="1">
        <v>14</v>
      </c>
      <c r="F41" s="1">
        <v>100</v>
      </c>
      <c r="G41" s="1">
        <v>1.4</v>
      </c>
      <c r="H41" s="1">
        <v>6</v>
      </c>
      <c r="I41" s="1">
        <v>28</v>
      </c>
      <c r="J41" s="1">
        <v>25</v>
      </c>
      <c r="K41" s="1">
        <v>805</v>
      </c>
    </row>
    <row r="42" spans="1:11" ht="27" x14ac:dyDescent="0.35">
      <c r="A42" s="4">
        <v>41</v>
      </c>
      <c r="B42" s="1" t="s">
        <v>28</v>
      </c>
      <c r="C42" s="2">
        <v>2.5</v>
      </c>
      <c r="D42" s="1">
        <v>900</v>
      </c>
      <c r="E42" s="1">
        <v>10</v>
      </c>
      <c r="F42" s="1">
        <v>100</v>
      </c>
      <c r="G42" s="1">
        <v>1</v>
      </c>
      <c r="H42" s="1">
        <v>5</v>
      </c>
      <c r="I42" s="1">
        <v>20</v>
      </c>
      <c r="J42" s="1">
        <v>18</v>
      </c>
      <c r="K42" s="1">
        <v>800</v>
      </c>
    </row>
    <row r="43" spans="1:11" ht="27" x14ac:dyDescent="0.35">
      <c r="A43" s="4">
        <v>42</v>
      </c>
      <c r="B43" s="1" t="s">
        <v>27</v>
      </c>
      <c r="C43" s="2">
        <v>2.3611111111111112</v>
      </c>
      <c r="D43" s="1">
        <v>850</v>
      </c>
      <c r="E43" s="1">
        <v>8</v>
      </c>
      <c r="F43" s="1">
        <v>100</v>
      </c>
      <c r="G43" s="1">
        <v>0.8</v>
      </c>
      <c r="H43" s="1">
        <v>4</v>
      </c>
      <c r="I43" s="1">
        <v>16</v>
      </c>
      <c r="J43" s="1">
        <v>14</v>
      </c>
      <c r="K43" s="1">
        <v>795</v>
      </c>
    </row>
    <row r="44" spans="1:11" ht="27" x14ac:dyDescent="0.35">
      <c r="A44" s="4">
        <v>43</v>
      </c>
      <c r="B44" s="1" t="s">
        <v>26</v>
      </c>
      <c r="C44" s="2">
        <v>2.2222222222222223</v>
      </c>
      <c r="D44" s="1">
        <v>800</v>
      </c>
      <c r="E44" s="1">
        <v>13</v>
      </c>
      <c r="F44" s="1">
        <v>100</v>
      </c>
      <c r="G44" s="1">
        <v>1.3</v>
      </c>
      <c r="H44" s="1">
        <v>6</v>
      </c>
      <c r="I44" s="1">
        <v>26</v>
      </c>
      <c r="J44" s="1">
        <v>23</v>
      </c>
      <c r="K44" s="1">
        <v>790</v>
      </c>
    </row>
    <row r="45" spans="1:11" ht="27" x14ac:dyDescent="0.35">
      <c r="A45" s="4">
        <v>44</v>
      </c>
      <c r="B45" s="1" t="s">
        <v>25</v>
      </c>
      <c r="C45" s="2">
        <v>2.0833333333333335</v>
      </c>
      <c r="D45" s="1">
        <v>750</v>
      </c>
      <c r="E45" s="1">
        <v>12</v>
      </c>
      <c r="F45" s="1">
        <v>100</v>
      </c>
      <c r="G45" s="1">
        <v>1.2</v>
      </c>
      <c r="H45" s="1">
        <v>5</v>
      </c>
      <c r="I45" s="1">
        <v>24</v>
      </c>
      <c r="J45" s="1">
        <v>22</v>
      </c>
      <c r="K45" s="1">
        <v>785</v>
      </c>
    </row>
    <row r="46" spans="1:11" ht="27" x14ac:dyDescent="0.35">
      <c r="A46" s="4">
        <v>45</v>
      </c>
      <c r="B46" s="1" t="s">
        <v>24</v>
      </c>
      <c r="C46" s="2">
        <v>1.9444444444444444</v>
      </c>
      <c r="D46" s="1">
        <v>700</v>
      </c>
      <c r="E46" s="1">
        <v>11</v>
      </c>
      <c r="F46" s="1">
        <v>100</v>
      </c>
      <c r="G46" s="1">
        <v>1.1000000000000001</v>
      </c>
      <c r="H46" s="1">
        <v>6</v>
      </c>
      <c r="I46" s="1">
        <v>22</v>
      </c>
      <c r="J46" s="1">
        <v>20</v>
      </c>
      <c r="K46" s="1">
        <v>780</v>
      </c>
    </row>
    <row r="47" spans="1:11" ht="27" x14ac:dyDescent="0.35">
      <c r="A47" s="4">
        <v>46</v>
      </c>
      <c r="B47" s="1" t="s">
        <v>23</v>
      </c>
      <c r="C47" s="2">
        <v>1.8055555555555556</v>
      </c>
      <c r="D47" s="1">
        <v>650</v>
      </c>
      <c r="E47" s="1">
        <v>15</v>
      </c>
      <c r="F47" s="1">
        <v>100</v>
      </c>
      <c r="G47" s="1">
        <v>1.5</v>
      </c>
      <c r="H47" s="1">
        <v>7</v>
      </c>
      <c r="I47" s="1">
        <v>30</v>
      </c>
      <c r="J47" s="1">
        <v>27</v>
      </c>
      <c r="K47" s="1">
        <v>775</v>
      </c>
    </row>
    <row r="48" spans="1:11" ht="27" x14ac:dyDescent="0.35">
      <c r="A48" s="4">
        <v>47</v>
      </c>
      <c r="B48" s="1" t="s">
        <v>22</v>
      </c>
      <c r="C48" s="2">
        <v>1.6666666666666667</v>
      </c>
      <c r="D48" s="1">
        <v>600</v>
      </c>
      <c r="E48" s="1">
        <v>9</v>
      </c>
      <c r="F48" s="1">
        <v>100</v>
      </c>
      <c r="G48" s="1">
        <v>0.9</v>
      </c>
      <c r="H48" s="1">
        <v>4</v>
      </c>
      <c r="I48" s="1">
        <v>18</v>
      </c>
      <c r="J48" s="1">
        <v>16</v>
      </c>
      <c r="K48" s="1">
        <v>770</v>
      </c>
    </row>
    <row r="49" spans="1:11" ht="27" x14ac:dyDescent="0.35">
      <c r="A49" s="4">
        <v>48</v>
      </c>
      <c r="B49" s="1" t="s">
        <v>21</v>
      </c>
      <c r="C49" s="2">
        <v>1.5277777777777777</v>
      </c>
      <c r="D49" s="1">
        <v>550</v>
      </c>
      <c r="E49" s="1">
        <v>14</v>
      </c>
      <c r="F49" s="1">
        <v>100</v>
      </c>
      <c r="G49" s="1">
        <v>1.4</v>
      </c>
      <c r="H49" s="1">
        <v>6</v>
      </c>
      <c r="I49" s="1">
        <v>28</v>
      </c>
      <c r="J49" s="1">
        <v>25</v>
      </c>
      <c r="K49" s="1">
        <v>765</v>
      </c>
    </row>
    <row r="50" spans="1:11" ht="27" x14ac:dyDescent="0.35">
      <c r="A50" s="4">
        <v>49</v>
      </c>
      <c r="B50" s="1" t="s">
        <v>20</v>
      </c>
      <c r="C50" s="2">
        <v>1.3888888888888888</v>
      </c>
      <c r="D50" s="1">
        <v>500</v>
      </c>
      <c r="E50" s="1">
        <v>10</v>
      </c>
      <c r="F50" s="1">
        <v>100</v>
      </c>
      <c r="G50" s="1">
        <v>1</v>
      </c>
      <c r="H50" s="1">
        <v>5</v>
      </c>
      <c r="I50" s="1">
        <v>20</v>
      </c>
      <c r="J50" s="1">
        <v>18</v>
      </c>
      <c r="K50" s="1">
        <v>760</v>
      </c>
    </row>
    <row r="51" spans="1:11" ht="27" x14ac:dyDescent="0.35">
      <c r="A51" s="4">
        <v>50</v>
      </c>
      <c r="B51" s="1" t="s">
        <v>19</v>
      </c>
      <c r="C51" s="2">
        <v>1.25</v>
      </c>
      <c r="D51" s="1">
        <v>450</v>
      </c>
      <c r="E51" s="1">
        <v>8</v>
      </c>
      <c r="F51" s="1">
        <v>100</v>
      </c>
      <c r="G51" s="1">
        <v>0.8</v>
      </c>
      <c r="H51" s="1">
        <v>4</v>
      </c>
      <c r="I51" s="1">
        <v>16</v>
      </c>
      <c r="J51" s="1">
        <v>14</v>
      </c>
      <c r="K51" s="1">
        <v>755</v>
      </c>
    </row>
    <row r="52" spans="1:11" ht="27" x14ac:dyDescent="0.35">
      <c r="A52" s="4">
        <v>51</v>
      </c>
      <c r="B52" s="1" t="s">
        <v>18</v>
      </c>
      <c r="C52" s="2">
        <v>1.1111111111111112</v>
      </c>
      <c r="D52" s="1">
        <v>400</v>
      </c>
      <c r="E52" s="1">
        <v>12</v>
      </c>
      <c r="F52" s="1">
        <v>100</v>
      </c>
      <c r="G52" s="1">
        <v>1.2</v>
      </c>
      <c r="H52" s="1">
        <v>6</v>
      </c>
      <c r="I52" s="1">
        <v>24</v>
      </c>
      <c r="J52" s="1">
        <v>22</v>
      </c>
      <c r="K52" s="1">
        <v>750</v>
      </c>
    </row>
    <row r="53" spans="1:11" ht="27" x14ac:dyDescent="0.35">
      <c r="A53" s="4">
        <v>52</v>
      </c>
      <c r="B53" s="1" t="s">
        <v>17</v>
      </c>
      <c r="C53" s="2">
        <v>0.97222222222222221</v>
      </c>
      <c r="D53" s="1">
        <v>350</v>
      </c>
      <c r="E53" s="1">
        <v>15</v>
      </c>
      <c r="F53" s="1">
        <v>100</v>
      </c>
      <c r="G53" s="1">
        <v>1.5</v>
      </c>
      <c r="H53" s="1">
        <v>7</v>
      </c>
      <c r="I53" s="1">
        <v>30</v>
      </c>
      <c r="J53" s="1">
        <v>27</v>
      </c>
      <c r="K53" s="1">
        <v>745</v>
      </c>
    </row>
    <row r="54" spans="1:11" ht="27" x14ac:dyDescent="0.35">
      <c r="A54" s="4">
        <v>53</v>
      </c>
      <c r="B54" s="1" t="s">
        <v>16</v>
      </c>
      <c r="C54" s="2">
        <v>0.83333333333333337</v>
      </c>
      <c r="D54" s="1">
        <v>300</v>
      </c>
      <c r="E54" s="1">
        <v>10</v>
      </c>
      <c r="F54" s="1">
        <v>100</v>
      </c>
      <c r="G54" s="1">
        <v>1</v>
      </c>
      <c r="H54" s="1">
        <v>5</v>
      </c>
      <c r="I54" s="1">
        <v>20</v>
      </c>
      <c r="J54" s="1">
        <v>18</v>
      </c>
      <c r="K54" s="1">
        <v>740</v>
      </c>
    </row>
    <row r="55" spans="1:11" ht="27" x14ac:dyDescent="0.35">
      <c r="A55" s="4">
        <v>54</v>
      </c>
      <c r="B55" s="1" t="s">
        <v>15</v>
      </c>
      <c r="C55" s="2">
        <v>0.77777777777777779</v>
      </c>
      <c r="D55" s="1">
        <v>280</v>
      </c>
      <c r="E55" s="1">
        <v>11</v>
      </c>
      <c r="F55" s="1">
        <v>100</v>
      </c>
      <c r="G55" s="1">
        <v>1.1000000000000001</v>
      </c>
      <c r="H55" s="1">
        <v>6</v>
      </c>
      <c r="I55" s="1">
        <v>22</v>
      </c>
      <c r="J55" s="1">
        <v>20</v>
      </c>
      <c r="K55" s="1">
        <v>735</v>
      </c>
    </row>
    <row r="56" spans="1:11" ht="27" x14ac:dyDescent="0.35">
      <c r="A56" s="4">
        <v>55</v>
      </c>
      <c r="B56" s="1" t="s">
        <v>14</v>
      </c>
      <c r="C56" s="2">
        <v>0.72222222222222221</v>
      </c>
      <c r="D56" s="1">
        <v>260</v>
      </c>
      <c r="E56" s="1">
        <v>9</v>
      </c>
      <c r="F56" s="1">
        <v>100</v>
      </c>
      <c r="G56" s="1">
        <v>0.9</v>
      </c>
      <c r="H56" s="1">
        <v>4</v>
      </c>
      <c r="I56" s="1">
        <v>18</v>
      </c>
      <c r="J56" s="1">
        <v>16</v>
      </c>
      <c r="K56" s="1">
        <v>730</v>
      </c>
    </row>
    <row r="57" spans="1:11" ht="27" x14ac:dyDescent="0.35">
      <c r="A57" s="4">
        <v>56</v>
      </c>
      <c r="B57" s="1" t="s">
        <v>13</v>
      </c>
      <c r="C57" s="2">
        <v>0.66666666666666663</v>
      </c>
      <c r="D57" s="1">
        <v>240</v>
      </c>
      <c r="E57" s="1">
        <v>14</v>
      </c>
      <c r="F57" s="1">
        <v>100</v>
      </c>
      <c r="G57" s="1">
        <v>1.4</v>
      </c>
      <c r="H57" s="1">
        <v>6</v>
      </c>
      <c r="I57" s="1">
        <v>28</v>
      </c>
      <c r="J57" s="1">
        <v>25</v>
      </c>
      <c r="K57" s="1">
        <v>725</v>
      </c>
    </row>
    <row r="58" spans="1:11" ht="27" x14ac:dyDescent="0.35">
      <c r="A58" s="4">
        <v>57</v>
      </c>
      <c r="B58" s="1" t="s">
        <v>12</v>
      </c>
      <c r="C58" s="2">
        <v>0.61111111111111116</v>
      </c>
      <c r="D58" s="1">
        <v>220</v>
      </c>
      <c r="E58" s="1">
        <v>10</v>
      </c>
      <c r="F58" s="1">
        <v>100</v>
      </c>
      <c r="G58" s="1">
        <v>1</v>
      </c>
      <c r="H58" s="1">
        <v>5</v>
      </c>
      <c r="I58" s="1">
        <v>20</v>
      </c>
      <c r="J58" s="1">
        <v>18</v>
      </c>
      <c r="K58" s="1">
        <v>720</v>
      </c>
    </row>
    <row r="59" spans="1:11" ht="27" x14ac:dyDescent="0.35">
      <c r="A59" s="4">
        <v>58</v>
      </c>
      <c r="B59" s="1" t="s">
        <v>11</v>
      </c>
      <c r="C59" s="2">
        <v>0.55555555555555558</v>
      </c>
      <c r="D59" s="1">
        <v>200</v>
      </c>
      <c r="E59" s="1">
        <v>8</v>
      </c>
      <c r="F59" s="1">
        <v>100</v>
      </c>
      <c r="G59" s="1">
        <v>0.8</v>
      </c>
      <c r="H59" s="1">
        <v>4</v>
      </c>
      <c r="I59" s="1">
        <v>16</v>
      </c>
      <c r="J59" s="1">
        <v>14</v>
      </c>
      <c r="K59" s="1">
        <v>715</v>
      </c>
    </row>
    <row r="60" spans="1:11" ht="27" x14ac:dyDescent="0.35">
      <c r="A60" s="4">
        <v>59</v>
      </c>
      <c r="B60" s="1" t="s">
        <v>10</v>
      </c>
      <c r="C60" s="2">
        <v>0.5</v>
      </c>
      <c r="D60" s="1">
        <v>180</v>
      </c>
      <c r="E60" s="1">
        <v>13</v>
      </c>
      <c r="F60" s="1">
        <v>100</v>
      </c>
      <c r="G60" s="1">
        <v>1.3</v>
      </c>
      <c r="H60" s="1">
        <v>6</v>
      </c>
      <c r="I60" s="1">
        <v>26</v>
      </c>
      <c r="J60" s="1">
        <v>23</v>
      </c>
      <c r="K60" s="1">
        <v>710</v>
      </c>
    </row>
    <row r="61" spans="1:11" ht="27" x14ac:dyDescent="0.35">
      <c r="A61" s="4">
        <v>60</v>
      </c>
      <c r="B61" s="1" t="s">
        <v>9</v>
      </c>
      <c r="C61" s="2">
        <v>0.44444444444444442</v>
      </c>
      <c r="D61" s="1">
        <v>160</v>
      </c>
      <c r="E61" s="1">
        <v>12</v>
      </c>
      <c r="F61" s="1">
        <v>100</v>
      </c>
      <c r="G61" s="1">
        <v>1.2</v>
      </c>
      <c r="H61" s="1">
        <v>5</v>
      </c>
      <c r="I61" s="1">
        <v>24</v>
      </c>
      <c r="J61" s="1">
        <v>22</v>
      </c>
      <c r="K61" s="1">
        <v>705</v>
      </c>
    </row>
    <row r="62" spans="1:11" x14ac:dyDescent="0.35">
      <c r="A62" s="4">
        <v>61</v>
      </c>
      <c r="B62" s="1" t="s">
        <v>8</v>
      </c>
      <c r="C62" s="2">
        <v>0.3888888888888889</v>
      </c>
      <c r="D62" s="1">
        <v>140</v>
      </c>
      <c r="E62" s="1">
        <v>11</v>
      </c>
      <c r="F62" s="1">
        <v>100</v>
      </c>
      <c r="G62" s="1">
        <v>1.1000000000000001</v>
      </c>
      <c r="H62" s="1">
        <v>6</v>
      </c>
      <c r="I62" s="1">
        <v>22</v>
      </c>
      <c r="J62" s="1">
        <v>20</v>
      </c>
      <c r="K62" s="1">
        <v>700</v>
      </c>
    </row>
    <row r="63" spans="1:11" ht="27" x14ac:dyDescent="0.35">
      <c r="A63" s="4">
        <v>62</v>
      </c>
      <c r="B63" s="1" t="s">
        <v>7</v>
      </c>
      <c r="C63" s="2">
        <v>0.33333333333333331</v>
      </c>
      <c r="D63" s="1">
        <v>120</v>
      </c>
      <c r="E63" s="1">
        <v>15</v>
      </c>
      <c r="F63" s="1">
        <v>100</v>
      </c>
      <c r="G63" s="1">
        <v>1.5</v>
      </c>
      <c r="H63" s="1">
        <v>7</v>
      </c>
      <c r="I63" s="1">
        <v>30</v>
      </c>
      <c r="J63" s="1">
        <v>27</v>
      </c>
      <c r="K63" s="1">
        <v>695</v>
      </c>
    </row>
    <row r="64" spans="1:11" ht="27" x14ac:dyDescent="0.35">
      <c r="A64" s="4">
        <v>63</v>
      </c>
      <c r="B64" s="1" t="s">
        <v>6</v>
      </c>
      <c r="C64" s="2">
        <v>0.27777777777777779</v>
      </c>
      <c r="D64" s="1">
        <v>100</v>
      </c>
      <c r="E64" s="1">
        <v>9</v>
      </c>
      <c r="F64" s="1">
        <v>100</v>
      </c>
      <c r="G64" s="1">
        <v>0.9</v>
      </c>
      <c r="H64" s="1">
        <v>4</v>
      </c>
      <c r="I64" s="1">
        <v>18</v>
      </c>
      <c r="J64" s="1">
        <v>16</v>
      </c>
      <c r="K64" s="1">
        <v>690</v>
      </c>
    </row>
    <row r="65" spans="1:11" ht="27" x14ac:dyDescent="0.35">
      <c r="A65" s="4">
        <v>64</v>
      </c>
      <c r="B65" s="1" t="s">
        <v>5</v>
      </c>
      <c r="C65" s="2">
        <v>0.25</v>
      </c>
      <c r="D65" s="1">
        <v>90</v>
      </c>
      <c r="E65" s="1">
        <v>14</v>
      </c>
      <c r="F65" s="1">
        <v>100</v>
      </c>
      <c r="G65" s="1">
        <v>1.4</v>
      </c>
      <c r="H65" s="1">
        <v>6</v>
      </c>
      <c r="I65" s="1">
        <v>28</v>
      </c>
      <c r="J65" s="1">
        <v>25</v>
      </c>
      <c r="K65" s="1">
        <v>685</v>
      </c>
    </row>
    <row r="66" spans="1:11" ht="27" x14ac:dyDescent="0.35">
      <c r="A66" s="4">
        <v>65</v>
      </c>
      <c r="B66" s="1" t="s">
        <v>4</v>
      </c>
      <c r="C66" s="2">
        <v>0.22222222222222221</v>
      </c>
      <c r="D66" s="1">
        <v>80</v>
      </c>
      <c r="E66" s="1">
        <v>10</v>
      </c>
      <c r="F66" s="1">
        <v>100</v>
      </c>
      <c r="G66" s="1">
        <v>1</v>
      </c>
      <c r="H66" s="1">
        <v>5</v>
      </c>
      <c r="I66" s="1">
        <v>20</v>
      </c>
      <c r="J66" s="1">
        <v>18</v>
      </c>
      <c r="K66" s="1">
        <v>680</v>
      </c>
    </row>
    <row r="67" spans="1:11" ht="27" x14ac:dyDescent="0.35">
      <c r="A67" s="4">
        <v>66</v>
      </c>
      <c r="B67" s="1" t="s">
        <v>3</v>
      </c>
      <c r="C67" s="2">
        <v>0.19444444444444445</v>
      </c>
      <c r="D67" s="1">
        <v>70</v>
      </c>
      <c r="E67" s="1">
        <v>8</v>
      </c>
      <c r="F67" s="1">
        <v>100</v>
      </c>
      <c r="G67" s="1">
        <v>0.8</v>
      </c>
      <c r="H67" s="1">
        <v>4</v>
      </c>
      <c r="I67" s="1">
        <v>16</v>
      </c>
      <c r="J67" s="1">
        <v>14</v>
      </c>
      <c r="K67" s="1">
        <v>675</v>
      </c>
    </row>
    <row r="68" spans="1:11" ht="27" x14ac:dyDescent="0.35">
      <c r="A68" s="4">
        <v>67</v>
      </c>
      <c r="B68" s="1" t="s">
        <v>2</v>
      </c>
      <c r="C68" s="2">
        <v>0.16666666666666666</v>
      </c>
      <c r="D68" s="1">
        <v>60</v>
      </c>
      <c r="E68" s="1">
        <v>13</v>
      </c>
      <c r="F68" s="1">
        <v>100</v>
      </c>
      <c r="G68" s="1">
        <v>1.3</v>
      </c>
      <c r="H68" s="1">
        <v>6</v>
      </c>
      <c r="I68" s="1">
        <v>26</v>
      </c>
      <c r="J68" s="1">
        <v>23</v>
      </c>
      <c r="K68" s="1">
        <v>670</v>
      </c>
    </row>
    <row r="69" spans="1:11" ht="27" x14ac:dyDescent="0.35">
      <c r="A69" s="3">
        <v>68</v>
      </c>
      <c r="B69" s="1" t="s">
        <v>1</v>
      </c>
      <c r="C69" s="2">
        <v>0.1388888888888889</v>
      </c>
      <c r="D69" s="1">
        <v>50</v>
      </c>
      <c r="E69" s="1">
        <v>12</v>
      </c>
      <c r="F69" s="1">
        <v>100</v>
      </c>
      <c r="G69" s="1">
        <v>1.2</v>
      </c>
      <c r="H69" s="1">
        <v>5</v>
      </c>
      <c r="I69" s="1">
        <v>24</v>
      </c>
      <c r="J69" s="1">
        <v>22</v>
      </c>
      <c r="K69" s="1">
        <v>665</v>
      </c>
    </row>
    <row r="70" spans="1:11" ht="27" x14ac:dyDescent="0.35">
      <c r="A70" s="3">
        <v>69</v>
      </c>
      <c r="B70" s="1" t="s">
        <v>0</v>
      </c>
      <c r="C70" s="2">
        <v>0.125</v>
      </c>
      <c r="D70" s="1">
        <v>45</v>
      </c>
      <c r="E70" s="1">
        <v>11</v>
      </c>
      <c r="F70" s="1">
        <v>100</v>
      </c>
      <c r="G70" s="1">
        <v>1.1000000000000001</v>
      </c>
      <c r="H70" s="1">
        <v>6</v>
      </c>
      <c r="I70" s="1">
        <v>22</v>
      </c>
      <c r="J70" s="1">
        <v>20</v>
      </c>
      <c r="K70" s="1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70C7-9A47-4C31-A6DC-7463327E4869}">
  <dimension ref="A1:O70"/>
  <sheetViews>
    <sheetView tabSelected="1" workbookViewId="0">
      <selection activeCell="N15" sqref="N15"/>
    </sheetView>
  </sheetViews>
  <sheetFormatPr defaultRowHeight="14.5" x14ac:dyDescent="0.35"/>
  <cols>
    <col min="8" max="8" width="9" bestFit="1" customWidth="1"/>
    <col min="9" max="9" width="9.36328125" bestFit="1" customWidth="1"/>
    <col min="10" max="10" width="12.36328125" bestFit="1" customWidth="1"/>
    <col min="15" max="15" width="11.81640625" bestFit="1" customWidth="1"/>
  </cols>
  <sheetData>
    <row r="1" spans="1:15" ht="66" x14ac:dyDescent="0.35">
      <c r="A1" s="5" t="s">
        <v>79</v>
      </c>
      <c r="B1" s="5" t="s">
        <v>91</v>
      </c>
      <c r="C1" s="5" t="s">
        <v>90</v>
      </c>
      <c r="D1" s="5" t="s">
        <v>89</v>
      </c>
      <c r="E1" s="5" t="s">
        <v>88</v>
      </c>
      <c r="F1" s="5" t="s">
        <v>87</v>
      </c>
      <c r="G1" s="5" t="s">
        <v>86</v>
      </c>
      <c r="H1" s="5" t="s">
        <v>85</v>
      </c>
      <c r="I1" s="5" t="s">
        <v>84</v>
      </c>
      <c r="J1" s="5" t="s">
        <v>83</v>
      </c>
      <c r="K1" s="5" t="s">
        <v>82</v>
      </c>
      <c r="L1" s="5" t="s">
        <v>81</v>
      </c>
      <c r="M1" s="5" t="s">
        <v>80</v>
      </c>
      <c r="O1" s="15" t="s">
        <v>106</v>
      </c>
    </row>
    <row r="2" spans="1:15" x14ac:dyDescent="0.35">
      <c r="A2" s="4">
        <v>1</v>
      </c>
      <c r="B2" s="7" cm="1">
        <f t="array" ref="B2:B70">SQRT((2*Daily_Demand*Order_Cost)/Holding_Cost_per_Unit_per_Year)</f>
        <v>612.37243569579448</v>
      </c>
      <c r="C2" s="7">
        <f>VLOOKUP(A2,Data!$A$2:$K$70,11,0)</f>
        <v>1000</v>
      </c>
      <c r="D2" s="7" cm="1">
        <f t="array" ref="D2:D70">Order_Cost*Daily_Demand/EOQ</f>
        <v>6.123724356957946</v>
      </c>
      <c r="E2" s="7" cm="1">
        <f t="array" ref="E2:E70">EOQ*Holding_Cost_per_Unit_per_Year/2</f>
        <v>6.1237243569579451</v>
      </c>
      <c r="F2" s="7" cm="1">
        <f t="array" ref="F2:F70">Sales_Price_per_Unit*Daily_Demand+Setup_Cost+Holding_Cost</f>
        <v>574.7474487139159</v>
      </c>
      <c r="G2" s="7">
        <v>1</v>
      </c>
      <c r="H2" s="7" cm="1">
        <f t="array" ref="H2:H70">(2*(Discounted_Price*Daily_Demand-TCU_y_m)/Holding_Cost_per_Unit_per_Year)</f>
        <v>-10599.744871391589</v>
      </c>
      <c r="I2" s="7" cm="1">
        <f t="array" ref="I2:I70">(2*Order_Cost*Daily_Demand/Holding_Cost_per_Unit_per_Year)</f>
        <v>375000</v>
      </c>
      <c r="J2" s="7" cm="1">
        <f t="array" ref="J2:J70">b^2-4*a*c_</f>
        <v>110854591.33859229</v>
      </c>
      <c r="K2" s="7" cm="1">
        <f t="array" ref="K2:K70">(-b+SQRT(dis))/(2*a)</f>
        <v>10564.247786546841</v>
      </c>
      <c r="L2" s="6" t="str" cm="1">
        <f t="array" ref="L2:L70">IF(Size_Limit&lt;=EOQ,"Zone1",IF(Size_Limit&lt;=Q,"Zone2","Zone3"))</f>
        <v>Zone2</v>
      </c>
      <c r="M2" s="6" cm="1">
        <f t="array" ref="M2:M70">IF(L2="Zone1",Sales_Price_per_Unit,IF(L2="Zone2",Discounted_Price,Sales_Price_per_Unit))</f>
        <v>2.5</v>
      </c>
      <c r="O2">
        <f>SUM(TCU_y_m)</f>
        <v>12192.75042452828</v>
      </c>
    </row>
    <row r="3" spans="1:15" x14ac:dyDescent="0.35">
      <c r="A3" s="4">
        <v>2</v>
      </c>
      <c r="B3" s="7">
        <v>37.416573867739416</v>
      </c>
      <c r="C3" s="7">
        <f>VLOOKUP(A3,Data!$A$2:$K$70,11,0)</f>
        <v>995</v>
      </c>
      <c r="D3" s="7">
        <v>93.541434669348533</v>
      </c>
      <c r="E3" s="7">
        <v>93.541434669348547</v>
      </c>
      <c r="F3" s="7">
        <v>2427.0828693386975</v>
      </c>
      <c r="G3" s="7">
        <v>1</v>
      </c>
      <c r="H3" s="7">
        <v>-186.833147735479</v>
      </c>
      <c r="I3" s="7">
        <v>1400</v>
      </c>
      <c r="J3" s="7">
        <v>29306.625092747323</v>
      </c>
      <c r="K3" s="7">
        <v>179.0124632152241</v>
      </c>
      <c r="L3" s="6" t="str">
        <v>Zone3</v>
      </c>
      <c r="M3" s="6">
        <v>14</v>
      </c>
    </row>
    <row r="4" spans="1:15" x14ac:dyDescent="0.35">
      <c r="A4" s="4">
        <v>3</v>
      </c>
      <c r="B4" s="7">
        <v>46.147910349544865</v>
      </c>
      <c r="C4" s="7">
        <f>VLOOKUP(A4,Data!$A$2:$K$70,11,0)</f>
        <v>990</v>
      </c>
      <c r="D4" s="7">
        <v>27.688746209726915</v>
      </c>
      <c r="E4" s="7">
        <v>27.688746209726919</v>
      </c>
      <c r="F4" s="7">
        <v>362.04415908612049</v>
      </c>
      <c r="G4" s="7">
        <v>1</v>
      </c>
      <c r="H4" s="7">
        <v>-134.88841329168224</v>
      </c>
      <c r="I4" s="7">
        <v>2129.62962962963</v>
      </c>
      <c r="J4" s="7">
        <v>9676.3655218291588</v>
      </c>
      <c r="K4" s="7">
        <v>116.62846612443133</v>
      </c>
      <c r="L4" s="6" t="str">
        <v>Zone3</v>
      </c>
      <c r="M4" s="6">
        <v>22</v>
      </c>
    </row>
    <row r="5" spans="1:15" x14ac:dyDescent="0.35">
      <c r="A5" s="4">
        <v>4</v>
      </c>
      <c r="B5" s="7">
        <v>40.824829046386306</v>
      </c>
      <c r="C5" s="7">
        <f>VLOOKUP(A5,Data!$A$2:$K$70,11,0)</f>
        <v>985</v>
      </c>
      <c r="D5" s="7">
        <v>30.618621784789724</v>
      </c>
      <c r="E5" s="7">
        <v>30.618621784789731</v>
      </c>
      <c r="F5" s="7">
        <v>436.2372435695795</v>
      </c>
      <c r="G5" s="7">
        <v>1</v>
      </c>
      <c r="H5" s="7">
        <v>-131.64965809277268</v>
      </c>
      <c r="I5" s="7">
        <v>1666.6666666666667</v>
      </c>
      <c r="J5" s="7">
        <v>10664.965809277281</v>
      </c>
      <c r="K5" s="7">
        <v>117.46048971146664</v>
      </c>
      <c r="L5" s="6" t="str">
        <v>Zone3</v>
      </c>
      <c r="M5" s="6">
        <v>27</v>
      </c>
    </row>
    <row r="6" spans="1:15" x14ac:dyDescent="0.35">
      <c r="A6" s="4">
        <v>5</v>
      </c>
      <c r="B6" s="7">
        <v>49.441323247304418</v>
      </c>
      <c r="C6" s="7">
        <f>VLOOKUP(A6,Data!$A$2:$K$70,11,0)</f>
        <v>980</v>
      </c>
      <c r="D6" s="7">
        <v>24.720661623652209</v>
      </c>
      <c r="E6" s="7">
        <v>24.720661623652209</v>
      </c>
      <c r="F6" s="7">
        <v>293.88576769174887</v>
      </c>
      <c r="G6" s="7">
        <v>1</v>
      </c>
      <c r="H6" s="7">
        <v>-147.77153538349773</v>
      </c>
      <c r="I6" s="7">
        <v>2444.4444444444443</v>
      </c>
      <c r="J6" s="7">
        <v>12058.648891818546</v>
      </c>
      <c r="K6" s="7">
        <v>128.79170747019759</v>
      </c>
      <c r="L6" s="6" t="str">
        <v>Zone3</v>
      </c>
      <c r="M6" s="6">
        <v>18</v>
      </c>
    </row>
    <row r="7" spans="1:15" x14ac:dyDescent="0.35">
      <c r="A7" s="4">
        <v>6</v>
      </c>
      <c r="B7" s="7">
        <v>46.601686361302114</v>
      </c>
      <c r="C7" s="7">
        <f>VLOOKUP(A7,Data!$A$2:$K$70,11,0)</f>
        <v>975</v>
      </c>
      <c r="D7" s="7">
        <v>25.630927498716169</v>
      </c>
      <c r="E7" s="7">
        <v>25.630927498716165</v>
      </c>
      <c r="F7" s="7">
        <v>314.03963277521012</v>
      </c>
      <c r="G7" s="7">
        <v>1</v>
      </c>
      <c r="H7" s="7">
        <v>-136.6377161569477</v>
      </c>
      <c r="I7" s="7">
        <v>2171.7171717171718</v>
      </c>
      <c r="J7" s="7">
        <v>9982.9967897179213</v>
      </c>
      <c r="K7" s="7">
        <v>118.27633196806799</v>
      </c>
      <c r="L7" s="6" t="str">
        <v>Zone3</v>
      </c>
      <c r="M7" s="6">
        <v>20</v>
      </c>
    </row>
    <row r="8" spans="1:15" x14ac:dyDescent="0.35">
      <c r="A8" s="4">
        <v>7</v>
      </c>
      <c r="B8" s="7">
        <v>50.917507721731553</v>
      </c>
      <c r="C8" s="7">
        <f>VLOOKUP(A8,Data!$A$2:$K$70,11,0)</f>
        <v>970</v>
      </c>
      <c r="D8" s="7">
        <v>22.912878474779198</v>
      </c>
      <c r="E8" s="7">
        <v>22.912878474779198</v>
      </c>
      <c r="F8" s="7">
        <v>255.82575694955841</v>
      </c>
      <c r="G8" s="7">
        <v>1</v>
      </c>
      <c r="H8" s="7">
        <v>-153.68686729531501</v>
      </c>
      <c r="I8" s="7">
        <v>2592.5925925925922</v>
      </c>
      <c r="J8" s="7">
        <v>13249.282808677399</v>
      </c>
      <c r="K8" s="7">
        <v>134.39619815266934</v>
      </c>
      <c r="L8" s="6" t="str">
        <v>Zone3</v>
      </c>
      <c r="M8" s="6">
        <v>16</v>
      </c>
    </row>
    <row r="9" spans="1:15" x14ac:dyDescent="0.35">
      <c r="A9" s="4">
        <v>8</v>
      </c>
      <c r="B9" s="7">
        <v>40.33589130023195</v>
      </c>
      <c r="C9" s="7">
        <f>VLOOKUP(A9,Data!$A$2:$K$70,11,0)</f>
        <v>965</v>
      </c>
      <c r="D9" s="7">
        <v>28.235123910162358</v>
      </c>
      <c r="E9" s="7">
        <v>28.235123910162361</v>
      </c>
      <c r="F9" s="7">
        <v>375.35913670921366</v>
      </c>
      <c r="G9" s="7">
        <v>1</v>
      </c>
      <c r="H9" s="7">
        <v>-129.48130640998775</v>
      </c>
      <c r="I9" s="7">
        <v>1626.9841269841272</v>
      </c>
      <c r="J9" s="7">
        <v>10257.472201700628</v>
      </c>
      <c r="K9" s="7">
        <v>115.3802429587148</v>
      </c>
      <c r="L9" s="6" t="str">
        <v>Zone3</v>
      </c>
      <c r="M9" s="6">
        <v>25</v>
      </c>
    </row>
    <row r="10" spans="1:15" x14ac:dyDescent="0.35">
      <c r="A10" s="4">
        <v>9</v>
      </c>
      <c r="B10" s="7">
        <v>47.14045207910317</v>
      </c>
      <c r="C10" s="7">
        <f>VLOOKUP(A10,Data!$A$2:$K$70,11,0)</f>
        <v>960</v>
      </c>
      <c r="D10" s="7">
        <v>23.570226039551581</v>
      </c>
      <c r="E10" s="7">
        <v>23.570226039551585</v>
      </c>
      <c r="F10" s="7">
        <v>269.3626743013254</v>
      </c>
      <c r="G10" s="7">
        <v>1</v>
      </c>
      <c r="H10" s="7">
        <v>-138.7253486026508</v>
      </c>
      <c r="I10" s="7">
        <v>2222.2222222222222</v>
      </c>
      <c r="J10" s="7">
        <v>10355.833456038099</v>
      </c>
      <c r="K10" s="7">
        <v>120.24448209163023</v>
      </c>
      <c r="L10" s="6" t="str">
        <v>Zone3</v>
      </c>
      <c r="M10" s="6">
        <v>18</v>
      </c>
    </row>
    <row r="11" spans="1:15" x14ac:dyDescent="0.35">
      <c r="A11" s="4">
        <v>10</v>
      </c>
      <c r="B11" s="7">
        <v>52.041649986653319</v>
      </c>
      <c r="C11" s="7">
        <f>VLOOKUP(A11,Data!$A$2:$K$70,11,0)</f>
        <v>955</v>
      </c>
      <c r="D11" s="7">
        <v>20.816659994661329</v>
      </c>
      <c r="E11" s="7">
        <v>20.816659994661329</v>
      </c>
      <c r="F11" s="7">
        <v>214.96665332265601</v>
      </c>
      <c r="G11" s="7">
        <v>1</v>
      </c>
      <c r="H11" s="7">
        <v>-158.24996663997331</v>
      </c>
      <c r="I11" s="7">
        <v>2708.3333333333335</v>
      </c>
      <c r="J11" s="7">
        <v>14209.718608219331</v>
      </c>
      <c r="K11" s="7">
        <v>138.72724545872458</v>
      </c>
      <c r="L11" s="6" t="str">
        <v>Zone3</v>
      </c>
      <c r="M11" s="6">
        <v>14</v>
      </c>
    </row>
    <row r="12" spans="1:15" x14ac:dyDescent="0.35">
      <c r="A12" s="4">
        <v>11</v>
      </c>
      <c r="B12" s="7">
        <v>40.298034988465922</v>
      </c>
      <c r="C12" s="7">
        <f>VLOOKUP(A12,Data!$A$2:$K$70,11,0)</f>
        <v>950</v>
      </c>
      <c r="D12" s="7">
        <v>26.19372274250285</v>
      </c>
      <c r="E12" s="7">
        <v>26.19372274250285</v>
      </c>
      <c r="F12" s="7">
        <v>326.8318899294502</v>
      </c>
      <c r="G12" s="7">
        <v>1</v>
      </c>
      <c r="H12" s="7">
        <v>-129.31401869488064</v>
      </c>
      <c r="I12" s="7">
        <v>1623.9316239316238</v>
      </c>
      <c r="J12" s="7">
        <v>10226.388935293446</v>
      </c>
      <c r="K12" s="7">
        <v>115.21981419273507</v>
      </c>
      <c r="L12" s="6" t="str">
        <v>Zone3</v>
      </c>
      <c r="M12" s="6">
        <v>23</v>
      </c>
    </row>
    <row r="13" spans="1:15" x14ac:dyDescent="0.35">
      <c r="A13" s="4">
        <v>12</v>
      </c>
      <c r="B13" s="7">
        <v>41.38795673819817</v>
      </c>
      <c r="C13" s="7">
        <f>VLOOKUP(A13,Data!$A$2:$K$70,11,0)</f>
        <v>945</v>
      </c>
      <c r="D13" s="7">
        <v>24.832774042918899</v>
      </c>
      <c r="E13" s="7">
        <v>24.832774042918903</v>
      </c>
      <c r="F13" s="7">
        <v>296.33221475250451</v>
      </c>
      <c r="G13" s="7">
        <v>1</v>
      </c>
      <c r="H13" s="7">
        <v>-117.03517273565562</v>
      </c>
      <c r="I13" s="7">
        <v>1712.962962962963</v>
      </c>
      <c r="J13" s="7">
        <v>6845.3798054128965</v>
      </c>
      <c r="K13" s="7">
        <v>99.885991598791492</v>
      </c>
      <c r="L13" s="6" t="str">
        <v>Zone3</v>
      </c>
      <c r="M13" s="6">
        <v>22</v>
      </c>
    </row>
    <row r="14" spans="1:15" x14ac:dyDescent="0.35">
      <c r="A14" s="4">
        <v>13</v>
      </c>
      <c r="B14" s="7">
        <v>42.640143271122085</v>
      </c>
      <c r="C14" s="7">
        <f>VLOOKUP(A14,Data!$A$2:$K$70,11,0)</f>
        <v>940</v>
      </c>
      <c r="D14" s="7">
        <v>23.45207879911715</v>
      </c>
      <c r="E14" s="7">
        <v>23.45207879911715</v>
      </c>
      <c r="F14" s="7">
        <v>266.90415759823429</v>
      </c>
      <c r="G14" s="7">
        <v>1</v>
      </c>
      <c r="H14" s="7">
        <v>-121.64392290588052</v>
      </c>
      <c r="I14" s="7">
        <v>1818.181818181818</v>
      </c>
      <c r="J14" s="7">
        <v>7524.5167072045297</v>
      </c>
      <c r="K14" s="7">
        <v>104.19394753613838</v>
      </c>
      <c r="L14" s="6" t="str">
        <v>Zone3</v>
      </c>
      <c r="M14" s="6">
        <v>20</v>
      </c>
    </row>
    <row r="15" spans="1:15" x14ac:dyDescent="0.35">
      <c r="A15" s="4">
        <v>14</v>
      </c>
      <c r="B15" s="7">
        <v>36.004114991154779</v>
      </c>
      <c r="C15" s="7">
        <f>VLOOKUP(A15,Data!$A$2:$K$70,11,0)</f>
        <v>935</v>
      </c>
      <c r="D15" s="7">
        <v>27.003086243366084</v>
      </c>
      <c r="E15" s="7">
        <v>27.003086243366084</v>
      </c>
      <c r="F15" s="7">
        <v>345.67283915339874</v>
      </c>
      <c r="G15" s="7">
        <v>1</v>
      </c>
      <c r="H15" s="7">
        <v>-110.89711887119832</v>
      </c>
      <c r="I15" s="7">
        <v>1296.2962962962963</v>
      </c>
      <c r="J15" s="7">
        <v>7112.9857887475036</v>
      </c>
      <c r="K15" s="7">
        <v>97.617818940443158</v>
      </c>
      <c r="L15" s="6" t="str">
        <v>Zone3</v>
      </c>
      <c r="M15" s="6">
        <v>27</v>
      </c>
    </row>
    <row r="16" spans="1:15" x14ac:dyDescent="0.35">
      <c r="A16" s="4">
        <v>15</v>
      </c>
      <c r="B16" s="7">
        <v>45.812284729085114</v>
      </c>
      <c r="C16" s="7">
        <f>VLOOKUP(A16,Data!$A$2:$K$70,11,0)</f>
        <v>930</v>
      </c>
      <c r="D16" s="7">
        <v>20.615528128088304</v>
      </c>
      <c r="E16" s="7">
        <v>20.6155281280883</v>
      </c>
      <c r="F16" s="7">
        <v>211.2310562561766</v>
      </c>
      <c r="G16" s="7">
        <v>1</v>
      </c>
      <c r="H16" s="7">
        <v>-133.59987810014553</v>
      </c>
      <c r="I16" s="7">
        <v>2098.7654320987654</v>
      </c>
      <c r="J16" s="7">
        <v>9453.8656999786854</v>
      </c>
      <c r="K16" s="7">
        <v>115.41543477926051</v>
      </c>
      <c r="L16" s="6" t="str">
        <v>Zone3</v>
      </c>
      <c r="M16" s="6">
        <v>16</v>
      </c>
    </row>
    <row r="17" spans="1:13" x14ac:dyDescent="0.35">
      <c r="A17" s="4">
        <v>16</v>
      </c>
      <c r="B17" s="7">
        <v>36.187343222787298</v>
      </c>
      <c r="C17" s="7">
        <f>VLOOKUP(A17,Data!$A$2:$K$70,11,0)</f>
        <v>925</v>
      </c>
      <c r="D17" s="7">
        <v>25.331140255951102</v>
      </c>
      <c r="E17" s="7">
        <v>25.331140255951109</v>
      </c>
      <c r="F17" s="7">
        <v>307.3289471785688</v>
      </c>
      <c r="G17" s="7">
        <v>1</v>
      </c>
      <c r="H17" s="7">
        <v>-111.66040073128877</v>
      </c>
      <c r="I17" s="7">
        <v>1309.5238095238096</v>
      </c>
      <c r="J17" s="7">
        <v>7229.9498533767564</v>
      </c>
      <c r="K17" s="7">
        <v>98.344756265291153</v>
      </c>
      <c r="L17" s="6" t="str">
        <v>Zone3</v>
      </c>
      <c r="M17" s="6">
        <v>25</v>
      </c>
    </row>
    <row r="18" spans="1:13" x14ac:dyDescent="0.35">
      <c r="A18" s="4">
        <v>17</v>
      </c>
      <c r="B18" s="7">
        <v>42.16370213557839</v>
      </c>
      <c r="C18" s="7">
        <f>VLOOKUP(A18,Data!$A$2:$K$70,11,0)</f>
        <v>920</v>
      </c>
      <c r="D18" s="7">
        <v>21.081851067789195</v>
      </c>
      <c r="E18" s="7">
        <v>21.081851067789195</v>
      </c>
      <c r="F18" s="7">
        <v>219.94147991335615</v>
      </c>
      <c r="G18" s="7">
        <v>1</v>
      </c>
      <c r="H18" s="7">
        <v>-119.88295982671229</v>
      </c>
      <c r="I18" s="7">
        <v>1777.7777777777778</v>
      </c>
      <c r="J18" s="7">
        <v>7260.8129457020023</v>
      </c>
      <c r="K18" s="7">
        <v>102.54668190120618</v>
      </c>
      <c r="L18" s="6" t="str">
        <v>Zone3</v>
      </c>
      <c r="M18" s="6">
        <v>18</v>
      </c>
    </row>
    <row r="19" spans="1:13" x14ac:dyDescent="0.35">
      <c r="A19" s="4">
        <v>18</v>
      </c>
      <c r="B19" s="7">
        <v>46.398036356916847</v>
      </c>
      <c r="C19" s="7">
        <f>VLOOKUP(A19,Data!$A$2:$K$70,11,0)</f>
        <v>915</v>
      </c>
      <c r="D19" s="7">
        <v>18.559214542766739</v>
      </c>
      <c r="E19" s="7">
        <v>18.559214542766739</v>
      </c>
      <c r="F19" s="7">
        <v>174.89620686331125</v>
      </c>
      <c r="G19" s="7">
        <v>1</v>
      </c>
      <c r="H19" s="7">
        <v>-135.85162826938927</v>
      </c>
      <c r="I19" s="7">
        <v>2152.7777777777774</v>
      </c>
      <c r="J19" s="7">
        <v>9844.5537923332158</v>
      </c>
      <c r="K19" s="7">
        <v>117.53567654211625</v>
      </c>
      <c r="L19" s="6" t="str">
        <v>Zone3</v>
      </c>
      <c r="M19" s="6">
        <v>14</v>
      </c>
    </row>
    <row r="20" spans="1:13" x14ac:dyDescent="0.35">
      <c r="A20" s="4">
        <v>19</v>
      </c>
      <c r="B20" s="7">
        <v>37.267799624996492</v>
      </c>
      <c r="C20" s="7">
        <f>VLOOKUP(A20,Data!$A$2:$K$70,11,0)</f>
        <v>910</v>
      </c>
      <c r="D20" s="7">
        <v>22.360679774997898</v>
      </c>
      <c r="E20" s="7">
        <v>22.360679774997894</v>
      </c>
      <c r="F20" s="7">
        <v>244.72135954999578</v>
      </c>
      <c r="G20" s="7">
        <v>1</v>
      </c>
      <c r="H20" s="7">
        <v>-102.31337702777074</v>
      </c>
      <c r="I20" s="7">
        <v>1388.8888888888889</v>
      </c>
      <c r="J20" s="7">
        <v>4912.4715632712096</v>
      </c>
      <c r="K20" s="7">
        <v>86.201201505476547</v>
      </c>
      <c r="L20" s="6" t="str">
        <v>Zone3</v>
      </c>
      <c r="M20" s="6">
        <v>22</v>
      </c>
    </row>
    <row r="21" spans="1:13" x14ac:dyDescent="0.35">
      <c r="A21" s="4">
        <v>20</v>
      </c>
      <c r="B21" s="7">
        <v>32.773069341672503</v>
      </c>
      <c r="C21" s="7">
        <f>VLOOKUP(A21,Data!$A$2:$K$70,11,0)</f>
        <v>905</v>
      </c>
      <c r="D21" s="7">
        <v>24.579802006254376</v>
      </c>
      <c r="E21" s="7">
        <v>24.579802006254376</v>
      </c>
      <c r="F21" s="7">
        <v>290.82627067917542</v>
      </c>
      <c r="G21" s="7">
        <v>1</v>
      </c>
      <c r="H21" s="7">
        <v>-97.768360905567235</v>
      </c>
      <c r="I21" s="7">
        <v>1074.0740740740741</v>
      </c>
      <c r="J21" s="7">
        <v>5262.3560978649502</v>
      </c>
      <c r="K21" s="7">
        <v>85.155229851253438</v>
      </c>
      <c r="L21" s="6" t="str">
        <v>Zone3</v>
      </c>
      <c r="M21" s="6">
        <v>27</v>
      </c>
    </row>
    <row r="22" spans="1:13" x14ac:dyDescent="0.35">
      <c r="A22" s="4">
        <v>21</v>
      </c>
      <c r="B22" s="7">
        <v>39.440531887330771</v>
      </c>
      <c r="C22" s="7">
        <f>VLOOKUP(A22,Data!$A$2:$K$70,11,0)</f>
        <v>900</v>
      </c>
      <c r="D22" s="7">
        <v>19.720265943665385</v>
      </c>
      <c r="E22" s="7">
        <v>19.720265943665385</v>
      </c>
      <c r="F22" s="7">
        <v>194.99608744288633</v>
      </c>
      <c r="G22" s="7">
        <v>1</v>
      </c>
      <c r="H22" s="7">
        <v>-109.99217488577267</v>
      </c>
      <c r="I22" s="7">
        <v>1555.5555555555554</v>
      </c>
      <c r="J22" s="7">
        <v>5876.0563138801781</v>
      </c>
      <c r="K22" s="7">
        <v>93.323806895914643</v>
      </c>
      <c r="L22" s="6" t="str">
        <v>Zone3</v>
      </c>
      <c r="M22" s="6">
        <v>18</v>
      </c>
    </row>
    <row r="23" spans="1:13" x14ac:dyDescent="0.35">
      <c r="A23" s="4">
        <v>22</v>
      </c>
      <c r="B23" s="7">
        <v>36.927447293799815</v>
      </c>
      <c r="C23" s="7">
        <f>VLOOKUP(A23,Data!$A$2:$K$70,11,0)</f>
        <v>895</v>
      </c>
      <c r="D23" s="7">
        <v>20.310096011589902</v>
      </c>
      <c r="E23" s="7">
        <v>20.310096011589899</v>
      </c>
      <c r="F23" s="7">
        <v>205.62019202317981</v>
      </c>
      <c r="G23" s="7">
        <v>1</v>
      </c>
      <c r="H23" s="7">
        <v>-101.12762186032693</v>
      </c>
      <c r="I23" s="7">
        <v>1363.6363636363635</v>
      </c>
      <c r="J23" s="7">
        <v>4772.2504485798181</v>
      </c>
      <c r="K23" s="7">
        <v>85.104549372544142</v>
      </c>
      <c r="L23" s="6" t="str">
        <v>Zone3</v>
      </c>
      <c r="M23" s="6">
        <v>20</v>
      </c>
    </row>
    <row r="24" spans="1:13" x14ac:dyDescent="0.35">
      <c r="A24" s="4">
        <v>23</v>
      </c>
      <c r="B24" s="7">
        <v>40.061680838488769</v>
      </c>
      <c r="C24" s="7">
        <f>VLOOKUP(A24,Data!$A$2:$K$70,11,0)</f>
        <v>890</v>
      </c>
      <c r="D24" s="7">
        <v>18.02775637731995</v>
      </c>
      <c r="E24" s="7">
        <v>18.027756377319946</v>
      </c>
      <c r="F24" s="7">
        <v>166.05551275463989</v>
      </c>
      <c r="G24" s="7">
        <v>1</v>
      </c>
      <c r="H24" s="7">
        <v>-112.2221271090763</v>
      </c>
      <c r="I24" s="7">
        <v>1604.9382716049383</v>
      </c>
      <c r="J24" s="7">
        <v>6174.052726465924</v>
      </c>
      <c r="K24" s="7">
        <v>95.398633874124982</v>
      </c>
      <c r="L24" s="6" t="str">
        <v>Zone3</v>
      </c>
      <c r="M24" s="6">
        <v>16</v>
      </c>
    </row>
    <row r="25" spans="1:13" x14ac:dyDescent="0.35">
      <c r="A25" s="4">
        <v>24</v>
      </c>
      <c r="B25" s="7">
        <v>31.497039417435605</v>
      </c>
      <c r="C25" s="7">
        <f>VLOOKUP(A25,Data!$A$2:$K$70,11,0)</f>
        <v>885</v>
      </c>
      <c r="D25" s="7">
        <v>22.047927592204921</v>
      </c>
      <c r="E25" s="7">
        <v>22.047927592204921</v>
      </c>
      <c r="F25" s="7">
        <v>238.54029962885431</v>
      </c>
      <c r="G25" s="7">
        <v>1</v>
      </c>
      <c r="H25" s="7">
        <v>-92.755983596776005</v>
      </c>
      <c r="I25" s="7">
        <v>992.06349206349216</v>
      </c>
      <c r="J25" s="7">
        <v>4635.4185247514106</v>
      </c>
      <c r="K25" s="7">
        <v>80.419945784430766</v>
      </c>
      <c r="L25" s="6" t="str">
        <v>Zone3</v>
      </c>
      <c r="M25" s="6">
        <v>25</v>
      </c>
    </row>
    <row r="26" spans="1:13" x14ac:dyDescent="0.35">
      <c r="A26" s="4">
        <v>25</v>
      </c>
      <c r="B26" s="7">
        <v>36.514837167011073</v>
      </c>
      <c r="C26" s="7">
        <f>VLOOKUP(A26,Data!$A$2:$K$70,11,0)</f>
        <v>880</v>
      </c>
      <c r="D26" s="7">
        <v>18.25741858350554</v>
      </c>
      <c r="E26" s="7">
        <v>18.257418583505537</v>
      </c>
      <c r="F26" s="7">
        <v>169.84817050034442</v>
      </c>
      <c r="G26" s="7">
        <v>1</v>
      </c>
      <c r="H26" s="7">
        <v>-99.696341000688847</v>
      </c>
      <c r="I26" s="7">
        <v>1333.3333333333335</v>
      </c>
      <c r="J26" s="7">
        <v>4606.0270755922975</v>
      </c>
      <c r="K26" s="7">
        <v>83.782029239044846</v>
      </c>
      <c r="L26" s="6" t="str">
        <v>Zone3</v>
      </c>
      <c r="M26" s="6">
        <v>18</v>
      </c>
    </row>
    <row r="27" spans="1:13" x14ac:dyDescent="0.35">
      <c r="A27" s="4">
        <v>26</v>
      </c>
      <c r="B27" s="7">
        <v>39.96526269427266</v>
      </c>
      <c r="C27" s="7">
        <f>VLOOKUP(A27,Data!$A$2:$K$70,11,0)</f>
        <v>875</v>
      </c>
      <c r="D27" s="7">
        <v>15.986105077709066</v>
      </c>
      <c r="E27" s="7">
        <v>15.986105077709064</v>
      </c>
      <c r="F27" s="7">
        <v>134.19443237764037</v>
      </c>
      <c r="G27" s="7">
        <v>1</v>
      </c>
      <c r="H27" s="7">
        <v>-111.87496983298978</v>
      </c>
      <c r="I27" s="7">
        <v>1597.2222222222222</v>
      </c>
      <c r="J27" s="7">
        <v>6127.1199862434842</v>
      </c>
      <c r="K27" s="7">
        <v>95.075445984502394</v>
      </c>
      <c r="L27" s="6" t="str">
        <v>Zone3</v>
      </c>
      <c r="M27" s="6">
        <v>14</v>
      </c>
    </row>
    <row r="28" spans="1:13" x14ac:dyDescent="0.35">
      <c r="A28" s="4">
        <v>27</v>
      </c>
      <c r="B28" s="7">
        <v>30.662207033593326</v>
      </c>
      <c r="C28" s="7">
        <f>VLOOKUP(A28,Data!$A$2:$K$70,11,0)</f>
        <v>870</v>
      </c>
      <c r="D28" s="7">
        <v>19.930434571835665</v>
      </c>
      <c r="E28" s="7">
        <v>19.930434571835661</v>
      </c>
      <c r="F28" s="7">
        <v>198.74975803256021</v>
      </c>
      <c r="G28" s="7">
        <v>1</v>
      </c>
      <c r="H28" s="7">
        <v>-89.52954227231487</v>
      </c>
      <c r="I28" s="7">
        <v>940.17094017094007</v>
      </c>
      <c r="J28" s="7">
        <v>4254.8551788064542</v>
      </c>
      <c r="K28" s="7">
        <v>77.37939660850671</v>
      </c>
      <c r="L28" s="6" t="str">
        <v>Zone3</v>
      </c>
      <c r="M28" s="6">
        <v>23</v>
      </c>
    </row>
    <row r="29" spans="1:13" x14ac:dyDescent="0.35">
      <c r="A29" s="4">
        <v>28</v>
      </c>
      <c r="B29" s="7">
        <v>31.180478223116179</v>
      </c>
      <c r="C29" s="7">
        <f>VLOOKUP(A29,Data!$A$2:$K$70,11,0)</f>
        <v>865</v>
      </c>
      <c r="D29" s="7">
        <v>18.708286933869704</v>
      </c>
      <c r="E29" s="7">
        <v>18.708286933869708</v>
      </c>
      <c r="F29" s="7">
        <v>177.41657386773943</v>
      </c>
      <c r="G29" s="7">
        <v>1</v>
      </c>
      <c r="H29" s="7">
        <v>-81.805400890676864</v>
      </c>
      <c r="I29" s="7">
        <v>972.22222222222217</v>
      </c>
      <c r="J29" s="7">
        <v>2803.2347259954668</v>
      </c>
      <c r="K29" s="7">
        <v>67.375491788505599</v>
      </c>
      <c r="L29" s="6" t="str">
        <v>Zone3</v>
      </c>
      <c r="M29" s="6">
        <v>22</v>
      </c>
    </row>
    <row r="30" spans="1:13" x14ac:dyDescent="0.35">
      <c r="A30" s="4">
        <v>29</v>
      </c>
      <c r="B30" s="7">
        <v>31.782086308186411</v>
      </c>
      <c r="C30" s="7">
        <f>VLOOKUP(A30,Data!$A$2:$K$70,11,0)</f>
        <v>860</v>
      </c>
      <c r="D30" s="7">
        <v>17.480147469502526</v>
      </c>
      <c r="E30" s="7">
        <v>17.480147469502526</v>
      </c>
      <c r="F30" s="7">
        <v>157.18251716122728</v>
      </c>
      <c r="G30" s="7">
        <v>1</v>
      </c>
      <c r="H30" s="7">
        <v>-83.766192818393023</v>
      </c>
      <c r="I30" s="7">
        <v>1010.10101010101</v>
      </c>
      <c r="J30" s="7">
        <v>2976.3710188841583</v>
      </c>
      <c r="K30" s="7">
        <v>69.161160026708657</v>
      </c>
      <c r="L30" s="6" t="str">
        <v>Zone3</v>
      </c>
      <c r="M30" s="6">
        <v>20</v>
      </c>
    </row>
    <row r="31" spans="1:13" x14ac:dyDescent="0.35">
      <c r="A31" s="4">
        <v>30</v>
      </c>
      <c r="B31" s="7">
        <v>26.527414191807381</v>
      </c>
      <c r="C31" s="7">
        <f>VLOOKUP(A31,Data!$A$2:$K$70,11,0)</f>
        <v>855</v>
      </c>
      <c r="D31" s="7">
        <v>19.895560643855536</v>
      </c>
      <c r="E31" s="7">
        <v>19.895560643855536</v>
      </c>
      <c r="F31" s="7">
        <v>198.12445462104441</v>
      </c>
      <c r="G31" s="7">
        <v>1</v>
      </c>
      <c r="H31" s="7">
        <v>-74.165939494725876</v>
      </c>
      <c r="I31" s="7">
        <v>703.70370370370358</v>
      </c>
      <c r="J31" s="7">
        <v>2685.7717663205253</v>
      </c>
      <c r="K31" s="7">
        <v>62.995185815853318</v>
      </c>
      <c r="L31" s="6" t="str">
        <v>Zone3</v>
      </c>
      <c r="M31" s="6">
        <v>27</v>
      </c>
    </row>
    <row r="32" spans="1:13" x14ac:dyDescent="0.35">
      <c r="A32" s="4">
        <v>31</v>
      </c>
      <c r="B32" s="7">
        <v>33.333333333333336</v>
      </c>
      <c r="C32" s="7">
        <f>VLOOKUP(A32,Data!$A$2:$K$70,11,0)</f>
        <v>850</v>
      </c>
      <c r="D32" s="7">
        <v>14.999999999999998</v>
      </c>
      <c r="E32" s="7">
        <v>15.000000000000002</v>
      </c>
      <c r="F32" s="7">
        <v>120</v>
      </c>
      <c r="G32" s="7">
        <v>1</v>
      </c>
      <c r="H32" s="7">
        <v>-88.888888888888886</v>
      </c>
      <c r="I32" s="7">
        <v>1111.1111111111111</v>
      </c>
      <c r="J32" s="7">
        <v>3456.7901234567898</v>
      </c>
      <c r="K32" s="7">
        <v>73.841681234051009</v>
      </c>
      <c r="L32" s="6" t="str">
        <v>Zone3</v>
      </c>
      <c r="M32" s="6">
        <v>16</v>
      </c>
    </row>
    <row r="33" spans="1:13" x14ac:dyDescent="0.35">
      <c r="A33" s="4">
        <v>32</v>
      </c>
      <c r="B33" s="7">
        <v>25.97312408246599</v>
      </c>
      <c r="C33" s="7">
        <f>VLOOKUP(A33,Data!$A$2:$K$70,11,0)</f>
        <v>845</v>
      </c>
      <c r="D33" s="7">
        <v>18.181186857726189</v>
      </c>
      <c r="E33" s="7">
        <v>18.181186857726193</v>
      </c>
      <c r="F33" s="7">
        <v>168.58459593767461</v>
      </c>
      <c r="G33" s="7">
        <v>1</v>
      </c>
      <c r="H33" s="7">
        <v>-72.184343403027214</v>
      </c>
      <c r="I33" s="7">
        <v>674.60317460317469</v>
      </c>
      <c r="J33" s="7">
        <v>2512.1667341134598</v>
      </c>
      <c r="K33" s="7">
        <v>61.152931536928911</v>
      </c>
      <c r="L33" s="6" t="str">
        <v>Zone3</v>
      </c>
      <c r="M33" s="6">
        <v>25</v>
      </c>
    </row>
    <row r="34" spans="1:13" x14ac:dyDescent="0.35">
      <c r="A34" s="4">
        <v>33</v>
      </c>
      <c r="B34" s="7">
        <v>29.814239699997195</v>
      </c>
      <c r="C34" s="7">
        <f>VLOOKUP(A34,Data!$A$2:$K$70,11,0)</f>
        <v>840</v>
      </c>
      <c r="D34" s="7">
        <v>14.907119849998599</v>
      </c>
      <c r="E34" s="7">
        <v>14.907119849998598</v>
      </c>
      <c r="F34" s="7">
        <v>118.70312858888607</v>
      </c>
      <c r="G34" s="7">
        <v>1</v>
      </c>
      <c r="H34" s="7">
        <v>-77.406257177772147</v>
      </c>
      <c r="I34" s="7">
        <v>888.88888888888891</v>
      </c>
      <c r="J34" s="7">
        <v>2436.1730947158467</v>
      </c>
      <c r="K34" s="7">
        <v>63.381930700799074</v>
      </c>
      <c r="L34" s="6" t="str">
        <v>Zone3</v>
      </c>
      <c r="M34" s="6">
        <v>18</v>
      </c>
    </row>
    <row r="35" spans="1:13" x14ac:dyDescent="0.35">
      <c r="A35" s="4">
        <v>34</v>
      </c>
      <c r="B35" s="7">
        <v>32.274861218395145</v>
      </c>
      <c r="C35" s="7">
        <f>VLOOKUP(A35,Data!$A$2:$K$70,11,0)</f>
        <v>835</v>
      </c>
      <c r="D35" s="7">
        <v>12.909944487358056</v>
      </c>
      <c r="E35" s="7">
        <v>12.909944487358059</v>
      </c>
      <c r="F35" s="7">
        <v>92.486555641382793</v>
      </c>
      <c r="G35" s="7">
        <v>1</v>
      </c>
      <c r="H35" s="7">
        <v>-85.383055770123633</v>
      </c>
      <c r="I35" s="7">
        <v>1041.6666666666667</v>
      </c>
      <c r="J35" s="7">
        <v>3123.5995459773758</v>
      </c>
      <c r="K35" s="7">
        <v>70.636113881178204</v>
      </c>
      <c r="L35" s="6" t="str">
        <v>Zone3</v>
      </c>
      <c r="M35" s="6">
        <v>14</v>
      </c>
    </row>
    <row r="36" spans="1:13" x14ac:dyDescent="0.35">
      <c r="A36" s="4">
        <v>35</v>
      </c>
      <c r="B36" s="7">
        <v>25.458753860865777</v>
      </c>
      <c r="C36" s="7">
        <f>VLOOKUP(A36,Data!$A$2:$K$70,11,0)</f>
        <v>830</v>
      </c>
      <c r="D36" s="7">
        <v>15.275252316519467</v>
      </c>
      <c r="E36" s="7">
        <v>15.275252316519465</v>
      </c>
      <c r="F36" s="7">
        <v>123.88383796637227</v>
      </c>
      <c r="G36" s="7">
        <v>1</v>
      </c>
      <c r="H36" s="7">
        <v>-63.880470684694522</v>
      </c>
      <c r="I36" s="7">
        <v>648.14814814814815</v>
      </c>
      <c r="J36" s="7">
        <v>1488.1219423055236</v>
      </c>
      <c r="K36" s="7">
        <v>51.22832714989476</v>
      </c>
      <c r="L36" s="6" t="str">
        <v>Zone3</v>
      </c>
      <c r="M36" s="6">
        <v>22</v>
      </c>
    </row>
    <row r="37" spans="1:13" x14ac:dyDescent="0.35">
      <c r="A37" s="4">
        <v>36</v>
      </c>
      <c r="B37" s="7">
        <v>21.942686286812776</v>
      </c>
      <c r="C37" s="7">
        <f>VLOOKUP(A37,Data!$A$2:$K$70,11,0)</f>
        <v>825</v>
      </c>
      <c r="D37" s="7">
        <v>16.457014715109583</v>
      </c>
      <c r="E37" s="7">
        <v>16.457014715109583</v>
      </c>
      <c r="F37" s="7">
        <v>141.2473627635525</v>
      </c>
      <c r="G37" s="7">
        <v>1</v>
      </c>
      <c r="H37" s="7">
        <v>-58.329817018070003</v>
      </c>
      <c r="I37" s="7">
        <v>481.48148148148152</v>
      </c>
      <c r="J37" s="7">
        <v>1476.4416274356026</v>
      </c>
      <c r="K37" s="7">
        <v>48.377154782152068</v>
      </c>
      <c r="L37" s="6" t="str">
        <v>Zone3</v>
      </c>
      <c r="M37" s="6">
        <v>27</v>
      </c>
    </row>
    <row r="38" spans="1:13" x14ac:dyDescent="0.35">
      <c r="A38" s="4">
        <v>37</v>
      </c>
      <c r="B38" s="7">
        <v>25.819888974716115</v>
      </c>
      <c r="C38" s="7">
        <f>VLOOKUP(A38,Data!$A$2:$K$70,11,0)</f>
        <v>820</v>
      </c>
      <c r="D38" s="7">
        <v>12.909944487358057</v>
      </c>
      <c r="E38" s="7">
        <v>12.909944487358057</v>
      </c>
      <c r="F38" s="7">
        <v>92.486555641382793</v>
      </c>
      <c r="G38" s="7">
        <v>1</v>
      </c>
      <c r="H38" s="7">
        <v>-64.973111282765586</v>
      </c>
      <c r="I38" s="7">
        <v>666.66666666666674</v>
      </c>
      <c r="J38" s="7">
        <v>1554.8385230959739</v>
      </c>
      <c r="K38" s="7">
        <v>52.202276038416059</v>
      </c>
      <c r="L38" s="6" t="str">
        <v>Zone3</v>
      </c>
      <c r="M38" s="6">
        <v>18</v>
      </c>
    </row>
    <row r="39" spans="1:13" x14ac:dyDescent="0.35">
      <c r="A39" s="4">
        <v>38</v>
      </c>
      <c r="B39" s="7">
        <v>23.570226039551585</v>
      </c>
      <c r="C39" s="7">
        <f>VLOOKUP(A39,Data!$A$2:$K$70,11,0)</f>
        <v>815</v>
      </c>
      <c r="D39" s="7">
        <v>12.96362432175337</v>
      </c>
      <c r="E39" s="7">
        <v>12.963624321753374</v>
      </c>
      <c r="F39" s="7">
        <v>93.149470865728958</v>
      </c>
      <c r="G39" s="7">
        <v>1</v>
      </c>
      <c r="H39" s="7">
        <v>-58.25156319021427</v>
      </c>
      <c r="I39" s="7">
        <v>555.55555555555554</v>
      </c>
      <c r="J39" s="7">
        <v>1171.022391881304</v>
      </c>
      <c r="K39" s="7">
        <v>46.23588381485807</v>
      </c>
      <c r="L39" s="6" t="str">
        <v>Zone3</v>
      </c>
      <c r="M39" s="6">
        <v>20</v>
      </c>
    </row>
    <row r="40" spans="1:13" x14ac:dyDescent="0.35">
      <c r="A40" s="4">
        <v>39</v>
      </c>
      <c r="B40" s="7">
        <v>24.845199749997665</v>
      </c>
      <c r="C40" s="7">
        <f>VLOOKUP(A40,Data!$A$2:$K$70,11,0)</f>
        <v>810</v>
      </c>
      <c r="D40" s="7">
        <v>11.180339887498947</v>
      </c>
      <c r="E40" s="7">
        <v>11.180339887498949</v>
      </c>
      <c r="F40" s="7">
        <v>72.360679774997891</v>
      </c>
      <c r="G40" s="7">
        <v>1</v>
      </c>
      <c r="H40" s="7">
        <v>-62.036078512340993</v>
      </c>
      <c r="I40" s="7">
        <v>617.28395061728395</v>
      </c>
      <c r="J40" s="7">
        <v>1379.3392347202002</v>
      </c>
      <c r="K40" s="7">
        <v>49.587767543898622</v>
      </c>
      <c r="L40" s="6" t="str">
        <v>Zone3</v>
      </c>
      <c r="M40" s="6">
        <v>16</v>
      </c>
    </row>
    <row r="41" spans="1:13" x14ac:dyDescent="0.35">
      <c r="A41" s="4">
        <v>40</v>
      </c>
      <c r="B41" s="7">
        <v>19.416079083690583</v>
      </c>
      <c r="C41" s="7">
        <f>VLOOKUP(A41,Data!$A$2:$K$70,11,0)</f>
        <v>805</v>
      </c>
      <c r="D41" s="7">
        <v>13.591255358583407</v>
      </c>
      <c r="E41" s="7">
        <v>13.591255358583407</v>
      </c>
      <c r="F41" s="7">
        <v>101.07139960605571</v>
      </c>
      <c r="G41" s="7">
        <v>1</v>
      </c>
      <c r="H41" s="7">
        <v>-50.141681976904991</v>
      </c>
      <c r="I41" s="7">
        <v>376.98412698412699</v>
      </c>
      <c r="J41" s="7">
        <v>1006.2517635365707</v>
      </c>
      <c r="K41" s="7">
        <v>40.93157681262354</v>
      </c>
      <c r="L41" s="6" t="str">
        <v>Zone3</v>
      </c>
      <c r="M41" s="6">
        <v>25</v>
      </c>
    </row>
    <row r="42" spans="1:13" x14ac:dyDescent="0.35">
      <c r="A42" s="4">
        <v>41</v>
      </c>
      <c r="B42" s="7">
        <v>22.360679774997898</v>
      </c>
      <c r="C42" s="7">
        <f>VLOOKUP(A42,Data!$A$2:$K$70,11,0)</f>
        <v>800</v>
      </c>
      <c r="D42" s="7">
        <v>11.180339887498947</v>
      </c>
      <c r="E42" s="7">
        <v>11.180339887498949</v>
      </c>
      <c r="F42" s="7">
        <v>72.360679774997891</v>
      </c>
      <c r="G42" s="7">
        <v>1</v>
      </c>
      <c r="H42" s="7">
        <v>-54.721359549995782</v>
      </c>
      <c r="I42" s="7">
        <v>500</v>
      </c>
      <c r="J42" s="7">
        <v>994.42719099991473</v>
      </c>
      <c r="K42" s="7">
        <v>43.127949600493324</v>
      </c>
      <c r="L42" s="6" t="str">
        <v>Zone3</v>
      </c>
      <c r="M42" s="6">
        <v>18</v>
      </c>
    </row>
    <row r="43" spans="1:13" x14ac:dyDescent="0.35">
      <c r="A43" s="4">
        <v>42</v>
      </c>
      <c r="B43" s="7">
        <v>24.295632895188749</v>
      </c>
      <c r="C43" s="7">
        <f>VLOOKUP(A43,Data!$A$2:$K$70,11,0)</f>
        <v>795</v>
      </c>
      <c r="D43" s="7">
        <v>9.7182531580755018</v>
      </c>
      <c r="E43" s="7">
        <v>9.7182531580755001</v>
      </c>
      <c r="F43" s="7">
        <v>57.214284093928782</v>
      </c>
      <c r="G43" s="7">
        <v>1</v>
      </c>
      <c r="H43" s="7">
        <v>-60.396821345933063</v>
      </c>
      <c r="I43" s="7">
        <v>590.27777777777771</v>
      </c>
      <c r="J43" s="7">
        <v>1286.6649175814446</v>
      </c>
      <c r="K43" s="7">
        <v>48.133466552315255</v>
      </c>
      <c r="L43" s="6" t="str">
        <v>Zone3</v>
      </c>
      <c r="M43" s="6">
        <v>14</v>
      </c>
    </row>
    <row r="44" spans="1:13" x14ac:dyDescent="0.35">
      <c r="A44" s="4">
        <v>43</v>
      </c>
      <c r="B44" s="7">
        <v>18.49000654084097</v>
      </c>
      <c r="C44" s="7">
        <f>VLOOKUP(A44,Data!$A$2:$K$70,11,0)</f>
        <v>790</v>
      </c>
      <c r="D44" s="7">
        <v>12.018504251546632</v>
      </c>
      <c r="E44" s="7">
        <v>12.018504251546631</v>
      </c>
      <c r="F44" s="7">
        <v>81.814786280871047</v>
      </c>
      <c r="G44" s="7">
        <v>1</v>
      </c>
      <c r="H44" s="7">
        <v>-47.236423338092202</v>
      </c>
      <c r="I44" s="7">
        <v>341.88034188034186</v>
      </c>
      <c r="J44" s="7">
        <v>863.75832225409408</v>
      </c>
      <c r="K44" s="7">
        <v>38.313094471012349</v>
      </c>
      <c r="L44" s="6" t="str">
        <v>Zone3</v>
      </c>
      <c r="M44" s="6">
        <v>23</v>
      </c>
    </row>
    <row r="45" spans="1:13" x14ac:dyDescent="0.35">
      <c r="A45" s="4">
        <v>44</v>
      </c>
      <c r="B45" s="7">
        <v>18.633899812498246</v>
      </c>
      <c r="C45" s="7">
        <f>VLOOKUP(A45,Data!$A$2:$K$70,11,0)</f>
        <v>785</v>
      </c>
      <c r="D45" s="7">
        <v>11.180339887498949</v>
      </c>
      <c r="E45" s="7">
        <v>11.180339887498947</v>
      </c>
      <c r="F45" s="7">
        <v>72.360679774997891</v>
      </c>
      <c r="G45" s="7">
        <v>1</v>
      </c>
      <c r="H45" s="7">
        <v>-44.212244069440928</v>
      </c>
      <c r="I45" s="7">
        <v>347.22222222222223</v>
      </c>
      <c r="J45" s="7">
        <v>565.83363676692557</v>
      </c>
      <c r="K45" s="7">
        <v>33.999750967545438</v>
      </c>
      <c r="L45" s="6" t="str">
        <v>Zone3</v>
      </c>
      <c r="M45" s="6">
        <v>22</v>
      </c>
    </row>
    <row r="46" spans="1:13" x14ac:dyDescent="0.35">
      <c r="A46" s="4">
        <v>45</v>
      </c>
      <c r="B46" s="7">
        <v>18.802535827258872</v>
      </c>
      <c r="C46" s="7">
        <f>VLOOKUP(A46,Data!$A$2:$K$70,11,0)</f>
        <v>780</v>
      </c>
      <c r="D46" s="7">
        <v>10.34139470499238</v>
      </c>
      <c r="E46" s="7">
        <v>10.34139470499238</v>
      </c>
      <c r="F46" s="7">
        <v>63.460567187762543</v>
      </c>
      <c r="G46" s="7">
        <v>1</v>
      </c>
      <c r="H46" s="7">
        <v>-44.675778725224824</v>
      </c>
      <c r="I46" s="7">
        <v>353.53535353535347</v>
      </c>
      <c r="J46" s="7">
        <v>581.7837905638371</v>
      </c>
      <c r="K46" s="7">
        <v>34.397986693934385</v>
      </c>
      <c r="L46" s="6" t="str">
        <v>Zone3</v>
      </c>
      <c r="M46" s="6">
        <v>20</v>
      </c>
    </row>
    <row r="47" spans="1:13" x14ac:dyDescent="0.35">
      <c r="A47" s="4">
        <v>46</v>
      </c>
      <c r="B47" s="7">
        <v>15.515822270854379</v>
      </c>
      <c r="C47" s="7">
        <f>VLOOKUP(A47,Data!$A$2:$K$70,11,0)</f>
        <v>775</v>
      </c>
      <c r="D47" s="7">
        <v>11.636866703140786</v>
      </c>
      <c r="E47" s="7">
        <v>11.636866703140784</v>
      </c>
      <c r="F47" s="7">
        <v>77.440400072948236</v>
      </c>
      <c r="G47" s="7">
        <v>1</v>
      </c>
      <c r="H47" s="7">
        <v>-38.253866763930979</v>
      </c>
      <c r="I47" s="7">
        <v>240.74074074074076</v>
      </c>
      <c r="J47" s="7">
        <v>500.39535942962016</v>
      </c>
      <c r="K47" s="7">
        <v>30.311692648816297</v>
      </c>
      <c r="L47" s="6" t="str">
        <v>Zone3</v>
      </c>
      <c r="M47" s="6">
        <v>27</v>
      </c>
    </row>
    <row r="48" spans="1:13" x14ac:dyDescent="0.35">
      <c r="A48" s="4">
        <v>47</v>
      </c>
      <c r="B48" s="7">
        <v>19.245008972987527</v>
      </c>
      <c r="C48" s="7">
        <f>VLOOKUP(A48,Data!$A$2:$K$70,11,0)</f>
        <v>770</v>
      </c>
      <c r="D48" s="7">
        <v>8.6602540378443873</v>
      </c>
      <c r="E48" s="7">
        <v>8.6602540378443873</v>
      </c>
      <c r="F48" s="7">
        <v>47.320508075688778</v>
      </c>
      <c r="G48" s="7">
        <v>1</v>
      </c>
      <c r="H48" s="7">
        <v>-45.897425353382467</v>
      </c>
      <c r="I48" s="7">
        <v>370.37037037037038</v>
      </c>
      <c r="J48" s="7">
        <v>625.09217258783406</v>
      </c>
      <c r="K48" s="7">
        <v>35.449634368588931</v>
      </c>
      <c r="L48" s="6" t="str">
        <v>Zone3</v>
      </c>
      <c r="M48" s="6">
        <v>16</v>
      </c>
    </row>
    <row r="49" spans="1:13" x14ac:dyDescent="0.35">
      <c r="A49" s="4">
        <v>48</v>
      </c>
      <c r="B49" s="7">
        <v>14.773421007131972</v>
      </c>
      <c r="C49" s="7">
        <f>VLOOKUP(A49,Data!$A$2:$K$70,11,0)</f>
        <v>765</v>
      </c>
      <c r="D49" s="7">
        <v>10.34139470499238</v>
      </c>
      <c r="E49" s="7">
        <v>10.34139470499238</v>
      </c>
      <c r="F49" s="7">
        <v>63.460567187762535</v>
      </c>
      <c r="G49" s="7">
        <v>1</v>
      </c>
      <c r="H49" s="7">
        <v>-36.094461061882988</v>
      </c>
      <c r="I49" s="7">
        <v>218.25396825396825</v>
      </c>
      <c r="J49" s="7">
        <v>429.79424633191411</v>
      </c>
      <c r="K49" s="7">
        <v>28.412970330057547</v>
      </c>
      <c r="L49" s="6" t="str">
        <v>Zone3</v>
      </c>
      <c r="M49" s="6">
        <v>25</v>
      </c>
    </row>
    <row r="50" spans="1:13" x14ac:dyDescent="0.35">
      <c r="A50" s="4">
        <v>49</v>
      </c>
      <c r="B50" s="7">
        <v>16.666666666666668</v>
      </c>
      <c r="C50" s="7">
        <f>VLOOKUP(A50,Data!$A$2:$K$70,11,0)</f>
        <v>760</v>
      </c>
      <c r="D50" s="7">
        <v>8.3333333333333321</v>
      </c>
      <c r="E50" s="7">
        <v>8.3333333333333339</v>
      </c>
      <c r="F50" s="7">
        <v>44.44444444444445</v>
      </c>
      <c r="G50" s="7">
        <v>1</v>
      </c>
      <c r="H50" s="7">
        <v>-38.8888888888889</v>
      </c>
      <c r="I50" s="7">
        <v>277.77777777777777</v>
      </c>
      <c r="J50" s="7">
        <v>401.23456790123555</v>
      </c>
      <c r="K50" s="7">
        <v>29.459864654066656</v>
      </c>
      <c r="L50" s="6" t="str">
        <v>Zone3</v>
      </c>
      <c r="M50" s="6">
        <v>18</v>
      </c>
    </row>
    <row r="51" spans="1:13" x14ac:dyDescent="0.35">
      <c r="A51" s="4">
        <v>50</v>
      </c>
      <c r="B51" s="7">
        <v>17.677669529663689</v>
      </c>
      <c r="C51" s="7">
        <f>VLOOKUP(A51,Data!$A$2:$K$70,11,0)</f>
        <v>755</v>
      </c>
      <c r="D51" s="7">
        <v>7.0710678118654746</v>
      </c>
      <c r="E51" s="7">
        <v>7.0710678118654755</v>
      </c>
      <c r="F51" s="7">
        <v>34.142135623730951</v>
      </c>
      <c r="G51" s="7">
        <v>1</v>
      </c>
      <c r="H51" s="7">
        <v>-41.605339059327378</v>
      </c>
      <c r="I51" s="7">
        <v>312.5</v>
      </c>
      <c r="J51" s="7">
        <v>481.00423824159225</v>
      </c>
      <c r="K51" s="7">
        <v>31.768573941083574</v>
      </c>
      <c r="L51" s="6" t="str">
        <v>Zone3</v>
      </c>
      <c r="M51" s="6">
        <v>14</v>
      </c>
    </row>
    <row r="52" spans="1:13" x14ac:dyDescent="0.35">
      <c r="A52" s="4">
        <v>51</v>
      </c>
      <c r="B52" s="7">
        <v>13.608276348795433</v>
      </c>
      <c r="C52" s="7">
        <f>VLOOKUP(A52,Data!$A$2:$K$70,11,0)</f>
        <v>750</v>
      </c>
      <c r="D52" s="7">
        <v>8.1649658092772608</v>
      </c>
      <c r="E52" s="7">
        <v>8.164965809277259</v>
      </c>
      <c r="F52" s="7">
        <v>42.996598285221182</v>
      </c>
      <c r="G52" s="7">
        <v>1</v>
      </c>
      <c r="H52" s="7">
        <v>-30.920256401294562</v>
      </c>
      <c r="I52" s="7">
        <v>185.18518518518519</v>
      </c>
      <c r="J52" s="7">
        <v>215.32151518105661</v>
      </c>
      <c r="K52" s="7">
        <v>22.797047090430929</v>
      </c>
      <c r="L52" s="6" t="str">
        <v>Zone3</v>
      </c>
      <c r="M52" s="6">
        <v>22</v>
      </c>
    </row>
    <row r="53" spans="1:13" x14ac:dyDescent="0.35">
      <c r="A53" s="4">
        <v>52</v>
      </c>
      <c r="B53" s="7">
        <v>11.385500851066221</v>
      </c>
      <c r="C53" s="7">
        <f>VLOOKUP(A53,Data!$A$2:$K$70,11,0)</f>
        <v>745</v>
      </c>
      <c r="D53" s="7">
        <v>8.5391256382996641</v>
      </c>
      <c r="E53" s="7">
        <v>8.5391256382996659</v>
      </c>
      <c r="F53" s="7">
        <v>46.244917943265996</v>
      </c>
      <c r="G53" s="7">
        <v>1</v>
      </c>
      <c r="H53" s="7">
        <v>-26.659890591021327</v>
      </c>
      <c r="I53" s="7">
        <v>129.62962962962962</v>
      </c>
      <c r="J53" s="7">
        <v>192.23124780670901</v>
      </c>
      <c r="K53" s="7">
        <v>20.262319488503799</v>
      </c>
      <c r="L53" s="6" t="str">
        <v>Zone3</v>
      </c>
      <c r="M53" s="6">
        <v>27</v>
      </c>
    </row>
    <row r="54" spans="1:13" x14ac:dyDescent="0.35">
      <c r="A54" s="4">
        <v>53</v>
      </c>
      <c r="B54" s="7">
        <v>12.909944487358057</v>
      </c>
      <c r="C54" s="7">
        <f>VLOOKUP(A54,Data!$A$2:$K$70,11,0)</f>
        <v>740</v>
      </c>
      <c r="D54" s="7">
        <v>6.4549722436790287</v>
      </c>
      <c r="E54" s="7">
        <v>6.4549722436790287</v>
      </c>
      <c r="F54" s="7">
        <v>29.576611154024725</v>
      </c>
      <c r="G54" s="7">
        <v>1</v>
      </c>
      <c r="H54" s="7">
        <v>-29.15322230804945</v>
      </c>
      <c r="I54" s="7">
        <v>166.66666666666669</v>
      </c>
      <c r="J54" s="7">
        <v>183.24370427588542</v>
      </c>
      <c r="K54" s="7">
        <v>21.344988069428545</v>
      </c>
      <c r="L54" s="6" t="str">
        <v>Zone3</v>
      </c>
      <c r="M54" s="6">
        <v>18</v>
      </c>
    </row>
    <row r="55" spans="1:13" x14ac:dyDescent="0.35">
      <c r="A55" s="4">
        <v>54</v>
      </c>
      <c r="B55" s="7">
        <v>11.891767800211262</v>
      </c>
      <c r="C55" s="7">
        <f>VLOOKUP(A55,Data!$A$2:$K$70,11,0)</f>
        <v>735</v>
      </c>
      <c r="D55" s="7">
        <v>6.5404722901161954</v>
      </c>
      <c r="E55" s="7">
        <v>6.5404722901161945</v>
      </c>
      <c r="F55" s="7">
        <v>30.192055691343501</v>
      </c>
      <c r="G55" s="7">
        <v>1</v>
      </c>
      <c r="H55" s="7">
        <v>-26.611818428705355</v>
      </c>
      <c r="I55" s="7">
        <v>141.41414141414143</v>
      </c>
      <c r="J55" s="7">
        <v>142.53231442581625</v>
      </c>
      <c r="K55" s="7">
        <v>19.275254120324696</v>
      </c>
      <c r="L55" s="6" t="str">
        <v>Zone3</v>
      </c>
      <c r="M55" s="6">
        <v>20</v>
      </c>
    </row>
    <row r="56" spans="1:13" x14ac:dyDescent="0.35">
      <c r="A56" s="4">
        <v>55</v>
      </c>
      <c r="B56" s="7">
        <v>12.668615834434865</v>
      </c>
      <c r="C56" s="7">
        <f>VLOOKUP(A56,Data!$A$2:$K$70,11,0)</f>
        <v>730</v>
      </c>
      <c r="D56" s="7">
        <v>5.7008771254956896</v>
      </c>
      <c r="E56" s="7">
        <v>5.7008771254956896</v>
      </c>
      <c r="F56" s="7">
        <v>24.401754250991381</v>
      </c>
      <c r="G56" s="7">
        <v>1</v>
      </c>
      <c r="H56" s="7">
        <v>-28.54710821207961</v>
      </c>
      <c r="I56" s="7">
        <v>160.49382716049379</v>
      </c>
      <c r="J56" s="7">
        <v>172.962078630208</v>
      </c>
      <c r="K56" s="7">
        <v>20.849306508430882</v>
      </c>
      <c r="L56" s="6" t="str">
        <v>Zone3</v>
      </c>
      <c r="M56" s="6">
        <v>16</v>
      </c>
    </row>
    <row r="57" spans="1:13" x14ac:dyDescent="0.35">
      <c r="A57" s="4">
        <v>56</v>
      </c>
      <c r="B57" s="7">
        <v>9.7590007294853311</v>
      </c>
      <c r="C57" s="7">
        <f>VLOOKUP(A57,Data!$A$2:$K$70,11,0)</f>
        <v>725</v>
      </c>
      <c r="D57" s="7">
        <v>6.831300510639732</v>
      </c>
      <c r="E57" s="7">
        <v>6.8313005106397311</v>
      </c>
      <c r="F57" s="7">
        <v>32.329267687946128</v>
      </c>
      <c r="G57" s="7">
        <v>1</v>
      </c>
      <c r="H57" s="7">
        <v>-22.37514431611352</v>
      </c>
      <c r="I57" s="7">
        <v>95.238095238095227</v>
      </c>
      <c r="J57" s="7">
        <v>119.69470221452627</v>
      </c>
      <c r="K57" s="7">
        <v>16.657825859086682</v>
      </c>
      <c r="L57" s="6" t="str">
        <v>Zone3</v>
      </c>
      <c r="M57" s="6">
        <v>25</v>
      </c>
    </row>
    <row r="58" spans="1:13" x14ac:dyDescent="0.35">
      <c r="A58" s="4">
        <v>57</v>
      </c>
      <c r="B58" s="7">
        <v>11.055415967851333</v>
      </c>
      <c r="C58" s="7">
        <f>VLOOKUP(A58,Data!$A$2:$K$70,11,0)</f>
        <v>720</v>
      </c>
      <c r="D58" s="7">
        <v>5.5277079839256666</v>
      </c>
      <c r="E58" s="7">
        <v>5.5277079839256666</v>
      </c>
      <c r="F58" s="7">
        <v>23.277638190073557</v>
      </c>
      <c r="G58" s="7">
        <v>1</v>
      </c>
      <c r="H58" s="7">
        <v>-24.555276380147113</v>
      </c>
      <c r="I58" s="7">
        <v>122.22222222222223</v>
      </c>
      <c r="J58" s="7">
        <v>114.07270921652184</v>
      </c>
      <c r="K58" s="7">
        <v>17.617879505232494</v>
      </c>
      <c r="L58" s="6" t="str">
        <v>Zone3</v>
      </c>
      <c r="M58" s="6">
        <v>18</v>
      </c>
    </row>
    <row r="59" spans="1:13" x14ac:dyDescent="0.35">
      <c r="A59" s="4">
        <v>58</v>
      </c>
      <c r="B59" s="7">
        <v>11.785113019775793</v>
      </c>
      <c r="C59" s="7">
        <f>VLOOKUP(A59,Data!$A$2:$K$70,11,0)</f>
        <v>715</v>
      </c>
      <c r="D59" s="7">
        <v>4.714045207910317</v>
      </c>
      <c r="E59" s="7">
        <v>4.714045207910317</v>
      </c>
      <c r="F59" s="7">
        <v>18.316979304709523</v>
      </c>
      <c r="G59" s="7">
        <v>1</v>
      </c>
      <c r="H59" s="7">
        <v>-26.34800381732936</v>
      </c>
      <c r="I59" s="7">
        <v>138.88888888888889</v>
      </c>
      <c r="J59" s="7">
        <v>138.661749602447</v>
      </c>
      <c r="K59" s="7">
        <v>19.061738095061941</v>
      </c>
      <c r="L59" s="6" t="str">
        <v>Zone3</v>
      </c>
      <c r="M59" s="6">
        <v>14</v>
      </c>
    </row>
    <row r="60" spans="1:13" x14ac:dyDescent="0.35">
      <c r="A60" s="4">
        <v>59</v>
      </c>
      <c r="B60" s="7">
        <v>8.7705801930702911</v>
      </c>
      <c r="C60" s="7">
        <f>VLOOKUP(A60,Data!$A$2:$K$70,11,0)</f>
        <v>710</v>
      </c>
      <c r="D60" s="7">
        <v>5.7008771254956905</v>
      </c>
      <c r="E60" s="7">
        <v>5.7008771254956896</v>
      </c>
      <c r="F60" s="7">
        <v>24.401754250991381</v>
      </c>
      <c r="G60" s="7">
        <v>1</v>
      </c>
      <c r="H60" s="7">
        <v>-19.848852693832892</v>
      </c>
      <c r="I60" s="7">
        <v>76.92307692307692</v>
      </c>
      <c r="J60" s="7">
        <v>86.284645569169584</v>
      </c>
      <c r="K60" s="7">
        <v>14.568902785902051</v>
      </c>
      <c r="L60" s="6" t="str">
        <v>Zone3</v>
      </c>
      <c r="M60" s="6">
        <v>23</v>
      </c>
    </row>
    <row r="61" spans="1:13" x14ac:dyDescent="0.35">
      <c r="A61" s="4">
        <v>60</v>
      </c>
      <c r="B61" s="7">
        <v>8.6066296582387043</v>
      </c>
      <c r="C61" s="7">
        <f>VLOOKUP(A61,Data!$A$2:$K$70,11,0)</f>
        <v>705</v>
      </c>
      <c r="D61" s="7">
        <v>5.1639777949432224</v>
      </c>
      <c r="E61" s="7">
        <v>5.1639777949432224</v>
      </c>
      <c r="F61" s="7">
        <v>20.994622256553111</v>
      </c>
      <c r="G61" s="7">
        <v>1</v>
      </c>
      <c r="H61" s="7">
        <v>-18.69474079795889</v>
      </c>
      <c r="I61" s="7">
        <v>74.074074074074076</v>
      </c>
      <c r="J61" s="7">
        <v>53.197037206572247</v>
      </c>
      <c r="K61" s="7">
        <v>12.994185352009426</v>
      </c>
      <c r="L61" s="6" t="str">
        <v>Zone3</v>
      </c>
      <c r="M61" s="6">
        <v>22</v>
      </c>
    </row>
    <row r="62" spans="1:13" x14ac:dyDescent="0.35">
      <c r="A62" s="4">
        <v>61</v>
      </c>
      <c r="B62" s="7">
        <v>8.4087496518252181</v>
      </c>
      <c r="C62" s="7">
        <f>VLOOKUP(A62,Data!$A$2:$K$70,11,0)</f>
        <v>700</v>
      </c>
      <c r="D62" s="7">
        <v>4.624812308503869</v>
      </c>
      <c r="E62" s="7">
        <v>4.6248123085038699</v>
      </c>
      <c r="F62" s="7">
        <v>17.805180172563293</v>
      </c>
      <c r="G62" s="7">
        <v>1</v>
      </c>
      <c r="H62" s="7">
        <v>-18.231640717791844</v>
      </c>
      <c r="I62" s="7">
        <v>70.707070707070713</v>
      </c>
      <c r="J62" s="7">
        <v>49.564440434362666</v>
      </c>
      <c r="K62" s="7">
        <v>12.635921225148289</v>
      </c>
      <c r="L62" s="6" t="str">
        <v>Zone3</v>
      </c>
      <c r="M62" s="6">
        <v>20</v>
      </c>
    </row>
    <row r="63" spans="1:13" x14ac:dyDescent="0.35">
      <c r="A63" s="4">
        <v>62</v>
      </c>
      <c r="B63" s="7">
        <v>6.6666666666666661</v>
      </c>
      <c r="C63" s="7">
        <f>VLOOKUP(A63,Data!$A$2:$K$70,11,0)</f>
        <v>695</v>
      </c>
      <c r="D63" s="7">
        <v>5</v>
      </c>
      <c r="E63" s="7">
        <v>5</v>
      </c>
      <c r="F63" s="7">
        <v>20</v>
      </c>
      <c r="G63" s="7">
        <v>1</v>
      </c>
      <c r="H63" s="7">
        <v>-14.666666666666666</v>
      </c>
      <c r="I63" s="7">
        <v>44.444444444444436</v>
      </c>
      <c r="J63" s="7">
        <v>37.333333333333343</v>
      </c>
      <c r="K63" s="7">
        <v>10.388383796637227</v>
      </c>
      <c r="L63" s="6" t="str">
        <v>Zone3</v>
      </c>
      <c r="M63" s="6">
        <v>27</v>
      </c>
    </row>
    <row r="64" spans="1:13" x14ac:dyDescent="0.35">
      <c r="A64" s="4">
        <v>63</v>
      </c>
      <c r="B64" s="7">
        <v>7.8567420131838608</v>
      </c>
      <c r="C64" s="7">
        <f>VLOOKUP(A64,Data!$A$2:$K$70,11,0)</f>
        <v>690</v>
      </c>
      <c r="D64" s="7">
        <v>3.5355339059327382</v>
      </c>
      <c r="E64" s="7">
        <v>3.5355339059327373</v>
      </c>
      <c r="F64" s="7">
        <v>12.071067811865476</v>
      </c>
      <c r="G64" s="7">
        <v>1</v>
      </c>
      <c r="H64" s="7">
        <v>-16.94805192760229</v>
      </c>
      <c r="I64" s="7">
        <v>61.728395061728392</v>
      </c>
      <c r="J64" s="7">
        <v>40.322883893790106</v>
      </c>
      <c r="K64" s="7">
        <v>11.649041077693916</v>
      </c>
      <c r="L64" s="6" t="str">
        <v>Zone3</v>
      </c>
      <c r="M64" s="6">
        <v>16</v>
      </c>
    </row>
    <row r="65" spans="1:13" x14ac:dyDescent="0.35">
      <c r="A65" s="4">
        <v>64</v>
      </c>
      <c r="B65" s="7">
        <v>5.9761430466719681</v>
      </c>
      <c r="C65" s="7">
        <f>VLOOKUP(A65,Data!$A$2:$K$70,11,0)</f>
        <v>685</v>
      </c>
      <c r="D65" s="7">
        <v>4.1833001326703778</v>
      </c>
      <c r="E65" s="7">
        <v>4.1833001326703778</v>
      </c>
      <c r="F65" s="7">
        <v>15.366600265340757</v>
      </c>
      <c r="G65" s="7">
        <v>1</v>
      </c>
      <c r="H65" s="7">
        <v>-13.023714664772511</v>
      </c>
      <c r="I65" s="7">
        <v>35.714285714285715</v>
      </c>
      <c r="J65" s="7">
        <v>26.760000812267691</v>
      </c>
      <c r="K65" s="7">
        <v>9.0983608029168721</v>
      </c>
      <c r="L65" s="6" t="str">
        <v>Zone3</v>
      </c>
      <c r="M65" s="6">
        <v>25</v>
      </c>
    </row>
    <row r="66" spans="1:13" x14ac:dyDescent="0.35">
      <c r="A66" s="4">
        <v>65</v>
      </c>
      <c r="B66" s="7">
        <v>6.666666666666667</v>
      </c>
      <c r="C66" s="7">
        <f>VLOOKUP(A66,Data!$A$2:$K$70,11,0)</f>
        <v>680</v>
      </c>
      <c r="D66" s="7">
        <v>3.333333333333333</v>
      </c>
      <c r="E66" s="7">
        <v>3.3333333333333335</v>
      </c>
      <c r="F66" s="7">
        <v>11.111111111111111</v>
      </c>
      <c r="G66" s="7">
        <v>1</v>
      </c>
      <c r="H66" s="7">
        <v>-14.222222222222221</v>
      </c>
      <c r="I66" s="7">
        <v>44.444444444444443</v>
      </c>
      <c r="J66" s="7">
        <v>24.493827160493822</v>
      </c>
      <c r="K66" s="7">
        <v>9.585673050146676</v>
      </c>
      <c r="L66" s="6" t="str">
        <v>Zone3</v>
      </c>
      <c r="M66" s="6">
        <v>18</v>
      </c>
    </row>
    <row r="67" spans="1:13" x14ac:dyDescent="0.35">
      <c r="A67" s="4">
        <v>66</v>
      </c>
      <c r="B67" s="7">
        <v>6.9721668877839633</v>
      </c>
      <c r="C67" s="7">
        <f>VLOOKUP(A67,Data!$A$2:$K$70,11,0)</f>
        <v>675</v>
      </c>
      <c r="D67" s="7">
        <v>2.7888667551135851</v>
      </c>
      <c r="E67" s="7">
        <v>2.7888667551135855</v>
      </c>
      <c r="F67" s="7">
        <v>8.6888446213382817</v>
      </c>
      <c r="G67" s="7">
        <v>1</v>
      </c>
      <c r="H67" s="7">
        <v>-14.916555997790148</v>
      </c>
      <c r="I67" s="7">
        <v>48.611111111111114</v>
      </c>
      <c r="J67" s="7">
        <v>28.059198390764777</v>
      </c>
      <c r="K67" s="7">
        <v>10.106824694290719</v>
      </c>
      <c r="L67" s="6" t="str">
        <v>Zone3</v>
      </c>
      <c r="M67" s="6">
        <v>14</v>
      </c>
    </row>
    <row r="68" spans="1:13" x14ac:dyDescent="0.35">
      <c r="A68" s="4">
        <v>67</v>
      </c>
      <c r="B68" s="7">
        <v>5.0636968354183329</v>
      </c>
      <c r="C68" s="7">
        <f>VLOOKUP(A68,Data!$A$2:$K$70,11,0)</f>
        <v>670</v>
      </c>
      <c r="D68" s="7">
        <v>3.2914029430219163</v>
      </c>
      <c r="E68" s="7">
        <v>3.2914029430219167</v>
      </c>
      <c r="F68" s="7">
        <v>10.916139219377166</v>
      </c>
      <c r="G68" s="7">
        <v>1</v>
      </c>
      <c r="H68" s="7">
        <v>-10.896624440067436</v>
      </c>
      <c r="I68" s="7">
        <v>25.641025641025635</v>
      </c>
      <c r="J68" s="7">
        <v>16.172321623772419</v>
      </c>
      <c r="K68" s="7">
        <v>7.459053477864547</v>
      </c>
      <c r="L68" s="6" t="str">
        <v>Zone3</v>
      </c>
      <c r="M68" s="6">
        <v>23</v>
      </c>
    </row>
    <row r="69" spans="1:13" x14ac:dyDescent="0.35">
      <c r="A69" s="4">
        <v>68</v>
      </c>
      <c r="B69" s="7">
        <v>4.8112522432468818</v>
      </c>
      <c r="C69" s="7">
        <f>VLOOKUP(A69,Data!$A$2:$K$70,11,0)</f>
        <v>665</v>
      </c>
      <c r="D69" s="7">
        <v>2.8867513459481287</v>
      </c>
      <c r="E69" s="7">
        <v>2.8867513459481291</v>
      </c>
      <c r="F69" s="7">
        <v>9.1068360252295903</v>
      </c>
      <c r="G69" s="7">
        <v>1</v>
      </c>
      <c r="H69" s="7">
        <v>-10.085467449456726</v>
      </c>
      <c r="I69" s="7">
        <v>23.148148148148149</v>
      </c>
      <c r="J69" s="7">
        <v>9.1240610814585494</v>
      </c>
      <c r="K69" s="7">
        <v>6.5530367639773202</v>
      </c>
      <c r="L69" s="6" t="str">
        <v>Zone3</v>
      </c>
      <c r="M69" s="6">
        <v>22</v>
      </c>
    </row>
    <row r="70" spans="1:13" x14ac:dyDescent="0.35">
      <c r="A70" s="4">
        <v>69</v>
      </c>
      <c r="B70" s="7">
        <v>4.7673129462279613</v>
      </c>
      <c r="C70" s="7">
        <f>VLOOKUP(A70,Data!$A$2:$K$70,11,0)</f>
        <v>660</v>
      </c>
      <c r="D70" s="7">
        <v>2.6220221204253789</v>
      </c>
      <c r="E70" s="7">
        <v>2.6220221204253789</v>
      </c>
      <c r="F70" s="7">
        <v>7.9940442408507586</v>
      </c>
      <c r="G70" s="7">
        <v>1</v>
      </c>
      <c r="H70" s="7">
        <v>-9.9891713470013777</v>
      </c>
      <c r="I70" s="7">
        <v>22.727272727272727</v>
      </c>
      <c r="J70" s="7">
        <v>8.8744532906624158</v>
      </c>
      <c r="K70" s="7">
        <v>6.4840867049422934</v>
      </c>
      <c r="L70" s="6" t="str">
        <v>Zone3</v>
      </c>
      <c r="M70" s="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EA74-2349-4246-B2D9-25C3D020D291}">
  <dimension ref="A1:E70"/>
  <sheetViews>
    <sheetView workbookViewId="0">
      <selection activeCell="G16" sqref="G16"/>
    </sheetView>
  </sheetViews>
  <sheetFormatPr defaultRowHeight="14.5" x14ac:dyDescent="0.35"/>
  <sheetData>
    <row r="1" spans="1:5" ht="66" x14ac:dyDescent="0.35">
      <c r="A1" s="5" t="s">
        <v>79</v>
      </c>
      <c r="B1" s="5" t="s">
        <v>95</v>
      </c>
      <c r="C1" s="5" t="s">
        <v>94</v>
      </c>
      <c r="D1" s="5" t="s">
        <v>93</v>
      </c>
      <c r="E1" s="5" t="s">
        <v>92</v>
      </c>
    </row>
    <row r="2" spans="1:5" x14ac:dyDescent="0.35">
      <c r="A2" s="4">
        <v>1</v>
      </c>
      <c r="B2" s="7" cm="1">
        <f t="array" ref="B2:B70">EOQ/Daily_Demand</f>
        <v>3.2659863237109037</v>
      </c>
      <c r="C2" s="6">
        <f>VLOOKUP(A2,Data!$A$2:$K$70,8,0)</f>
        <v>2</v>
      </c>
      <c r="D2" s="8">
        <f t="shared" ref="D2:D33" si="0">1/B2</f>
        <v>0.30618621784789729</v>
      </c>
      <c r="E2" s="8" cm="1">
        <f t="array" ref="E2:E70">Daily_Demand*Lead_Time__Days</f>
        <v>375</v>
      </c>
    </row>
    <row r="3" spans="1:5" x14ac:dyDescent="0.35">
      <c r="A3" s="4">
        <v>2</v>
      </c>
      <c r="B3" s="7">
        <v>0.2672612419124244</v>
      </c>
      <c r="C3" s="6">
        <f>VLOOKUP(A3,Data!$A$2:$K$70,8,0)</f>
        <v>3</v>
      </c>
      <c r="D3" s="8">
        <f t="shared" si="0"/>
        <v>3.7416573867739413</v>
      </c>
      <c r="E3" s="8">
        <v>420</v>
      </c>
    </row>
    <row r="4" spans="1:5" x14ac:dyDescent="0.35">
      <c r="A4" s="4">
        <v>3</v>
      </c>
      <c r="B4" s="7">
        <v>3.6115755925730761</v>
      </c>
      <c r="C4" s="6">
        <f>VLOOKUP(A4,Data!$A$2:$K$70,8,0)</f>
        <v>6</v>
      </c>
      <c r="D4" s="8">
        <f t="shared" si="0"/>
        <v>0.27688746209726917</v>
      </c>
      <c r="E4" s="8">
        <v>76.666666666666671</v>
      </c>
    </row>
    <row r="5" spans="1:5" x14ac:dyDescent="0.35">
      <c r="A5" s="4">
        <v>4</v>
      </c>
      <c r="B5" s="7">
        <v>3.2659863237109046</v>
      </c>
      <c r="C5" s="6">
        <f>VLOOKUP(A5,Data!$A$2:$K$70,8,0)</f>
        <v>7</v>
      </c>
      <c r="D5" s="8">
        <f t="shared" si="0"/>
        <v>0.30618621784789724</v>
      </c>
      <c r="E5" s="8">
        <v>87.5</v>
      </c>
    </row>
    <row r="6" spans="1:5" x14ac:dyDescent="0.35">
      <c r="A6" s="4">
        <v>5</v>
      </c>
      <c r="B6" s="7">
        <v>4.0451991747794525</v>
      </c>
      <c r="C6" s="6">
        <f>VLOOKUP(A6,Data!$A$2:$K$70,8,0)</f>
        <v>5</v>
      </c>
      <c r="D6" s="8">
        <f t="shared" si="0"/>
        <v>0.2472066162365221</v>
      </c>
      <c r="E6" s="8">
        <v>61.111111111111107</v>
      </c>
    </row>
    <row r="7" spans="1:5" x14ac:dyDescent="0.35">
      <c r="A7" s="4">
        <v>6</v>
      </c>
      <c r="B7" s="7">
        <v>3.9015365325741302</v>
      </c>
      <c r="C7" s="6">
        <f>VLOOKUP(A7,Data!$A$2:$K$70,8,0)</f>
        <v>6</v>
      </c>
      <c r="D7" s="8">
        <f t="shared" si="0"/>
        <v>0.25630927498716166</v>
      </c>
      <c r="E7" s="8">
        <v>71.666666666666671</v>
      </c>
    </row>
    <row r="8" spans="1:5" x14ac:dyDescent="0.35">
      <c r="A8" s="4">
        <v>7</v>
      </c>
      <c r="B8" s="7">
        <v>4.3643578047198472</v>
      </c>
      <c r="C8" s="6">
        <f>VLOOKUP(A8,Data!$A$2:$K$70,8,0)</f>
        <v>4</v>
      </c>
      <c r="D8" s="8">
        <f t="shared" si="0"/>
        <v>0.22912878474779202</v>
      </c>
      <c r="E8" s="8">
        <v>46.666666666666664</v>
      </c>
    </row>
    <row r="9" spans="1:5" x14ac:dyDescent="0.35">
      <c r="A9" s="4">
        <v>8</v>
      </c>
      <c r="B9" s="7">
        <v>3.5416880166057321</v>
      </c>
      <c r="C9" s="6">
        <f>VLOOKUP(A9,Data!$A$2:$K$70,8,0)</f>
        <v>6</v>
      </c>
      <c r="D9" s="8">
        <f t="shared" si="0"/>
        <v>0.28235123910162357</v>
      </c>
      <c r="E9" s="8">
        <v>68.333333333333343</v>
      </c>
    </row>
    <row r="10" spans="1:5" x14ac:dyDescent="0.35">
      <c r="A10" s="4">
        <v>9</v>
      </c>
      <c r="B10" s="7">
        <v>4.2426406871192857</v>
      </c>
      <c r="C10" s="6">
        <f>VLOOKUP(A10,Data!$A$2:$K$70,8,0)</f>
        <v>5</v>
      </c>
      <c r="D10" s="8">
        <f t="shared" si="0"/>
        <v>0.23570226039551581</v>
      </c>
      <c r="E10" s="8">
        <v>55.555555555555557</v>
      </c>
    </row>
    <row r="11" spans="1:5" x14ac:dyDescent="0.35">
      <c r="A11" s="4">
        <v>10</v>
      </c>
      <c r="B11" s="7">
        <v>4.8038446141526139</v>
      </c>
      <c r="C11" s="6">
        <f>VLOOKUP(A11,Data!$A$2:$K$70,8,0)</f>
        <v>4</v>
      </c>
      <c r="D11" s="8">
        <f t="shared" si="0"/>
        <v>0.20816659994661327</v>
      </c>
      <c r="E11" s="8">
        <v>43.333333333333336</v>
      </c>
    </row>
    <row r="12" spans="1:5" x14ac:dyDescent="0.35">
      <c r="A12" s="4">
        <v>11</v>
      </c>
      <c r="B12" s="7">
        <v>3.8177085778546664</v>
      </c>
      <c r="C12" s="6">
        <f>VLOOKUP(A12,Data!$A$2:$K$70,8,0)</f>
        <v>6</v>
      </c>
      <c r="D12" s="8">
        <f t="shared" si="0"/>
        <v>0.26193722742502851</v>
      </c>
      <c r="E12" s="8">
        <v>63.333333333333329</v>
      </c>
    </row>
    <row r="13" spans="1:5" x14ac:dyDescent="0.35">
      <c r="A13" s="4">
        <v>12</v>
      </c>
      <c r="B13" s="7">
        <v>4.026936331284146</v>
      </c>
      <c r="C13" s="6">
        <f>VLOOKUP(A13,Data!$A$2:$K$70,8,0)</f>
        <v>5</v>
      </c>
      <c r="D13" s="8">
        <f t="shared" si="0"/>
        <v>0.24832774042918898</v>
      </c>
      <c r="E13" s="8">
        <v>51.388888888888893</v>
      </c>
    </row>
    <row r="14" spans="1:5" x14ac:dyDescent="0.35">
      <c r="A14" s="4">
        <v>13</v>
      </c>
      <c r="B14" s="7">
        <v>4.2640143271122088</v>
      </c>
      <c r="C14" s="6">
        <f>VLOOKUP(A14,Data!$A$2:$K$70,8,0)</f>
        <v>6</v>
      </c>
      <c r="D14" s="8">
        <f t="shared" si="0"/>
        <v>0.23452078799117146</v>
      </c>
      <c r="E14" s="8">
        <v>60</v>
      </c>
    </row>
    <row r="15" spans="1:5" x14ac:dyDescent="0.35">
      <c r="A15" s="4">
        <v>14</v>
      </c>
      <c r="B15" s="7">
        <v>3.7032803990902061</v>
      </c>
      <c r="C15" s="6">
        <f>VLOOKUP(A15,Data!$A$2:$K$70,8,0)</f>
        <v>7</v>
      </c>
      <c r="D15" s="8">
        <f t="shared" si="0"/>
        <v>0.27003086243366081</v>
      </c>
      <c r="E15" s="8">
        <v>68.055555555555543</v>
      </c>
    </row>
    <row r="16" spans="1:5" x14ac:dyDescent="0.35">
      <c r="A16" s="4">
        <v>15</v>
      </c>
      <c r="B16" s="7">
        <v>4.8507125007266589</v>
      </c>
      <c r="C16" s="6">
        <f>VLOOKUP(A16,Data!$A$2:$K$70,8,0)</f>
        <v>4</v>
      </c>
      <c r="D16" s="8">
        <f t="shared" si="0"/>
        <v>0.20615528128088306</v>
      </c>
      <c r="E16" s="8">
        <v>37.777777777777779</v>
      </c>
    </row>
    <row r="17" spans="1:5" x14ac:dyDescent="0.35">
      <c r="A17" s="4">
        <v>16</v>
      </c>
      <c r="B17" s="7">
        <v>3.9477101697586146</v>
      </c>
      <c r="C17" s="6">
        <f>VLOOKUP(A17,Data!$A$2:$K$70,8,0)</f>
        <v>5</v>
      </c>
      <c r="D17" s="8">
        <f t="shared" si="0"/>
        <v>0.25331140255951101</v>
      </c>
      <c r="E17" s="8">
        <v>45.833333333333329</v>
      </c>
    </row>
    <row r="18" spans="1:5" x14ac:dyDescent="0.35">
      <c r="A18" s="4">
        <v>17</v>
      </c>
      <c r="B18" s="7">
        <v>4.7434164902525691</v>
      </c>
      <c r="C18" s="6">
        <f>VLOOKUP(A18,Data!$A$2:$K$70,8,0)</f>
        <v>5</v>
      </c>
      <c r="D18" s="8">
        <f t="shared" si="0"/>
        <v>0.21081851067789195</v>
      </c>
      <c r="E18" s="8">
        <v>44.444444444444443</v>
      </c>
    </row>
    <row r="19" spans="1:5" x14ac:dyDescent="0.35">
      <c r="A19" s="4">
        <v>18</v>
      </c>
      <c r="B19" s="7">
        <v>5.3881590608032468</v>
      </c>
      <c r="C19" s="6">
        <f>VLOOKUP(A19,Data!$A$2:$K$70,8,0)</f>
        <v>4</v>
      </c>
      <c r="D19" s="8">
        <f t="shared" si="0"/>
        <v>0.18559214542766742</v>
      </c>
      <c r="E19" s="8">
        <v>34.444444444444443</v>
      </c>
    </row>
    <row r="20" spans="1:5" x14ac:dyDescent="0.35">
      <c r="A20" s="4">
        <v>19</v>
      </c>
      <c r="B20" s="7">
        <v>4.4721359549995787</v>
      </c>
      <c r="C20" s="6">
        <f>VLOOKUP(A20,Data!$A$2:$K$70,8,0)</f>
        <v>6</v>
      </c>
      <c r="D20" s="8">
        <f t="shared" si="0"/>
        <v>0.22360679774997899</v>
      </c>
      <c r="E20" s="8">
        <v>50</v>
      </c>
    </row>
    <row r="21" spans="1:5" x14ac:dyDescent="0.35">
      <c r="A21" s="4">
        <v>20</v>
      </c>
      <c r="B21" s="7">
        <v>4.0683810217248624</v>
      </c>
      <c r="C21" s="6">
        <f>VLOOKUP(A21,Data!$A$2:$K$70,8,0)</f>
        <v>7</v>
      </c>
      <c r="D21" s="8">
        <f t="shared" si="0"/>
        <v>0.24579802006254375</v>
      </c>
      <c r="E21" s="8">
        <v>56.388888888888886</v>
      </c>
    </row>
    <row r="22" spans="1:5" x14ac:dyDescent="0.35">
      <c r="A22" s="4">
        <v>21</v>
      </c>
      <c r="B22" s="7">
        <v>5.0709255283710988</v>
      </c>
      <c r="C22" s="6">
        <f>VLOOKUP(A22,Data!$A$2:$K$70,8,0)</f>
        <v>5</v>
      </c>
      <c r="D22" s="8">
        <f t="shared" si="0"/>
        <v>0.19720265943665388</v>
      </c>
      <c r="E22" s="8">
        <v>38.888888888888886</v>
      </c>
    </row>
    <row r="23" spans="1:5" x14ac:dyDescent="0.35">
      <c r="A23" s="4">
        <v>22</v>
      </c>
      <c r="B23" s="7">
        <v>4.9236596391733087</v>
      </c>
      <c r="C23" s="6">
        <f>VLOOKUP(A23,Data!$A$2:$K$70,8,0)</f>
        <v>6</v>
      </c>
      <c r="D23" s="8">
        <f t="shared" si="0"/>
        <v>0.20310096011589904</v>
      </c>
      <c r="E23" s="8">
        <v>45</v>
      </c>
    </row>
    <row r="24" spans="1:5" x14ac:dyDescent="0.35">
      <c r="A24" s="4">
        <v>23</v>
      </c>
      <c r="B24" s="7">
        <v>5.547001962252291</v>
      </c>
      <c r="C24" s="6">
        <f>VLOOKUP(A24,Data!$A$2:$K$70,8,0)</f>
        <v>4</v>
      </c>
      <c r="D24" s="8">
        <f t="shared" si="0"/>
        <v>0.18027756377319948</v>
      </c>
      <c r="E24" s="8">
        <v>28.888888888888889</v>
      </c>
    </row>
    <row r="25" spans="1:5" x14ac:dyDescent="0.35">
      <c r="A25" s="4">
        <v>24</v>
      </c>
      <c r="B25" s="7">
        <v>4.5355736761107268</v>
      </c>
      <c r="C25" s="6">
        <f>VLOOKUP(A25,Data!$A$2:$K$70,8,0)</f>
        <v>6</v>
      </c>
      <c r="D25" s="8">
        <f t="shared" si="0"/>
        <v>0.22047927592204922</v>
      </c>
      <c r="E25" s="8">
        <v>41.666666666666671</v>
      </c>
    </row>
    <row r="26" spans="1:5" x14ac:dyDescent="0.35">
      <c r="A26" s="4">
        <v>25</v>
      </c>
      <c r="B26" s="7">
        <v>5.4772255750516612</v>
      </c>
      <c r="C26" s="6">
        <f>VLOOKUP(A26,Data!$A$2:$K$70,8,0)</f>
        <v>5</v>
      </c>
      <c r="D26" s="8">
        <f t="shared" si="0"/>
        <v>0.18257418583505536</v>
      </c>
      <c r="E26" s="8">
        <v>33.333333333333336</v>
      </c>
    </row>
    <row r="27" spans="1:5" x14ac:dyDescent="0.35">
      <c r="A27" s="4">
        <v>26</v>
      </c>
      <c r="B27" s="7">
        <v>6.2554324217122419</v>
      </c>
      <c r="C27" s="6">
        <f>VLOOKUP(A27,Data!$A$2:$K$70,8,0)</f>
        <v>4</v>
      </c>
      <c r="D27" s="8">
        <f t="shared" si="0"/>
        <v>0.15986105077709067</v>
      </c>
      <c r="E27" s="8">
        <v>25.555555555555557</v>
      </c>
    </row>
    <row r="28" spans="1:5" x14ac:dyDescent="0.35">
      <c r="A28" s="4">
        <v>27</v>
      </c>
      <c r="B28" s="7">
        <v>5.0174520600425447</v>
      </c>
      <c r="C28" s="6">
        <f>VLOOKUP(A28,Data!$A$2:$K$70,8,0)</f>
        <v>6</v>
      </c>
      <c r="D28" s="8">
        <f t="shared" si="0"/>
        <v>0.19930434571835662</v>
      </c>
      <c r="E28" s="8">
        <v>36.666666666666664</v>
      </c>
    </row>
    <row r="29" spans="1:5" x14ac:dyDescent="0.35">
      <c r="A29" s="4">
        <v>28</v>
      </c>
      <c r="B29" s="7">
        <v>5.3452248382484884</v>
      </c>
      <c r="C29" s="6">
        <f>VLOOKUP(A29,Data!$A$2:$K$70,8,0)</f>
        <v>5</v>
      </c>
      <c r="D29" s="8">
        <f t="shared" si="0"/>
        <v>0.18708286933869706</v>
      </c>
      <c r="E29" s="8">
        <v>29.166666666666664</v>
      </c>
    </row>
    <row r="30" spans="1:5" x14ac:dyDescent="0.35">
      <c r="A30" s="4">
        <v>29</v>
      </c>
      <c r="B30" s="7">
        <v>5.7207755354735541</v>
      </c>
      <c r="C30" s="6">
        <f>VLOOKUP(A30,Data!$A$2:$K$70,8,0)</f>
        <v>6</v>
      </c>
      <c r="D30" s="8">
        <f t="shared" si="0"/>
        <v>0.17480147469502524</v>
      </c>
      <c r="E30" s="8">
        <v>33.333333333333329</v>
      </c>
    </row>
    <row r="31" spans="1:5" x14ac:dyDescent="0.35">
      <c r="A31" s="4">
        <v>30</v>
      </c>
      <c r="B31" s="7">
        <v>5.0262468995003458</v>
      </c>
      <c r="C31" s="6">
        <f>VLOOKUP(A31,Data!$A$2:$K$70,8,0)</f>
        <v>7</v>
      </c>
      <c r="D31" s="8">
        <f t="shared" si="0"/>
        <v>0.19895560643855537</v>
      </c>
      <c r="E31" s="8">
        <v>36.944444444444443</v>
      </c>
    </row>
    <row r="32" spans="1:5" x14ac:dyDescent="0.35">
      <c r="A32" s="4">
        <v>31</v>
      </c>
      <c r="B32" s="7">
        <v>6.666666666666667</v>
      </c>
      <c r="C32" s="6">
        <f>VLOOKUP(A32,Data!$A$2:$K$70,8,0)</f>
        <v>4</v>
      </c>
      <c r="D32" s="8">
        <f t="shared" si="0"/>
        <v>0.15</v>
      </c>
      <c r="E32" s="8">
        <v>20</v>
      </c>
    </row>
    <row r="33" spans="1:5" x14ac:dyDescent="0.35">
      <c r="A33" s="4">
        <v>32</v>
      </c>
      <c r="B33" s="7">
        <v>5.5001909821692685</v>
      </c>
      <c r="C33" s="6">
        <f>VLOOKUP(A33,Data!$A$2:$K$70,8,0)</f>
        <v>6</v>
      </c>
      <c r="D33" s="8">
        <f t="shared" si="0"/>
        <v>0.18181186857726189</v>
      </c>
      <c r="E33" s="8">
        <v>28.333333333333336</v>
      </c>
    </row>
    <row r="34" spans="1:5" x14ac:dyDescent="0.35">
      <c r="A34" s="4">
        <v>33</v>
      </c>
      <c r="B34" s="7">
        <v>6.7082039324993685</v>
      </c>
      <c r="C34" s="6">
        <f>VLOOKUP(A34,Data!$A$2:$K$70,8,0)</f>
        <v>5</v>
      </c>
      <c r="D34" s="8">
        <f t="shared" ref="D34:D70" si="1">1/B34</f>
        <v>0.14907119849998599</v>
      </c>
      <c r="E34" s="8">
        <v>22.222222222222221</v>
      </c>
    </row>
    <row r="35" spans="1:5" x14ac:dyDescent="0.35">
      <c r="A35" s="4">
        <v>34</v>
      </c>
      <c r="B35" s="7">
        <v>7.745966692414834</v>
      </c>
      <c r="C35" s="6">
        <f>VLOOKUP(A35,Data!$A$2:$K$70,8,0)</f>
        <v>4</v>
      </c>
      <c r="D35" s="8">
        <f t="shared" si="1"/>
        <v>0.12909944487358055</v>
      </c>
      <c r="E35" s="8">
        <v>16.666666666666668</v>
      </c>
    </row>
    <row r="36" spans="1:5" x14ac:dyDescent="0.35">
      <c r="A36" s="4">
        <v>35</v>
      </c>
      <c r="B36" s="7">
        <v>6.5465367070797713</v>
      </c>
      <c r="C36" s="6">
        <f>VLOOKUP(A36,Data!$A$2:$K$70,8,0)</f>
        <v>6</v>
      </c>
      <c r="D36" s="8">
        <f t="shared" si="1"/>
        <v>0.15275252316519466</v>
      </c>
      <c r="E36" s="8">
        <v>23.333333333333332</v>
      </c>
    </row>
    <row r="37" spans="1:5" x14ac:dyDescent="0.35">
      <c r="A37" s="4">
        <v>36</v>
      </c>
      <c r="B37" s="7">
        <v>6.0764362025019993</v>
      </c>
      <c r="C37" s="6">
        <f>VLOOKUP(A37,Data!$A$2:$K$70,8,0)</f>
        <v>7</v>
      </c>
      <c r="D37" s="8">
        <f t="shared" si="1"/>
        <v>0.16457014715109583</v>
      </c>
      <c r="E37" s="8">
        <v>25.277777777777779</v>
      </c>
    </row>
    <row r="38" spans="1:5" x14ac:dyDescent="0.35">
      <c r="A38" s="4">
        <v>37</v>
      </c>
      <c r="B38" s="7">
        <v>7.745966692414834</v>
      </c>
      <c r="C38" s="6">
        <f>VLOOKUP(A38,Data!$A$2:$K$70,8,0)</f>
        <v>5</v>
      </c>
      <c r="D38" s="8">
        <f t="shared" si="1"/>
        <v>0.12909944487358055</v>
      </c>
      <c r="E38" s="8">
        <v>16.666666666666668</v>
      </c>
    </row>
    <row r="39" spans="1:5" x14ac:dyDescent="0.35">
      <c r="A39" s="4">
        <v>38</v>
      </c>
      <c r="B39" s="7">
        <v>7.7138921583987008</v>
      </c>
      <c r="C39" s="6">
        <f>VLOOKUP(A39,Data!$A$2:$K$70,8,0)</f>
        <v>6</v>
      </c>
      <c r="D39" s="8">
        <f t="shared" si="1"/>
        <v>0.1296362432175337</v>
      </c>
      <c r="E39" s="8">
        <v>18.333333333333332</v>
      </c>
    </row>
    <row r="40" spans="1:5" x14ac:dyDescent="0.35">
      <c r="A40" s="4">
        <v>39</v>
      </c>
      <c r="B40" s="7">
        <v>8.9442719099991592</v>
      </c>
      <c r="C40" s="6">
        <f>VLOOKUP(A40,Data!$A$2:$K$70,8,0)</f>
        <v>4</v>
      </c>
      <c r="D40" s="8">
        <f t="shared" si="1"/>
        <v>0.11180339887498948</v>
      </c>
      <c r="E40" s="8">
        <v>11.111111111111111</v>
      </c>
    </row>
    <row r="41" spans="1:5" x14ac:dyDescent="0.35">
      <c r="A41" s="4">
        <v>40</v>
      </c>
      <c r="B41" s="7">
        <v>7.3576720738195895</v>
      </c>
      <c r="C41" s="6">
        <f>VLOOKUP(A41,Data!$A$2:$K$70,8,0)</f>
        <v>6</v>
      </c>
      <c r="D41" s="8">
        <f t="shared" si="1"/>
        <v>0.13591255358583409</v>
      </c>
      <c r="E41" s="8">
        <v>15.833333333333332</v>
      </c>
    </row>
    <row r="42" spans="1:5" x14ac:dyDescent="0.35">
      <c r="A42" s="4">
        <v>41</v>
      </c>
      <c r="B42" s="7">
        <v>8.9442719099991592</v>
      </c>
      <c r="C42" s="6">
        <f>VLOOKUP(A42,Data!$A$2:$K$70,8,0)</f>
        <v>5</v>
      </c>
      <c r="D42" s="8">
        <f t="shared" si="1"/>
        <v>0.11180339887498948</v>
      </c>
      <c r="E42" s="8">
        <v>12.5</v>
      </c>
    </row>
    <row r="43" spans="1:5" x14ac:dyDescent="0.35">
      <c r="A43" s="4">
        <v>42</v>
      </c>
      <c r="B43" s="7">
        <v>10.289915108550529</v>
      </c>
      <c r="C43" s="6">
        <f>VLOOKUP(A43,Data!$A$2:$K$70,8,0)</f>
        <v>4</v>
      </c>
      <c r="D43" s="8">
        <f t="shared" si="1"/>
        <v>9.7182531580755016E-2</v>
      </c>
      <c r="E43" s="8">
        <v>9.4444444444444446</v>
      </c>
    </row>
    <row r="44" spans="1:5" x14ac:dyDescent="0.35">
      <c r="A44" s="4">
        <v>43</v>
      </c>
      <c r="B44" s="7">
        <v>8.3205029433784361</v>
      </c>
      <c r="C44" s="6">
        <f>VLOOKUP(A44,Data!$A$2:$K$70,8,0)</f>
        <v>6</v>
      </c>
      <c r="D44" s="8">
        <f t="shared" si="1"/>
        <v>0.12018504251546631</v>
      </c>
      <c r="E44" s="8">
        <v>13.333333333333334</v>
      </c>
    </row>
    <row r="45" spans="1:5" x14ac:dyDescent="0.35">
      <c r="A45" s="4">
        <v>44</v>
      </c>
      <c r="B45" s="7">
        <v>8.9442719099991574</v>
      </c>
      <c r="C45" s="6">
        <f>VLOOKUP(A45,Data!$A$2:$K$70,8,0)</f>
        <v>5</v>
      </c>
      <c r="D45" s="8">
        <f t="shared" si="1"/>
        <v>0.1118033988749895</v>
      </c>
      <c r="E45" s="8">
        <v>10.416666666666668</v>
      </c>
    </row>
    <row r="46" spans="1:5" x14ac:dyDescent="0.35">
      <c r="A46" s="4">
        <v>45</v>
      </c>
      <c r="B46" s="7">
        <v>9.6698755683045636</v>
      </c>
      <c r="C46" s="6">
        <f>VLOOKUP(A46,Data!$A$2:$K$70,8,0)</f>
        <v>6</v>
      </c>
      <c r="D46" s="8">
        <f t="shared" si="1"/>
        <v>0.10341394704992381</v>
      </c>
      <c r="E46" s="8">
        <v>11.666666666666666</v>
      </c>
    </row>
    <row r="47" spans="1:5" x14ac:dyDescent="0.35">
      <c r="A47" s="4">
        <v>46</v>
      </c>
      <c r="B47" s="7">
        <v>8.5933784884731939</v>
      </c>
      <c r="C47" s="6">
        <f>VLOOKUP(A47,Data!$A$2:$K$70,8,0)</f>
        <v>7</v>
      </c>
      <c r="D47" s="8">
        <f t="shared" si="1"/>
        <v>0.11636866703140786</v>
      </c>
      <c r="E47" s="8">
        <v>12.638888888888889</v>
      </c>
    </row>
    <row r="48" spans="1:5" x14ac:dyDescent="0.35">
      <c r="A48" s="4">
        <v>47</v>
      </c>
      <c r="B48" s="7">
        <v>11.547005383792516</v>
      </c>
      <c r="C48" s="6">
        <f>VLOOKUP(A48,Data!$A$2:$K$70,8,0)</f>
        <v>4</v>
      </c>
      <c r="D48" s="8">
        <f t="shared" si="1"/>
        <v>8.6602540378443851E-2</v>
      </c>
      <c r="E48" s="8">
        <v>6.666666666666667</v>
      </c>
    </row>
    <row r="49" spans="1:5" x14ac:dyDescent="0.35">
      <c r="A49" s="4">
        <v>48</v>
      </c>
      <c r="B49" s="7">
        <v>9.6698755683045636</v>
      </c>
      <c r="C49" s="6">
        <f>VLOOKUP(A49,Data!$A$2:$K$70,8,0)</f>
        <v>6</v>
      </c>
      <c r="D49" s="8">
        <f t="shared" si="1"/>
        <v>0.10341394704992381</v>
      </c>
      <c r="E49" s="8">
        <v>9.1666666666666661</v>
      </c>
    </row>
    <row r="50" spans="1:5" x14ac:dyDescent="0.35">
      <c r="A50" s="4">
        <v>49</v>
      </c>
      <c r="B50" s="7">
        <v>12.000000000000002</v>
      </c>
      <c r="C50" s="6">
        <f>VLOOKUP(A50,Data!$A$2:$K$70,8,0)</f>
        <v>5</v>
      </c>
      <c r="D50" s="8">
        <f t="shared" si="1"/>
        <v>8.3333333333333315E-2</v>
      </c>
      <c r="E50" s="8">
        <v>6.9444444444444446</v>
      </c>
    </row>
    <row r="51" spans="1:5" x14ac:dyDescent="0.35">
      <c r="A51" s="4">
        <v>50</v>
      </c>
      <c r="B51" s="7">
        <v>14.142135623730951</v>
      </c>
      <c r="C51" s="6">
        <f>VLOOKUP(A51,Data!$A$2:$K$70,8,0)</f>
        <v>4</v>
      </c>
      <c r="D51" s="8">
        <f t="shared" si="1"/>
        <v>7.0710678118654752E-2</v>
      </c>
      <c r="E51" s="8">
        <v>5</v>
      </c>
    </row>
    <row r="52" spans="1:5" x14ac:dyDescent="0.35">
      <c r="A52" s="4">
        <v>51</v>
      </c>
      <c r="B52" s="7">
        <v>12.24744871391589</v>
      </c>
      <c r="C52" s="6">
        <f>VLOOKUP(A52,Data!$A$2:$K$70,8,0)</f>
        <v>6</v>
      </c>
      <c r="D52" s="8">
        <f t="shared" si="1"/>
        <v>8.1649658092772609E-2</v>
      </c>
      <c r="E52" s="8">
        <v>6.666666666666667</v>
      </c>
    </row>
    <row r="53" spans="1:5" x14ac:dyDescent="0.35">
      <c r="A53" s="4">
        <v>52</v>
      </c>
      <c r="B53" s="7">
        <v>11.710800875382398</v>
      </c>
      <c r="C53" s="6">
        <f>VLOOKUP(A53,Data!$A$2:$K$70,8,0)</f>
        <v>7</v>
      </c>
      <c r="D53" s="8">
        <f t="shared" si="1"/>
        <v>8.5391256382996647E-2</v>
      </c>
      <c r="E53" s="8">
        <v>6.8055555555555554</v>
      </c>
    </row>
    <row r="54" spans="1:5" x14ac:dyDescent="0.35">
      <c r="A54" s="4">
        <v>53</v>
      </c>
      <c r="B54" s="7">
        <v>15.491933384829668</v>
      </c>
      <c r="C54" s="6">
        <f>VLOOKUP(A54,Data!$A$2:$K$70,8,0)</f>
        <v>5</v>
      </c>
      <c r="D54" s="8">
        <f t="shared" si="1"/>
        <v>6.4549722436790274E-2</v>
      </c>
      <c r="E54" s="8">
        <v>4.166666666666667</v>
      </c>
    </row>
    <row r="55" spans="1:5" x14ac:dyDescent="0.35">
      <c r="A55" s="4">
        <v>54</v>
      </c>
      <c r="B55" s="7">
        <v>15.289415743128766</v>
      </c>
      <c r="C55" s="6">
        <f>VLOOKUP(A55,Data!$A$2:$K$70,8,0)</f>
        <v>6</v>
      </c>
      <c r="D55" s="8">
        <f t="shared" si="1"/>
        <v>6.5404722901161949E-2</v>
      </c>
      <c r="E55" s="8">
        <v>4.666666666666667</v>
      </c>
    </row>
    <row r="56" spans="1:5" x14ac:dyDescent="0.35">
      <c r="A56" s="4">
        <v>55</v>
      </c>
      <c r="B56" s="7">
        <v>17.541160386140582</v>
      </c>
      <c r="C56" s="6">
        <f>VLOOKUP(A56,Data!$A$2:$K$70,8,0)</f>
        <v>4</v>
      </c>
      <c r="D56" s="8">
        <f t="shared" si="1"/>
        <v>5.7008771254956903E-2</v>
      </c>
      <c r="E56" s="8">
        <v>2.8888888888888888</v>
      </c>
    </row>
    <row r="57" spans="1:5" x14ac:dyDescent="0.35">
      <c r="A57" s="4">
        <v>56</v>
      </c>
      <c r="B57" s="7">
        <v>14.638501094227998</v>
      </c>
      <c r="C57" s="6">
        <f>VLOOKUP(A57,Data!$A$2:$K$70,8,0)</f>
        <v>6</v>
      </c>
      <c r="D57" s="8">
        <f t="shared" si="1"/>
        <v>6.8313005106397318E-2</v>
      </c>
      <c r="E57" s="8">
        <v>4</v>
      </c>
    </row>
    <row r="58" spans="1:5" x14ac:dyDescent="0.35">
      <c r="A58" s="4">
        <v>57</v>
      </c>
      <c r="B58" s="7">
        <v>18.090680674665816</v>
      </c>
      <c r="C58" s="6">
        <f>VLOOKUP(A58,Data!$A$2:$K$70,8,0)</f>
        <v>5</v>
      </c>
      <c r="D58" s="8">
        <f t="shared" si="1"/>
        <v>5.5277079839256671E-2</v>
      </c>
      <c r="E58" s="8">
        <v>3.0555555555555558</v>
      </c>
    </row>
    <row r="59" spans="1:5" x14ac:dyDescent="0.35">
      <c r="A59" s="4">
        <v>58</v>
      </c>
      <c r="B59" s="7">
        <v>21.213203435596427</v>
      </c>
      <c r="C59" s="6">
        <f>VLOOKUP(A59,Data!$A$2:$K$70,8,0)</f>
        <v>4</v>
      </c>
      <c r="D59" s="8">
        <f t="shared" si="1"/>
        <v>4.7140452079103168E-2</v>
      </c>
      <c r="E59" s="8">
        <v>2.2222222222222223</v>
      </c>
    </row>
    <row r="60" spans="1:5" x14ac:dyDescent="0.35">
      <c r="A60" s="4">
        <v>59</v>
      </c>
      <c r="B60" s="7">
        <v>17.541160386140582</v>
      </c>
      <c r="C60" s="6">
        <f>VLOOKUP(A60,Data!$A$2:$K$70,8,0)</f>
        <v>6</v>
      </c>
      <c r="D60" s="8">
        <f t="shared" si="1"/>
        <v>5.7008771254956903E-2</v>
      </c>
      <c r="E60" s="8">
        <v>3</v>
      </c>
    </row>
    <row r="61" spans="1:5" x14ac:dyDescent="0.35">
      <c r="A61" s="4">
        <v>60</v>
      </c>
      <c r="B61" s="7">
        <v>19.364916731037084</v>
      </c>
      <c r="C61" s="6">
        <f>VLOOKUP(A61,Data!$A$2:$K$70,8,0)</f>
        <v>5</v>
      </c>
      <c r="D61" s="8">
        <f t="shared" si="1"/>
        <v>5.1639777949432225E-2</v>
      </c>
      <c r="E61" s="8">
        <v>2.2222222222222223</v>
      </c>
    </row>
    <row r="62" spans="1:5" x14ac:dyDescent="0.35">
      <c r="A62" s="4">
        <v>61</v>
      </c>
      <c r="B62" s="7">
        <v>21.622499104693418</v>
      </c>
      <c r="C62" s="6">
        <f>VLOOKUP(A62,Data!$A$2:$K$70,8,0)</f>
        <v>6</v>
      </c>
      <c r="D62" s="8">
        <f t="shared" si="1"/>
        <v>4.6248123085038687E-2</v>
      </c>
      <c r="E62" s="8">
        <v>2.3333333333333335</v>
      </c>
    </row>
    <row r="63" spans="1:5" x14ac:dyDescent="0.35">
      <c r="A63" s="4">
        <v>62</v>
      </c>
      <c r="B63" s="7">
        <v>20</v>
      </c>
      <c r="C63" s="6">
        <f>VLOOKUP(A63,Data!$A$2:$K$70,8,0)</f>
        <v>7</v>
      </c>
      <c r="D63" s="8">
        <f t="shared" si="1"/>
        <v>0.05</v>
      </c>
      <c r="E63" s="8">
        <v>2.333333333333333</v>
      </c>
    </row>
    <row r="64" spans="1:5" x14ac:dyDescent="0.35">
      <c r="A64" s="4">
        <v>63</v>
      </c>
      <c r="B64" s="7">
        <v>28.284271247461898</v>
      </c>
      <c r="C64" s="6">
        <f>VLOOKUP(A64,Data!$A$2:$K$70,8,0)</f>
        <v>4</v>
      </c>
      <c r="D64" s="8">
        <f t="shared" si="1"/>
        <v>3.5355339059327383E-2</v>
      </c>
      <c r="E64" s="8">
        <v>1.1111111111111112</v>
      </c>
    </row>
    <row r="65" spans="1:5" x14ac:dyDescent="0.35">
      <c r="A65" s="4">
        <v>64</v>
      </c>
      <c r="B65" s="7">
        <v>23.904572186687872</v>
      </c>
      <c r="C65" s="6">
        <f>VLOOKUP(A65,Data!$A$2:$K$70,8,0)</f>
        <v>6</v>
      </c>
      <c r="D65" s="8">
        <f t="shared" si="1"/>
        <v>4.1833001326703777E-2</v>
      </c>
      <c r="E65" s="8">
        <v>1.5</v>
      </c>
    </row>
    <row r="66" spans="1:5" x14ac:dyDescent="0.35">
      <c r="A66" s="4">
        <v>65</v>
      </c>
      <c r="B66" s="7">
        <v>30.000000000000004</v>
      </c>
      <c r="C66" s="6">
        <f>VLOOKUP(A66,Data!$A$2:$K$70,8,0)</f>
        <v>5</v>
      </c>
      <c r="D66" s="8">
        <f t="shared" si="1"/>
        <v>3.3333333333333326E-2</v>
      </c>
      <c r="E66" s="8">
        <v>1.1111111111111112</v>
      </c>
    </row>
    <row r="67" spans="1:5" x14ac:dyDescent="0.35">
      <c r="A67" s="4">
        <v>66</v>
      </c>
      <c r="B67" s="7">
        <v>35.856858280031808</v>
      </c>
      <c r="C67" s="6">
        <f>VLOOKUP(A67,Data!$A$2:$K$70,8,0)</f>
        <v>4</v>
      </c>
      <c r="D67" s="8">
        <f t="shared" si="1"/>
        <v>2.7888667551135851E-2</v>
      </c>
      <c r="E67" s="8">
        <v>0.77777777777777779</v>
      </c>
    </row>
    <row r="68" spans="1:5" x14ac:dyDescent="0.35">
      <c r="A68" s="4">
        <v>67</v>
      </c>
      <c r="B68" s="7">
        <v>30.382181012509999</v>
      </c>
      <c r="C68" s="6">
        <f>VLOOKUP(A68,Data!$A$2:$K$70,8,0)</f>
        <v>6</v>
      </c>
      <c r="D68" s="8">
        <f t="shared" si="1"/>
        <v>3.2914029430219163E-2</v>
      </c>
      <c r="E68" s="8">
        <v>1</v>
      </c>
    </row>
    <row r="69" spans="1:5" x14ac:dyDescent="0.35">
      <c r="A69" s="4">
        <v>68</v>
      </c>
      <c r="B69" s="7">
        <v>34.641016151377549</v>
      </c>
      <c r="C69" s="6">
        <f>VLOOKUP(A69,Data!$A$2:$K$70,8,0)</f>
        <v>5</v>
      </c>
      <c r="D69" s="8">
        <f t="shared" si="1"/>
        <v>2.8867513459481284E-2</v>
      </c>
      <c r="E69" s="8">
        <v>0.69444444444444442</v>
      </c>
    </row>
    <row r="70" spans="1:5" x14ac:dyDescent="0.35">
      <c r="A70" s="4">
        <v>69</v>
      </c>
      <c r="B70" s="7">
        <v>38.13850356982369</v>
      </c>
      <c r="C70" s="6">
        <f>VLOOKUP(A70,Data!$A$2:$K$70,8,0)</f>
        <v>6</v>
      </c>
      <c r="D70" s="8">
        <f t="shared" si="1"/>
        <v>2.6220221204253789E-2</v>
      </c>
      <c r="E70" s="8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26E3-6CE9-4F12-90C7-BFD573631192}">
  <dimension ref="A1:J71"/>
  <sheetViews>
    <sheetView workbookViewId="0">
      <selection activeCell="N8" sqref="N8"/>
    </sheetView>
  </sheetViews>
  <sheetFormatPr defaultRowHeight="14.5" x14ac:dyDescent="0.35"/>
  <sheetData>
    <row r="1" spans="1:10" ht="66" x14ac:dyDescent="0.35">
      <c r="A1" s="5" t="s">
        <v>79</v>
      </c>
      <c r="B1" s="5" t="s">
        <v>104</v>
      </c>
      <c r="C1" s="5" t="s">
        <v>103</v>
      </c>
      <c r="D1" s="5" t="s">
        <v>102</v>
      </c>
      <c r="E1" s="5" t="s">
        <v>101</v>
      </c>
      <c r="F1" s="5" t="s">
        <v>100</v>
      </c>
      <c r="G1" s="5" t="s">
        <v>99</v>
      </c>
      <c r="H1" s="5" t="s">
        <v>98</v>
      </c>
      <c r="I1" s="5" t="s">
        <v>97</v>
      </c>
      <c r="J1" s="5" t="s">
        <v>96</v>
      </c>
    </row>
    <row r="2" spans="1:10" x14ac:dyDescent="0.35">
      <c r="A2" s="4">
        <v>2</v>
      </c>
      <c r="B2" s="9">
        <f>VLOOKUP(A2,Data!$A$2:$K$70,3,0)</f>
        <v>140</v>
      </c>
      <c r="C2" s="9">
        <f>VLOOKUP(A2,'Price BreakModel'!$A$2:$M$70,6,0)/B2</f>
        <v>17.336306209562125</v>
      </c>
      <c r="D2" s="9">
        <f t="shared" ref="D2:D33" si="0">B2*C2</f>
        <v>2427.0828693386975</v>
      </c>
      <c r="E2" s="13">
        <f>D2/'ABC analysis'!$D$71</f>
        <v>0.19905950543005543</v>
      </c>
      <c r="F2" s="12">
        <f t="shared" ref="F2:F33" si="1">RANK(D2,$D$2:$D$70,0)</f>
        <v>1</v>
      </c>
      <c r="G2" s="11">
        <f>E2</f>
        <v>0.19905950543005543</v>
      </c>
      <c r="H2" s="10" t="str">
        <f t="shared" ref="H2:H33" si="2">IF(G2&lt;=80%,"A",IF(G2&lt;=95%,"B","C"))</f>
        <v>A</v>
      </c>
      <c r="I2" s="9">
        <f t="shared" ref="I2:I33" si="3">D2/(B2/2)</f>
        <v>34.672612419124249</v>
      </c>
      <c r="J2" s="9">
        <f t="shared" ref="J2:J33" si="4">360/I2</f>
        <v>10.382834602951236</v>
      </c>
    </row>
    <row r="3" spans="1:10" x14ac:dyDescent="0.35">
      <c r="A3" s="4">
        <v>1</v>
      </c>
      <c r="B3" s="9">
        <f>VLOOKUP(A3,Data!$A$2:$K$70,3,0)</f>
        <v>187.5</v>
      </c>
      <c r="C3" s="9">
        <f>VLOOKUP(A3,'Price BreakModel'!$A$2:$M$70,6,0)/B3</f>
        <v>3.0653197264742182</v>
      </c>
      <c r="D3" s="9">
        <f t="shared" si="0"/>
        <v>574.7474487139159</v>
      </c>
      <c r="E3" s="13">
        <f>D3/'ABC analysis'!$D$71</f>
        <v>4.7138457583589234E-2</v>
      </c>
      <c r="F3" s="12">
        <f t="shared" si="1"/>
        <v>2</v>
      </c>
      <c r="G3" s="11">
        <f t="shared" ref="G3:G34" si="5">E3+G2</f>
        <v>0.24619796301364466</v>
      </c>
      <c r="H3" s="10" t="str">
        <f t="shared" si="2"/>
        <v>A</v>
      </c>
      <c r="I3" s="9">
        <f t="shared" si="3"/>
        <v>6.1306394529484365</v>
      </c>
      <c r="J3" s="9">
        <f t="shared" si="4"/>
        <v>58.721443784606116</v>
      </c>
    </row>
    <row r="4" spans="1:10" x14ac:dyDescent="0.35">
      <c r="A4" s="4">
        <v>4</v>
      </c>
      <c r="B4" s="9">
        <f>VLOOKUP(A4,Data!$A$2:$K$70,3,0)</f>
        <v>12.5</v>
      </c>
      <c r="C4" s="9">
        <f>VLOOKUP(A4,'Price BreakModel'!$A$2:$M$70,6,0)/B4</f>
        <v>34.898979485566358</v>
      </c>
      <c r="D4" s="9">
        <f t="shared" si="0"/>
        <v>436.23724356957945</v>
      </c>
      <c r="E4" s="13">
        <f>D4/'ABC analysis'!$D$71</f>
        <v>3.577841162827352E-2</v>
      </c>
      <c r="F4" s="12">
        <f t="shared" si="1"/>
        <v>3</v>
      </c>
      <c r="G4" s="11">
        <f t="shared" si="5"/>
        <v>0.28197637464191816</v>
      </c>
      <c r="H4" s="10" t="str">
        <f t="shared" si="2"/>
        <v>A</v>
      </c>
      <c r="I4" s="9">
        <f t="shared" si="3"/>
        <v>69.797958971132715</v>
      </c>
      <c r="J4" s="9">
        <f t="shared" si="4"/>
        <v>5.1577439413219812</v>
      </c>
    </row>
    <row r="5" spans="1:10" x14ac:dyDescent="0.35">
      <c r="A5" s="4">
        <v>8</v>
      </c>
      <c r="B5" s="9">
        <f>VLOOKUP(A5,Data!$A$2:$K$70,3,0)</f>
        <v>11.388888888888889</v>
      </c>
      <c r="C5" s="9">
        <f>VLOOKUP(A5,'Price BreakModel'!$A$2:$M$70,6,0)/B5</f>
        <v>32.958363223248028</v>
      </c>
      <c r="D5" s="9">
        <f t="shared" si="0"/>
        <v>375.35913670921366</v>
      </c>
      <c r="E5" s="13">
        <f>D5/'ABC analysis'!$D$71</f>
        <v>3.0785435905757566E-2</v>
      </c>
      <c r="F5" s="12">
        <f t="shared" si="1"/>
        <v>4</v>
      </c>
      <c r="G5" s="11">
        <f t="shared" si="5"/>
        <v>0.31276181054767571</v>
      </c>
      <c r="H5" s="10" t="str">
        <f t="shared" si="2"/>
        <v>A</v>
      </c>
      <c r="I5" s="9">
        <f t="shared" si="3"/>
        <v>65.916726446496057</v>
      </c>
      <c r="J5" s="9">
        <f t="shared" si="4"/>
        <v>5.4614362606766944</v>
      </c>
    </row>
    <row r="6" spans="1:10" x14ac:dyDescent="0.35">
      <c r="A6" s="4">
        <v>3</v>
      </c>
      <c r="B6" s="9">
        <f>VLOOKUP(A6,Data!$A$2:$K$70,3,0)</f>
        <v>12.777777777777779</v>
      </c>
      <c r="C6" s="9">
        <f>VLOOKUP(A6,'Price BreakModel'!$A$2:$M$70,6,0)/B6</f>
        <v>28.33389071108769</v>
      </c>
      <c r="D6" s="9">
        <f t="shared" si="0"/>
        <v>362.04415908612049</v>
      </c>
      <c r="E6" s="13">
        <f>D6/'ABC analysis'!$D$71</f>
        <v>2.9693395376796414E-2</v>
      </c>
      <c r="F6" s="12">
        <f t="shared" si="1"/>
        <v>5</v>
      </c>
      <c r="G6" s="11">
        <f t="shared" si="5"/>
        <v>0.34245520592447215</v>
      </c>
      <c r="H6" s="10" t="str">
        <f t="shared" si="2"/>
        <v>A</v>
      </c>
      <c r="I6" s="9">
        <f t="shared" si="3"/>
        <v>56.667781422175381</v>
      </c>
      <c r="J6" s="9">
        <f t="shared" si="4"/>
        <v>6.3528162028789765</v>
      </c>
    </row>
    <row r="7" spans="1:10" x14ac:dyDescent="0.35">
      <c r="A7" s="4">
        <v>14</v>
      </c>
      <c r="B7" s="9">
        <f>VLOOKUP(A7,Data!$A$2:$K$70,3,0)</f>
        <v>9.7222222222222214</v>
      </c>
      <c r="C7" s="9">
        <f>VLOOKUP(A7,'Price BreakModel'!$A$2:$M$70,6,0)/B7</f>
        <v>35.554920598635299</v>
      </c>
      <c r="D7" s="9">
        <f t="shared" si="0"/>
        <v>345.67283915339868</v>
      </c>
      <c r="E7" s="13">
        <f>D7/'ABC analysis'!$D$71</f>
        <v>2.8350686032087163E-2</v>
      </c>
      <c r="F7" s="12">
        <f t="shared" si="1"/>
        <v>6</v>
      </c>
      <c r="G7" s="11">
        <f t="shared" si="5"/>
        <v>0.37080589195655933</v>
      </c>
      <c r="H7" s="10" t="str">
        <f t="shared" si="2"/>
        <v>A</v>
      </c>
      <c r="I7" s="9">
        <f t="shared" si="3"/>
        <v>71.109841197270597</v>
      </c>
      <c r="J7" s="9">
        <f t="shared" si="4"/>
        <v>5.0625904085666535</v>
      </c>
    </row>
    <row r="8" spans="1:10" x14ac:dyDescent="0.35">
      <c r="A8" s="4">
        <v>11</v>
      </c>
      <c r="B8" s="9">
        <f>VLOOKUP(A8,Data!$A$2:$K$70,3,0)</f>
        <v>10.555555555555555</v>
      </c>
      <c r="C8" s="9">
        <f>VLOOKUP(A8,'Price BreakModel'!$A$2:$M$70,6,0)/B8</f>
        <v>30.963021151211073</v>
      </c>
      <c r="D8" s="9">
        <f t="shared" si="0"/>
        <v>326.8318899294502</v>
      </c>
      <c r="E8" s="13">
        <f>D8/'ABC analysis'!$D$71</f>
        <v>2.6805427696769649E-2</v>
      </c>
      <c r="F8" s="12">
        <f t="shared" si="1"/>
        <v>7</v>
      </c>
      <c r="G8" s="11">
        <f t="shared" si="5"/>
        <v>0.39761131965332897</v>
      </c>
      <c r="H8" s="10" t="str">
        <f t="shared" si="2"/>
        <v>A</v>
      </c>
      <c r="I8" s="9">
        <f t="shared" si="3"/>
        <v>61.926042302422147</v>
      </c>
      <c r="J8" s="9">
        <f t="shared" si="4"/>
        <v>5.8133862041740576</v>
      </c>
    </row>
    <row r="9" spans="1:10" x14ac:dyDescent="0.35">
      <c r="A9" s="4">
        <v>6</v>
      </c>
      <c r="B9" s="9">
        <f>VLOOKUP(A9,Data!$A$2:$K$70,3,0)</f>
        <v>11.944444444444445</v>
      </c>
      <c r="C9" s="9">
        <f>VLOOKUP(A9,'Price BreakModel'!$A$2:$M$70,6,0)/B9</f>
        <v>26.291690185831545</v>
      </c>
      <c r="D9" s="9">
        <f t="shared" si="0"/>
        <v>314.03963277521012</v>
      </c>
      <c r="E9" s="13">
        <f>D9/'ABC analysis'!$D$71</f>
        <v>2.5756258583252343E-2</v>
      </c>
      <c r="F9" s="12">
        <f t="shared" si="1"/>
        <v>8</v>
      </c>
      <c r="G9" s="11">
        <f t="shared" si="5"/>
        <v>0.42336757823658133</v>
      </c>
      <c r="H9" s="10" t="str">
        <f t="shared" si="2"/>
        <v>A</v>
      </c>
      <c r="I9" s="9">
        <f t="shared" si="3"/>
        <v>52.58338037166309</v>
      </c>
      <c r="J9" s="9">
        <f t="shared" si="4"/>
        <v>6.8462696284547375</v>
      </c>
    </row>
    <row r="10" spans="1:10" x14ac:dyDescent="0.35">
      <c r="A10" s="4">
        <v>16</v>
      </c>
      <c r="B10" s="9">
        <f>VLOOKUP(A10,Data!$A$2:$K$70,3,0)</f>
        <v>9.1666666666666661</v>
      </c>
      <c r="C10" s="9">
        <f>VLOOKUP(A10,'Price BreakModel'!$A$2:$M$70,6,0)/B10</f>
        <v>33.526794237662052</v>
      </c>
      <c r="D10" s="9">
        <f t="shared" si="0"/>
        <v>307.3289471785688</v>
      </c>
      <c r="E10" s="13">
        <f>D10/'ABC analysis'!$D$71</f>
        <v>2.5205875333945332E-2</v>
      </c>
      <c r="F10" s="12">
        <f t="shared" si="1"/>
        <v>9</v>
      </c>
      <c r="G10" s="11">
        <f t="shared" si="5"/>
        <v>0.44857345357052669</v>
      </c>
      <c r="H10" s="10" t="str">
        <f t="shared" si="2"/>
        <v>A</v>
      </c>
      <c r="I10" s="9">
        <f t="shared" si="3"/>
        <v>67.053588475324105</v>
      </c>
      <c r="J10" s="9">
        <f t="shared" si="4"/>
        <v>5.368840179709113</v>
      </c>
    </row>
    <row r="11" spans="1:10" x14ac:dyDescent="0.35">
      <c r="A11" s="4">
        <v>12</v>
      </c>
      <c r="B11" s="9">
        <f>VLOOKUP(A11,Data!$A$2:$K$70,3,0)</f>
        <v>10.277777777777779</v>
      </c>
      <c r="C11" s="9">
        <f>VLOOKUP(A11,'Price BreakModel'!$A$2:$M$70,6,0)/B11</f>
        <v>28.832323597540977</v>
      </c>
      <c r="D11" s="9">
        <f t="shared" si="0"/>
        <v>296.33221475250451</v>
      </c>
      <c r="E11" s="13">
        <f>D11/'ABC analysis'!$D$71</f>
        <v>2.4303967885405908E-2</v>
      </c>
      <c r="F11" s="12">
        <f t="shared" si="1"/>
        <v>10</v>
      </c>
      <c r="G11" s="11">
        <f t="shared" si="5"/>
        <v>0.47287742145593259</v>
      </c>
      <c r="H11" s="10" t="str">
        <f t="shared" si="2"/>
        <v>A</v>
      </c>
      <c r="I11" s="9">
        <f t="shared" si="3"/>
        <v>57.664647195081955</v>
      </c>
      <c r="J11" s="9">
        <f t="shared" si="4"/>
        <v>6.242993194462886</v>
      </c>
    </row>
    <row r="12" spans="1:10" x14ac:dyDescent="0.35">
      <c r="A12" s="4">
        <v>5</v>
      </c>
      <c r="B12" s="9">
        <f>VLOOKUP(A12,Data!$A$2:$K$70,3,0)</f>
        <v>12.222222222222221</v>
      </c>
      <c r="C12" s="9">
        <f>VLOOKUP(A12,'Price BreakModel'!$A$2:$M$70,6,0)/B12</f>
        <v>24.045199174779455</v>
      </c>
      <c r="D12" s="9">
        <f t="shared" si="0"/>
        <v>293.88576769174887</v>
      </c>
      <c r="E12" s="13">
        <f>D12/'ABC analysis'!$D$71</f>
        <v>2.4103320207435389E-2</v>
      </c>
      <c r="F12" s="12">
        <f t="shared" si="1"/>
        <v>11</v>
      </c>
      <c r="G12" s="11">
        <f t="shared" si="5"/>
        <v>0.49698074166336798</v>
      </c>
      <c r="H12" s="10" t="str">
        <f t="shared" si="2"/>
        <v>A</v>
      </c>
      <c r="I12" s="9">
        <f t="shared" si="3"/>
        <v>48.09039834955891</v>
      </c>
      <c r="J12" s="9">
        <f t="shared" si="4"/>
        <v>7.4859018089897349</v>
      </c>
    </row>
    <row r="13" spans="1:10" x14ac:dyDescent="0.35">
      <c r="A13" s="4">
        <v>20</v>
      </c>
      <c r="B13" s="9">
        <f>VLOOKUP(A13,Data!$A$2:$K$70,3,0)</f>
        <v>8.0555555555555554</v>
      </c>
      <c r="C13" s="9">
        <f>VLOOKUP(A13,'Price BreakModel'!$A$2:$M$70,6,0)/B13</f>
        <v>36.102571532587298</v>
      </c>
      <c r="D13" s="9">
        <f t="shared" si="0"/>
        <v>290.82627067917542</v>
      </c>
      <c r="E13" s="13">
        <f>D13/'ABC analysis'!$D$71</f>
        <v>2.3852392655730678E-2</v>
      </c>
      <c r="F13" s="12">
        <f t="shared" si="1"/>
        <v>12</v>
      </c>
      <c r="G13" s="11">
        <f t="shared" si="5"/>
        <v>0.52083313431909861</v>
      </c>
      <c r="H13" s="10" t="str">
        <f t="shared" si="2"/>
        <v>A</v>
      </c>
      <c r="I13" s="9">
        <f t="shared" si="3"/>
        <v>72.205143065174596</v>
      </c>
      <c r="J13" s="9">
        <f t="shared" si="4"/>
        <v>4.9857944284530102</v>
      </c>
    </row>
    <row r="14" spans="1:10" x14ac:dyDescent="0.35">
      <c r="A14" s="4">
        <v>9</v>
      </c>
      <c r="B14" s="9">
        <f>VLOOKUP(A14,Data!$A$2:$K$70,3,0)</f>
        <v>11.111111111111111</v>
      </c>
      <c r="C14" s="9">
        <f>VLOOKUP(A14,'Price BreakModel'!$A$2:$M$70,6,0)/B14</f>
        <v>24.242640687119287</v>
      </c>
      <c r="D14" s="9">
        <f t="shared" si="0"/>
        <v>269.3626743013254</v>
      </c>
      <c r="E14" s="13">
        <f>D14/'ABC analysis'!$D$71</f>
        <v>2.209203542454587E-2</v>
      </c>
      <c r="F14" s="12">
        <f t="shared" si="1"/>
        <v>13</v>
      </c>
      <c r="G14" s="11">
        <f t="shared" si="5"/>
        <v>0.54292516974364446</v>
      </c>
      <c r="H14" s="10" t="str">
        <f t="shared" si="2"/>
        <v>A</v>
      </c>
      <c r="I14" s="9">
        <f t="shared" si="3"/>
        <v>48.485281374238575</v>
      </c>
      <c r="J14" s="9">
        <f t="shared" si="4"/>
        <v>7.4249337076401263</v>
      </c>
    </row>
    <row r="15" spans="1:10" x14ac:dyDescent="0.35">
      <c r="A15" s="4">
        <v>13</v>
      </c>
      <c r="B15" s="9">
        <f>VLOOKUP(A15,Data!$A$2:$K$70,3,0)</f>
        <v>10</v>
      </c>
      <c r="C15" s="9">
        <f>VLOOKUP(A15,'Price BreakModel'!$A$2:$M$70,6,0)/B15</f>
        <v>26.690415759823431</v>
      </c>
      <c r="D15" s="9">
        <f t="shared" si="0"/>
        <v>266.90415759823429</v>
      </c>
      <c r="E15" s="13">
        <f>D15/'ABC analysis'!$D$71</f>
        <v>2.1890397843402135E-2</v>
      </c>
      <c r="F15" s="12">
        <f t="shared" si="1"/>
        <v>14</v>
      </c>
      <c r="G15" s="11">
        <f t="shared" si="5"/>
        <v>0.56481556758704665</v>
      </c>
      <c r="H15" s="10" t="str">
        <f t="shared" si="2"/>
        <v>A</v>
      </c>
      <c r="I15" s="9">
        <f t="shared" si="3"/>
        <v>53.380831519646861</v>
      </c>
      <c r="J15" s="9">
        <f t="shared" si="4"/>
        <v>6.743993859809053</v>
      </c>
    </row>
    <row r="16" spans="1:10" x14ac:dyDescent="0.35">
      <c r="A16" s="4">
        <v>7</v>
      </c>
      <c r="B16" s="9">
        <f>VLOOKUP(A16,Data!$A$2:$K$70,3,0)</f>
        <v>11.666666666666666</v>
      </c>
      <c r="C16" s="9">
        <f>VLOOKUP(A16,'Price BreakModel'!$A$2:$M$70,6,0)/B16</f>
        <v>21.927922024247867</v>
      </c>
      <c r="D16" s="9">
        <f t="shared" si="0"/>
        <v>255.82575694955844</v>
      </c>
      <c r="E16" s="13">
        <f>D16/'ABC analysis'!$D$71</f>
        <v>2.0981792298061904E-2</v>
      </c>
      <c r="F16" s="12">
        <f t="shared" si="1"/>
        <v>15</v>
      </c>
      <c r="G16" s="11">
        <f t="shared" si="5"/>
        <v>0.5857973598851085</v>
      </c>
      <c r="H16" s="10" t="str">
        <f t="shared" si="2"/>
        <v>A</v>
      </c>
      <c r="I16" s="9">
        <f t="shared" si="3"/>
        <v>43.855844048495733</v>
      </c>
      <c r="J16" s="9">
        <f t="shared" si="4"/>
        <v>8.2087121525220788</v>
      </c>
    </row>
    <row r="17" spans="1:10" x14ac:dyDescent="0.35">
      <c r="A17" s="4">
        <v>19</v>
      </c>
      <c r="B17" s="9">
        <f>VLOOKUP(A17,Data!$A$2:$K$70,3,0)</f>
        <v>8.3333333333333339</v>
      </c>
      <c r="C17" s="9">
        <f>VLOOKUP(A17,'Price BreakModel'!$A$2:$M$70,6,0)/B17</f>
        <v>29.366563145999493</v>
      </c>
      <c r="D17" s="9">
        <f t="shared" si="0"/>
        <v>244.72135954999578</v>
      </c>
      <c r="E17" s="13">
        <f>D17/'ABC analysis'!$D$71</f>
        <v>2.0071054604520352E-2</v>
      </c>
      <c r="F17" s="12">
        <f t="shared" si="1"/>
        <v>16</v>
      </c>
      <c r="G17" s="11">
        <f t="shared" si="5"/>
        <v>0.6058684144896288</v>
      </c>
      <c r="H17" s="10" t="str">
        <f t="shared" si="2"/>
        <v>A</v>
      </c>
      <c r="I17" s="9">
        <f t="shared" si="3"/>
        <v>58.733126291998985</v>
      </c>
      <c r="J17" s="9">
        <f t="shared" si="4"/>
        <v>6.1294200177633247</v>
      </c>
    </row>
    <row r="18" spans="1:10" x14ac:dyDescent="0.35">
      <c r="A18" s="4">
        <v>24</v>
      </c>
      <c r="B18" s="9">
        <f>VLOOKUP(A18,Data!$A$2:$K$70,3,0)</f>
        <v>6.9444444444444446</v>
      </c>
      <c r="C18" s="9">
        <f>VLOOKUP(A18,'Price BreakModel'!$A$2:$M$70,6,0)/B18</f>
        <v>34.349803146555018</v>
      </c>
      <c r="D18" s="9">
        <f t="shared" si="0"/>
        <v>238.54029962885431</v>
      </c>
      <c r="E18" s="13">
        <f>D18/'ABC analysis'!$D$71</f>
        <v>1.9564109107735071E-2</v>
      </c>
      <c r="F18" s="12">
        <f t="shared" si="1"/>
        <v>17</v>
      </c>
      <c r="G18" s="11">
        <f t="shared" si="5"/>
        <v>0.6254325235973639</v>
      </c>
      <c r="H18" s="10" t="str">
        <f t="shared" si="2"/>
        <v>A</v>
      </c>
      <c r="I18" s="9">
        <f t="shared" si="3"/>
        <v>68.699606293110037</v>
      </c>
      <c r="J18" s="9">
        <f t="shared" si="4"/>
        <v>5.24020470312513</v>
      </c>
    </row>
    <row r="19" spans="1:10" x14ac:dyDescent="0.35">
      <c r="A19" s="4">
        <v>17</v>
      </c>
      <c r="B19" s="9">
        <f>VLOOKUP(A19,Data!$A$2:$K$70,3,0)</f>
        <v>8.8888888888888893</v>
      </c>
      <c r="C19" s="9">
        <f>VLOOKUP(A19,'Price BreakModel'!$A$2:$M$70,6,0)/B19</f>
        <v>24.743416490252564</v>
      </c>
      <c r="D19" s="9">
        <f t="shared" si="0"/>
        <v>219.94147991335612</v>
      </c>
      <c r="E19" s="13">
        <f>D19/'ABC analysis'!$D$71</f>
        <v>1.8038709253893826E-2</v>
      </c>
      <c r="F19" s="12">
        <f t="shared" si="1"/>
        <v>18</v>
      </c>
      <c r="G19" s="11">
        <f t="shared" si="5"/>
        <v>0.64347123285125774</v>
      </c>
      <c r="H19" s="10" t="str">
        <f t="shared" si="2"/>
        <v>A</v>
      </c>
      <c r="I19" s="9">
        <f t="shared" si="3"/>
        <v>49.486832980505127</v>
      </c>
      <c r="J19" s="9">
        <f t="shared" si="4"/>
        <v>7.2746623357736109</v>
      </c>
    </row>
    <row r="20" spans="1:10" x14ac:dyDescent="0.35">
      <c r="A20" s="4">
        <v>10</v>
      </c>
      <c r="B20" s="9">
        <f>VLOOKUP(A20,Data!$A$2:$K$70,3,0)</f>
        <v>10.833333333333334</v>
      </c>
      <c r="C20" s="9">
        <f>VLOOKUP(A20,'Price BreakModel'!$A$2:$M$70,6,0)/B20</f>
        <v>19.843075691322092</v>
      </c>
      <c r="D20" s="9">
        <f t="shared" si="0"/>
        <v>214.96665332265601</v>
      </c>
      <c r="E20" s="13">
        <f>D20/'ABC analysis'!$D$71</f>
        <v>1.7630694128718115E-2</v>
      </c>
      <c r="F20" s="12">
        <f t="shared" si="1"/>
        <v>19</v>
      </c>
      <c r="G20" s="11">
        <f t="shared" si="5"/>
        <v>0.66110192697997583</v>
      </c>
      <c r="H20" s="10" t="str">
        <f t="shared" si="2"/>
        <v>A</v>
      </c>
      <c r="I20" s="9">
        <f t="shared" si="3"/>
        <v>39.686151382644184</v>
      </c>
      <c r="J20" s="9">
        <f t="shared" si="4"/>
        <v>9.0711743884905314</v>
      </c>
    </row>
    <row r="21" spans="1:10" x14ac:dyDescent="0.35">
      <c r="A21" s="4">
        <v>15</v>
      </c>
      <c r="B21" s="9">
        <f>VLOOKUP(A21,Data!$A$2:$K$70,3,0)</f>
        <v>9.4444444444444446</v>
      </c>
      <c r="C21" s="9">
        <f>VLOOKUP(A21,'Price BreakModel'!$A$2:$M$70,6,0)/B21</f>
        <v>22.365641250653994</v>
      </c>
      <c r="D21" s="9">
        <f t="shared" si="0"/>
        <v>211.2310562561766</v>
      </c>
      <c r="E21" s="13">
        <f>D21/'ABC analysis'!$D$71</f>
        <v>1.7324315589306329E-2</v>
      </c>
      <c r="F21" s="12">
        <f t="shared" si="1"/>
        <v>20</v>
      </c>
      <c r="G21" s="11">
        <f t="shared" si="5"/>
        <v>0.67842624256928219</v>
      </c>
      <c r="H21" s="10" t="str">
        <f t="shared" si="2"/>
        <v>A</v>
      </c>
      <c r="I21" s="9">
        <f t="shared" si="3"/>
        <v>44.731282501307987</v>
      </c>
      <c r="J21" s="9">
        <f t="shared" si="4"/>
        <v>8.0480589839889625</v>
      </c>
    </row>
    <row r="22" spans="1:10" x14ac:dyDescent="0.35">
      <c r="A22" s="4">
        <v>22</v>
      </c>
      <c r="B22" s="9">
        <f>VLOOKUP(A22,Data!$A$2:$K$70,3,0)</f>
        <v>7.5</v>
      </c>
      <c r="C22" s="9">
        <f>VLOOKUP(A22,'Price BreakModel'!$A$2:$M$70,6,0)/B22</f>
        <v>27.416025603090642</v>
      </c>
      <c r="D22" s="9">
        <f t="shared" si="0"/>
        <v>205.62019202317981</v>
      </c>
      <c r="E22" s="13">
        <f>D22/'ABC analysis'!$D$71</f>
        <v>1.6864135233140804E-2</v>
      </c>
      <c r="F22" s="12">
        <f t="shared" si="1"/>
        <v>21</v>
      </c>
      <c r="G22" s="11">
        <f t="shared" si="5"/>
        <v>0.69529037780242298</v>
      </c>
      <c r="H22" s="10" t="str">
        <f t="shared" si="2"/>
        <v>A</v>
      </c>
      <c r="I22" s="9">
        <f t="shared" si="3"/>
        <v>54.832051206181283</v>
      </c>
      <c r="J22" s="9">
        <f t="shared" si="4"/>
        <v>6.56550306036001</v>
      </c>
    </row>
    <row r="23" spans="1:10" x14ac:dyDescent="0.35">
      <c r="A23" s="4">
        <v>27</v>
      </c>
      <c r="B23" s="9">
        <f>VLOOKUP(A23,Data!$A$2:$K$70,3,0)</f>
        <v>6.1111111111111107</v>
      </c>
      <c r="C23" s="9">
        <f>VLOOKUP(A23,'Price BreakModel'!$A$2:$M$70,6,0)/B23</f>
        <v>32.522687678055306</v>
      </c>
      <c r="D23" s="9">
        <f t="shared" si="0"/>
        <v>198.74975803256018</v>
      </c>
      <c r="E23" s="13">
        <f>D23/'ABC analysis'!$D$71</f>
        <v>1.630065006766097E-2</v>
      </c>
      <c r="F23" s="12">
        <f t="shared" si="1"/>
        <v>22</v>
      </c>
      <c r="G23" s="11">
        <f t="shared" si="5"/>
        <v>0.71159102787008399</v>
      </c>
      <c r="H23" s="10" t="str">
        <f t="shared" si="2"/>
        <v>A</v>
      </c>
      <c r="I23" s="9">
        <f t="shared" si="3"/>
        <v>65.045375356110611</v>
      </c>
      <c r="J23" s="9">
        <f t="shared" si="4"/>
        <v>5.5345979330439858</v>
      </c>
    </row>
    <row r="24" spans="1:10" x14ac:dyDescent="0.35">
      <c r="A24" s="4">
        <v>30</v>
      </c>
      <c r="B24" s="9">
        <f>VLOOKUP(A24,Data!$A$2:$K$70,3,0)</f>
        <v>5.2777777777777777</v>
      </c>
      <c r="C24" s="9">
        <f>VLOOKUP(A24,'Price BreakModel'!$A$2:$M$70,6,0)/B24</f>
        <v>37.539370349250518</v>
      </c>
      <c r="D24" s="9">
        <f t="shared" si="0"/>
        <v>198.12445462104441</v>
      </c>
      <c r="E24" s="13">
        <f>D24/'ABC analysis'!$D$71</f>
        <v>1.6249365214798087E-2</v>
      </c>
      <c r="F24" s="12">
        <f t="shared" si="1"/>
        <v>23</v>
      </c>
      <c r="G24" s="11">
        <f t="shared" si="5"/>
        <v>0.72784039308488213</v>
      </c>
      <c r="H24" s="10" t="str">
        <f t="shared" si="2"/>
        <v>A</v>
      </c>
      <c r="I24" s="9">
        <f t="shared" si="3"/>
        <v>75.078740698501036</v>
      </c>
      <c r="J24" s="9">
        <f t="shared" si="4"/>
        <v>4.7949658804970801</v>
      </c>
    </row>
    <row r="25" spans="1:10" x14ac:dyDescent="0.35">
      <c r="A25" s="4">
        <v>21</v>
      </c>
      <c r="B25" s="9">
        <f>VLOOKUP(A25,Data!$A$2:$K$70,3,0)</f>
        <v>7.7777777777777777</v>
      </c>
      <c r="C25" s="9">
        <f>VLOOKUP(A25,'Price BreakModel'!$A$2:$M$70,6,0)/B25</f>
        <v>25.070925528371099</v>
      </c>
      <c r="D25" s="9">
        <f t="shared" si="0"/>
        <v>194.99608744288633</v>
      </c>
      <c r="E25" s="13">
        <f>D25/'ABC analysis'!$D$71</f>
        <v>1.5992789211088151E-2</v>
      </c>
      <c r="F25" s="12">
        <f t="shared" si="1"/>
        <v>24</v>
      </c>
      <c r="G25" s="11">
        <f t="shared" si="5"/>
        <v>0.74383318229597029</v>
      </c>
      <c r="H25" s="10" t="str">
        <f t="shared" si="2"/>
        <v>A</v>
      </c>
      <c r="I25" s="9">
        <f t="shared" si="3"/>
        <v>50.141851056742198</v>
      </c>
      <c r="J25" s="9">
        <f t="shared" si="4"/>
        <v>7.1796312344474869</v>
      </c>
    </row>
    <row r="26" spans="1:10" x14ac:dyDescent="0.35">
      <c r="A26" s="4">
        <v>28</v>
      </c>
      <c r="B26" s="9">
        <f>VLOOKUP(A26,Data!$A$2:$K$70,3,0)</f>
        <v>5.833333333333333</v>
      </c>
      <c r="C26" s="9">
        <f>VLOOKUP(A26,'Price BreakModel'!$A$2:$M$70,6,0)/B26</f>
        <v>30.41426980589819</v>
      </c>
      <c r="D26" s="9">
        <f t="shared" si="0"/>
        <v>177.41657386773943</v>
      </c>
      <c r="E26" s="13">
        <f>D26/'ABC analysis'!$D$71</f>
        <v>1.4550988717921163E-2</v>
      </c>
      <c r="F26" s="12">
        <f t="shared" si="1"/>
        <v>25</v>
      </c>
      <c r="G26" s="11">
        <f t="shared" si="5"/>
        <v>0.75838417101389144</v>
      </c>
      <c r="H26" s="10" t="str">
        <f t="shared" si="2"/>
        <v>A</v>
      </c>
      <c r="I26" s="9">
        <f t="shared" si="3"/>
        <v>60.82853961179638</v>
      </c>
      <c r="J26" s="9">
        <f t="shared" si="4"/>
        <v>5.9182745845534948</v>
      </c>
    </row>
    <row r="27" spans="1:10" x14ac:dyDescent="0.35">
      <c r="A27" s="4">
        <v>18</v>
      </c>
      <c r="B27" s="9">
        <f>VLOOKUP(A27,Data!$A$2:$K$70,3,0)</f>
        <v>8.6111111111111107</v>
      </c>
      <c r="C27" s="9">
        <f>VLOOKUP(A27,'Price BreakModel'!$A$2:$M$70,6,0)/B27</f>
        <v>20.310527248642597</v>
      </c>
      <c r="D27" s="9">
        <f t="shared" si="0"/>
        <v>174.89620686331125</v>
      </c>
      <c r="E27" s="13">
        <f>D27/'ABC analysis'!$D$71</f>
        <v>1.4344278425602052E-2</v>
      </c>
      <c r="F27" s="12">
        <f t="shared" si="1"/>
        <v>26</v>
      </c>
      <c r="G27" s="11">
        <f t="shared" si="5"/>
        <v>0.77272844943949348</v>
      </c>
      <c r="H27" s="10" t="str">
        <f t="shared" si="2"/>
        <v>A</v>
      </c>
      <c r="I27" s="9">
        <f t="shared" si="3"/>
        <v>40.621054497285193</v>
      </c>
      <c r="J27" s="9">
        <f t="shared" si="4"/>
        <v>8.8623991783389009</v>
      </c>
    </row>
    <row r="28" spans="1:10" x14ac:dyDescent="0.35">
      <c r="A28" s="4">
        <v>25</v>
      </c>
      <c r="B28" s="9">
        <f>VLOOKUP(A28,Data!$A$2:$K$70,3,0)</f>
        <v>6.666666666666667</v>
      </c>
      <c r="C28" s="9">
        <f>VLOOKUP(A28,'Price BreakModel'!$A$2:$M$70,6,0)/B28</f>
        <v>25.477225575051662</v>
      </c>
      <c r="D28" s="9">
        <f t="shared" si="0"/>
        <v>169.84817050034442</v>
      </c>
      <c r="E28" s="13">
        <f>D28/'ABC analysis'!$D$71</f>
        <v>1.3930258931459726E-2</v>
      </c>
      <c r="F28" s="12">
        <f t="shared" si="1"/>
        <v>27</v>
      </c>
      <c r="G28" s="11">
        <f t="shared" si="5"/>
        <v>0.7866587083709532</v>
      </c>
      <c r="H28" s="10" t="str">
        <f t="shared" si="2"/>
        <v>A</v>
      </c>
      <c r="I28" s="9">
        <f t="shared" si="3"/>
        <v>50.954451150103324</v>
      </c>
      <c r="J28" s="9">
        <f t="shared" si="4"/>
        <v>7.0651335040289212</v>
      </c>
    </row>
    <row r="29" spans="1:10" x14ac:dyDescent="0.35">
      <c r="A29" s="4">
        <v>32</v>
      </c>
      <c r="B29" s="9">
        <f>VLOOKUP(A29,Data!$A$2:$K$70,3,0)</f>
        <v>4.7222222222222223</v>
      </c>
      <c r="C29" s="9">
        <f>VLOOKUP(A29,'Price BreakModel'!$A$2:$M$70,6,0)/B29</f>
        <v>35.700267375036972</v>
      </c>
      <c r="D29" s="9">
        <f t="shared" si="0"/>
        <v>168.58459593767461</v>
      </c>
      <c r="E29" s="13">
        <f>D29/'ABC analysis'!$D$71</f>
        <v>1.3826625664257942E-2</v>
      </c>
      <c r="F29" s="12">
        <f t="shared" si="1"/>
        <v>28</v>
      </c>
      <c r="G29" s="11">
        <f t="shared" si="5"/>
        <v>0.80048533403521116</v>
      </c>
      <c r="H29" s="10" t="str">
        <f t="shared" si="2"/>
        <v>B</v>
      </c>
      <c r="I29" s="9">
        <f t="shared" si="3"/>
        <v>71.400534750073945</v>
      </c>
      <c r="J29" s="9">
        <f t="shared" si="4"/>
        <v>5.0419790448365962</v>
      </c>
    </row>
    <row r="30" spans="1:10" x14ac:dyDescent="0.35">
      <c r="A30" s="4">
        <v>23</v>
      </c>
      <c r="B30" s="9">
        <f>VLOOKUP(A30,Data!$A$2:$K$70,3,0)</f>
        <v>7.2222222222222223</v>
      </c>
      <c r="C30" s="9">
        <f>VLOOKUP(A30,'Price BreakModel'!$A$2:$M$70,6,0)/B30</f>
        <v>22.992301766027062</v>
      </c>
      <c r="D30" s="9">
        <f t="shared" si="0"/>
        <v>166.05551275463989</v>
      </c>
      <c r="E30" s="13">
        <f>D30/'ABC analysis'!$D$71</f>
        <v>1.3619200506276611E-2</v>
      </c>
      <c r="F30" s="12">
        <f t="shared" si="1"/>
        <v>29</v>
      </c>
      <c r="G30" s="11">
        <f t="shared" si="5"/>
        <v>0.81410453454148779</v>
      </c>
      <c r="H30" s="10" t="str">
        <f t="shared" si="2"/>
        <v>B</v>
      </c>
      <c r="I30" s="9">
        <f t="shared" si="3"/>
        <v>45.984603532054123</v>
      </c>
      <c r="J30" s="9">
        <f t="shared" si="4"/>
        <v>7.8287072704466754</v>
      </c>
    </row>
    <row r="31" spans="1:10" x14ac:dyDescent="0.35">
      <c r="A31" s="4">
        <v>29</v>
      </c>
      <c r="B31" s="9">
        <f>VLOOKUP(A31,Data!$A$2:$K$70,3,0)</f>
        <v>5.5555555555555554</v>
      </c>
      <c r="C31" s="9">
        <f>VLOOKUP(A31,'Price BreakModel'!$A$2:$M$70,6,0)/B31</f>
        <v>28.292853089020912</v>
      </c>
      <c r="D31" s="9">
        <f t="shared" si="0"/>
        <v>157.18251716122728</v>
      </c>
      <c r="E31" s="13">
        <f>D31/'ABC analysis'!$D$71</f>
        <v>1.2891473350018027E-2</v>
      </c>
      <c r="F31" s="12">
        <f t="shared" si="1"/>
        <v>30</v>
      </c>
      <c r="G31" s="11">
        <f t="shared" si="5"/>
        <v>0.82699600789150585</v>
      </c>
      <c r="H31" s="10" t="str">
        <f t="shared" si="2"/>
        <v>B</v>
      </c>
      <c r="I31" s="9">
        <f t="shared" si="3"/>
        <v>56.585706178041825</v>
      </c>
      <c r="J31" s="9">
        <f t="shared" si="4"/>
        <v>6.3620307020167326</v>
      </c>
    </row>
    <row r="32" spans="1:10" x14ac:dyDescent="0.35">
      <c r="A32" s="4">
        <v>36</v>
      </c>
      <c r="B32" s="9">
        <f>VLOOKUP(A32,Data!$A$2:$K$70,3,0)</f>
        <v>3.6111111111111112</v>
      </c>
      <c r="C32" s="9">
        <f>VLOOKUP(A32,'Price BreakModel'!$A$2:$M$70,6,0)/B32</f>
        <v>39.114654303752999</v>
      </c>
      <c r="D32" s="9">
        <f t="shared" si="0"/>
        <v>141.2473627635525</v>
      </c>
      <c r="E32" s="13">
        <f>D32/'ABC analysis'!$D$71</f>
        <v>1.1584536535694504E-2</v>
      </c>
      <c r="F32" s="12">
        <f t="shared" si="1"/>
        <v>31</v>
      </c>
      <c r="G32" s="11">
        <f t="shared" si="5"/>
        <v>0.83858054442720031</v>
      </c>
      <c r="H32" s="10" t="str">
        <f t="shared" si="2"/>
        <v>B</v>
      </c>
      <c r="I32" s="9">
        <f t="shared" si="3"/>
        <v>78.229308607505999</v>
      </c>
      <c r="J32" s="9">
        <f t="shared" si="4"/>
        <v>4.6018558313764579</v>
      </c>
    </row>
    <row r="33" spans="1:10" x14ac:dyDescent="0.35">
      <c r="A33" s="4">
        <v>26</v>
      </c>
      <c r="B33" s="9">
        <f>VLOOKUP(A33,Data!$A$2:$K$70,3,0)</f>
        <v>6.3888888888888893</v>
      </c>
      <c r="C33" s="9">
        <f>VLOOKUP(A33,'Price BreakModel'!$A$2:$M$70,6,0)/B33</f>
        <v>21.004345937369795</v>
      </c>
      <c r="D33" s="9">
        <f t="shared" si="0"/>
        <v>134.19443237764037</v>
      </c>
      <c r="E33" s="13">
        <f>D33/'ABC analysis'!$D$71</f>
        <v>1.1006083755120591E-2</v>
      </c>
      <c r="F33" s="12">
        <f t="shared" si="1"/>
        <v>32</v>
      </c>
      <c r="G33" s="11">
        <f t="shared" si="5"/>
        <v>0.84958662818232089</v>
      </c>
      <c r="H33" s="10" t="str">
        <f t="shared" si="2"/>
        <v>B</v>
      </c>
      <c r="I33" s="9">
        <f t="shared" si="3"/>
        <v>42.00869187473959</v>
      </c>
      <c r="J33" s="9">
        <f t="shared" si="4"/>
        <v>8.5696550864625465</v>
      </c>
    </row>
    <row r="34" spans="1:10" x14ac:dyDescent="0.35">
      <c r="A34" s="4">
        <v>35</v>
      </c>
      <c r="B34" s="9">
        <f>VLOOKUP(A34,Data!$A$2:$K$70,3,0)</f>
        <v>3.8888888888888888</v>
      </c>
      <c r="C34" s="9">
        <f>VLOOKUP(A34,'Price BreakModel'!$A$2:$M$70,6,0)/B34</f>
        <v>31.855844048495726</v>
      </c>
      <c r="D34" s="9">
        <f t="shared" ref="D34:D65" si="6">B34*C34</f>
        <v>123.88383796637227</v>
      </c>
      <c r="E34" s="13">
        <f>D34/'ABC analysis'!$D$71</f>
        <v>1.0160450567179159E-2</v>
      </c>
      <c r="F34" s="12">
        <f t="shared" ref="F34:F70" si="7">RANK(D34,$D$2:$D$70,0)</f>
        <v>33</v>
      </c>
      <c r="G34" s="11">
        <f t="shared" si="5"/>
        <v>0.85974707874950007</v>
      </c>
      <c r="H34" s="10" t="str">
        <f t="shared" ref="H34:H65" si="8">IF(G34&lt;=80%,"A",IF(G34&lt;=95%,"B","C"))</f>
        <v>B</v>
      </c>
      <c r="I34" s="9">
        <f t="shared" ref="I34:I70" si="9">D34/(B34/2)</f>
        <v>63.711688096991452</v>
      </c>
      <c r="J34" s="9">
        <f t="shared" ref="J34:J65" si="10">360/I34</f>
        <v>5.6504545830264963</v>
      </c>
    </row>
    <row r="35" spans="1:10" x14ac:dyDescent="0.35">
      <c r="A35" s="4">
        <v>31</v>
      </c>
      <c r="B35" s="9">
        <f>VLOOKUP(A35,Data!$A$2:$K$70,3,0)</f>
        <v>5</v>
      </c>
      <c r="C35" s="9">
        <f>VLOOKUP(A35,'Price BreakModel'!$A$2:$M$70,6,0)/B35</f>
        <v>24</v>
      </c>
      <c r="D35" s="9">
        <f t="shared" si="6"/>
        <v>120</v>
      </c>
      <c r="E35" s="13">
        <f>D35/'ABC analysis'!$D$71</f>
        <v>9.841913909645424E-3</v>
      </c>
      <c r="F35" s="12">
        <f t="shared" si="7"/>
        <v>34</v>
      </c>
      <c r="G35" s="11">
        <f t="shared" ref="G35:G70" si="11">E35+G34</f>
        <v>0.86958899265914547</v>
      </c>
      <c r="H35" s="10" t="str">
        <f t="shared" si="8"/>
        <v>B</v>
      </c>
      <c r="I35" s="9">
        <f t="shared" si="9"/>
        <v>48</v>
      </c>
      <c r="J35" s="9">
        <f t="shared" si="10"/>
        <v>7.5</v>
      </c>
    </row>
    <row r="36" spans="1:10" x14ac:dyDescent="0.35">
      <c r="A36" s="4">
        <v>33</v>
      </c>
      <c r="B36" s="9">
        <f>VLOOKUP(A36,Data!$A$2:$K$70,3,0)</f>
        <v>4.4444444444444446</v>
      </c>
      <c r="C36" s="9">
        <f>VLOOKUP(A36,'Price BreakModel'!$A$2:$M$70,6,0)/B36</f>
        <v>26.708203932499366</v>
      </c>
      <c r="D36" s="9">
        <f t="shared" si="6"/>
        <v>118.70312858888607</v>
      </c>
      <c r="E36" s="13">
        <f>D36/'ABC analysis'!$D$71</f>
        <v>9.7355497698115596E-3</v>
      </c>
      <c r="F36" s="12">
        <f t="shared" si="7"/>
        <v>35</v>
      </c>
      <c r="G36" s="11">
        <f t="shared" si="11"/>
        <v>0.87932454242895708</v>
      </c>
      <c r="H36" s="10" t="str">
        <f t="shared" si="8"/>
        <v>B</v>
      </c>
      <c r="I36" s="9">
        <f t="shared" si="9"/>
        <v>53.416407864998732</v>
      </c>
      <c r="J36" s="9">
        <f t="shared" si="10"/>
        <v>6.7395022314087711</v>
      </c>
    </row>
    <row r="37" spans="1:10" x14ac:dyDescent="0.35">
      <c r="A37" s="4">
        <v>40</v>
      </c>
      <c r="B37" s="9">
        <f>VLOOKUP(A37,Data!$A$2:$K$70,3,0)</f>
        <v>2.6388888888888888</v>
      </c>
      <c r="C37" s="9">
        <f>VLOOKUP(A37,'Price BreakModel'!$A$2:$M$70,6,0)/B37</f>
        <v>38.300740903347425</v>
      </c>
      <c r="D37" s="9">
        <f t="shared" si="6"/>
        <v>101.07139960605571</v>
      </c>
      <c r="E37" s="13">
        <f>D37/'ABC analysis'!$D$71</f>
        <v>8.2894667804180883E-3</v>
      </c>
      <c r="F37" s="12">
        <f t="shared" si="7"/>
        <v>36</v>
      </c>
      <c r="G37" s="11">
        <f t="shared" si="11"/>
        <v>0.88761400920937517</v>
      </c>
      <c r="H37" s="10" t="str">
        <f t="shared" si="8"/>
        <v>B</v>
      </c>
      <c r="I37" s="9">
        <f t="shared" si="9"/>
        <v>76.601481806694849</v>
      </c>
      <c r="J37" s="9">
        <f t="shared" si="10"/>
        <v>4.6996479899496748</v>
      </c>
    </row>
    <row r="38" spans="1:10" x14ac:dyDescent="0.35">
      <c r="A38" s="4">
        <v>38</v>
      </c>
      <c r="B38" s="9">
        <f>VLOOKUP(A38,Data!$A$2:$K$70,3,0)</f>
        <v>3.0555555555555554</v>
      </c>
      <c r="C38" s="9">
        <f>VLOOKUP(A38,'Price BreakModel'!$A$2:$M$70,6,0)/B38</f>
        <v>30.485281374238571</v>
      </c>
      <c r="D38" s="9">
        <f t="shared" si="6"/>
        <v>93.149470865728958</v>
      </c>
      <c r="E38" s="13">
        <f>D38/'ABC analysis'!$D$71</f>
        <v>7.6397422749127416E-3</v>
      </c>
      <c r="F38" s="12">
        <f t="shared" si="7"/>
        <v>37</v>
      </c>
      <c r="G38" s="11">
        <f t="shared" si="11"/>
        <v>0.89525375148428787</v>
      </c>
      <c r="H38" s="10" t="str">
        <f t="shared" si="8"/>
        <v>B</v>
      </c>
      <c r="I38" s="9">
        <f t="shared" si="9"/>
        <v>60.970562748477143</v>
      </c>
      <c r="J38" s="9">
        <f t="shared" si="10"/>
        <v>5.9044887199928571</v>
      </c>
    </row>
    <row r="39" spans="1:10" x14ac:dyDescent="0.35">
      <c r="A39" s="4">
        <v>34</v>
      </c>
      <c r="B39" s="9">
        <f>VLOOKUP(A39,Data!$A$2:$K$70,3,0)</f>
        <v>4.166666666666667</v>
      </c>
      <c r="C39" s="9">
        <f>VLOOKUP(A39,'Price BreakModel'!$A$2:$M$70,6,0)/B39</f>
        <v>22.196773353931867</v>
      </c>
      <c r="D39" s="9">
        <f t="shared" si="6"/>
        <v>92.486555641382793</v>
      </c>
      <c r="E39" s="13">
        <f>D39/'ABC analysis'!$D$71</f>
        <v>7.5853726535176722E-3</v>
      </c>
      <c r="F39" s="12">
        <f t="shared" si="7"/>
        <v>38</v>
      </c>
      <c r="G39" s="11">
        <f t="shared" si="11"/>
        <v>0.90283912413780554</v>
      </c>
      <c r="H39" s="10" t="str">
        <f t="shared" si="8"/>
        <v>B</v>
      </c>
      <c r="I39" s="9">
        <f t="shared" si="9"/>
        <v>44.393546707863734</v>
      </c>
      <c r="J39" s="9">
        <f t="shared" si="10"/>
        <v>8.1092867476666548</v>
      </c>
    </row>
    <row r="40" spans="1:10" x14ac:dyDescent="0.35">
      <c r="A40" s="4">
        <v>37</v>
      </c>
      <c r="B40" s="9">
        <f>VLOOKUP(A40,Data!$A$2:$K$70,3,0)</f>
        <v>3.3333333333333335</v>
      </c>
      <c r="C40" s="9">
        <f>VLOOKUP(A40,'Price BreakModel'!$A$2:$M$70,6,0)/B40</f>
        <v>27.745966692414836</v>
      </c>
      <c r="D40" s="9">
        <f t="shared" si="6"/>
        <v>92.486555641382793</v>
      </c>
      <c r="E40" s="13">
        <f>D40/'ABC analysis'!$D$71</f>
        <v>7.5853726535176722E-3</v>
      </c>
      <c r="F40" s="12">
        <f t="shared" si="7"/>
        <v>38</v>
      </c>
      <c r="G40" s="11">
        <f t="shared" si="11"/>
        <v>0.9104244967913232</v>
      </c>
      <c r="H40" s="10" t="str">
        <f t="shared" si="8"/>
        <v>B</v>
      </c>
      <c r="I40" s="9">
        <f t="shared" si="9"/>
        <v>55.491933384829672</v>
      </c>
      <c r="J40" s="9">
        <f t="shared" si="10"/>
        <v>6.4874293981333224</v>
      </c>
    </row>
    <row r="41" spans="1:10" x14ac:dyDescent="0.35">
      <c r="A41" s="4">
        <v>43</v>
      </c>
      <c r="B41" s="9">
        <f>VLOOKUP(A41,Data!$A$2:$K$70,3,0)</f>
        <v>2.2222222222222223</v>
      </c>
      <c r="C41" s="9">
        <f>VLOOKUP(A41,'Price BreakModel'!$A$2:$M$70,6,0)/B41</f>
        <v>36.81665382639197</v>
      </c>
      <c r="D41" s="9">
        <f t="shared" si="6"/>
        <v>81.814786280871047</v>
      </c>
      <c r="E41" s="13">
        <f>D41/'ABC analysis'!$D$71</f>
        <v>6.7101173592697691E-3</v>
      </c>
      <c r="F41" s="12">
        <f t="shared" si="7"/>
        <v>40</v>
      </c>
      <c r="G41" s="11">
        <f t="shared" si="11"/>
        <v>0.91713461415059294</v>
      </c>
      <c r="H41" s="10" t="str">
        <f t="shared" si="8"/>
        <v>B</v>
      </c>
      <c r="I41" s="9">
        <f t="shared" si="9"/>
        <v>73.633307652783941</v>
      </c>
      <c r="J41" s="9">
        <f t="shared" si="10"/>
        <v>4.88909179114391</v>
      </c>
    </row>
    <row r="42" spans="1:10" x14ac:dyDescent="0.35">
      <c r="A42" s="4">
        <v>46</v>
      </c>
      <c r="B42" s="9">
        <f>VLOOKUP(A42,Data!$A$2:$K$70,3,0)</f>
        <v>1.8055555555555556</v>
      </c>
      <c r="C42" s="9">
        <f>VLOOKUP(A42,'Price BreakModel'!$A$2:$M$70,6,0)/B42</f>
        <v>42.890067732709795</v>
      </c>
      <c r="D42" s="9">
        <f t="shared" si="6"/>
        <v>77.440400072948236</v>
      </c>
      <c r="E42" s="13">
        <f>D42/'ABC analysis'!$D$71</f>
        <v>6.3513479220537973E-3</v>
      </c>
      <c r="F42" s="12">
        <f t="shared" si="7"/>
        <v>41</v>
      </c>
      <c r="G42" s="11">
        <f t="shared" si="11"/>
        <v>0.92348596207264677</v>
      </c>
      <c r="H42" s="10" t="str">
        <f t="shared" si="8"/>
        <v>B</v>
      </c>
      <c r="I42" s="9">
        <f t="shared" si="9"/>
        <v>85.78013546541959</v>
      </c>
      <c r="J42" s="9">
        <f t="shared" si="10"/>
        <v>4.1967758391466541</v>
      </c>
    </row>
    <row r="43" spans="1:10" x14ac:dyDescent="0.35">
      <c r="A43" s="4">
        <v>39</v>
      </c>
      <c r="B43" s="9">
        <f>VLOOKUP(A43,Data!$A$2:$K$70,3,0)</f>
        <v>2.7777777777777777</v>
      </c>
      <c r="C43" s="9">
        <f>VLOOKUP(A43,'Price BreakModel'!$A$2:$M$70,6,0)/B43</f>
        <v>26.049844718999243</v>
      </c>
      <c r="D43" s="9">
        <f t="shared" si="6"/>
        <v>72.360679774997891</v>
      </c>
      <c r="E43" s="13">
        <f>D43/'ABC analysis'!$D$71</f>
        <v>5.9347298399079164E-3</v>
      </c>
      <c r="F43" s="12">
        <f t="shared" si="7"/>
        <v>42</v>
      </c>
      <c r="G43" s="11">
        <f t="shared" si="11"/>
        <v>0.92942069191255472</v>
      </c>
      <c r="H43" s="10" t="str">
        <f t="shared" si="8"/>
        <v>B</v>
      </c>
      <c r="I43" s="9">
        <f t="shared" si="9"/>
        <v>52.099689437998485</v>
      </c>
      <c r="J43" s="9">
        <f t="shared" si="10"/>
        <v>6.9098300562505255</v>
      </c>
    </row>
    <row r="44" spans="1:10" x14ac:dyDescent="0.35">
      <c r="A44" s="4">
        <v>41</v>
      </c>
      <c r="B44" s="9">
        <f>VLOOKUP(A44,Data!$A$2:$K$70,3,0)</f>
        <v>2.5</v>
      </c>
      <c r="C44" s="9">
        <f>VLOOKUP(A44,'Price BreakModel'!$A$2:$M$70,6,0)/B44</f>
        <v>28.944271909999156</v>
      </c>
      <c r="D44" s="9">
        <f t="shared" si="6"/>
        <v>72.360679774997891</v>
      </c>
      <c r="E44" s="13">
        <f>D44/'ABC analysis'!$D$71</f>
        <v>5.9347298399079164E-3</v>
      </c>
      <c r="F44" s="12">
        <f t="shared" si="7"/>
        <v>42</v>
      </c>
      <c r="G44" s="11">
        <f t="shared" si="11"/>
        <v>0.93535542175246267</v>
      </c>
      <c r="H44" s="10" t="str">
        <f t="shared" si="8"/>
        <v>B</v>
      </c>
      <c r="I44" s="9">
        <f t="shared" si="9"/>
        <v>57.888543819998311</v>
      </c>
      <c r="J44" s="9">
        <f t="shared" si="10"/>
        <v>6.2188470506254738</v>
      </c>
    </row>
    <row r="45" spans="1:10" x14ac:dyDescent="0.35">
      <c r="A45" s="4">
        <v>44</v>
      </c>
      <c r="B45" s="9">
        <f>VLOOKUP(A45,Data!$A$2:$K$70,3,0)</f>
        <v>2.0833333333333335</v>
      </c>
      <c r="C45" s="9">
        <f>VLOOKUP(A45,'Price BreakModel'!$A$2:$M$70,6,0)/B45</f>
        <v>34.733126291998985</v>
      </c>
      <c r="D45" s="9">
        <f t="shared" si="6"/>
        <v>72.360679774997891</v>
      </c>
      <c r="E45" s="13">
        <f>D45/'ABC analysis'!$D$71</f>
        <v>5.9347298399079164E-3</v>
      </c>
      <c r="F45" s="12">
        <f t="shared" si="7"/>
        <v>42</v>
      </c>
      <c r="G45" s="11">
        <f t="shared" si="11"/>
        <v>0.94129015159237062</v>
      </c>
      <c r="H45" s="10" t="str">
        <f t="shared" si="8"/>
        <v>B</v>
      </c>
      <c r="I45" s="9">
        <f t="shared" si="9"/>
        <v>69.466252583997971</v>
      </c>
      <c r="J45" s="9">
        <f t="shared" si="10"/>
        <v>5.1823725421878954</v>
      </c>
    </row>
    <row r="46" spans="1:10" x14ac:dyDescent="0.35">
      <c r="A46" s="4">
        <v>45</v>
      </c>
      <c r="B46" s="9">
        <f>VLOOKUP(A46,Data!$A$2:$K$70,3,0)</f>
        <v>1.9444444444444444</v>
      </c>
      <c r="C46" s="9">
        <f>VLOOKUP(A46,'Price BreakModel'!$A$2:$M$70,6,0)/B46</f>
        <v>32.636863125135022</v>
      </c>
      <c r="D46" s="9">
        <f t="shared" si="6"/>
        <v>63.460567187762543</v>
      </c>
      <c r="E46" s="13">
        <f>D46/'ABC analysis'!$D$71</f>
        <v>5.2047786576602346E-3</v>
      </c>
      <c r="F46" s="12">
        <f t="shared" si="7"/>
        <v>45</v>
      </c>
      <c r="G46" s="11">
        <f t="shared" si="11"/>
        <v>0.94649493025003084</v>
      </c>
      <c r="H46" s="10" t="str">
        <f t="shared" si="8"/>
        <v>B</v>
      </c>
      <c r="I46" s="9">
        <f t="shared" si="9"/>
        <v>65.273726250270045</v>
      </c>
      <c r="J46" s="9">
        <f t="shared" si="10"/>
        <v>5.5152359253967154</v>
      </c>
    </row>
    <row r="47" spans="1:10" x14ac:dyDescent="0.35">
      <c r="A47" s="4">
        <v>48</v>
      </c>
      <c r="B47" s="9">
        <f>VLOOKUP(A47,Data!$A$2:$K$70,3,0)</f>
        <v>1.5277777777777777</v>
      </c>
      <c r="C47" s="9">
        <f>VLOOKUP(A47,'Price BreakModel'!$A$2:$M$70,6,0)/B47</f>
        <v>41.537825795626389</v>
      </c>
      <c r="D47" s="9">
        <f t="shared" si="6"/>
        <v>63.460567187762535</v>
      </c>
      <c r="E47" s="13">
        <f>D47/'ABC analysis'!$D$71</f>
        <v>5.2047786576602337E-3</v>
      </c>
      <c r="F47" s="12">
        <f t="shared" si="7"/>
        <v>46</v>
      </c>
      <c r="G47" s="11">
        <f t="shared" si="11"/>
        <v>0.95169970890769107</v>
      </c>
      <c r="H47" s="10" t="str">
        <f t="shared" si="8"/>
        <v>C</v>
      </c>
      <c r="I47" s="9">
        <f t="shared" si="9"/>
        <v>83.075651591252779</v>
      </c>
      <c r="J47" s="9">
        <f t="shared" si="10"/>
        <v>4.3333996556688481</v>
      </c>
    </row>
    <row r="48" spans="1:10" x14ac:dyDescent="0.35">
      <c r="A48" s="4">
        <v>42</v>
      </c>
      <c r="B48" s="9">
        <f>VLOOKUP(A48,Data!$A$2:$K$70,3,0)</f>
        <v>2.3611111111111112</v>
      </c>
      <c r="C48" s="9">
        <f>VLOOKUP(A48,'Price BreakModel'!$A$2:$M$70,6,0)/B48</f>
        <v>24.231932086840423</v>
      </c>
      <c r="D48" s="9">
        <f t="shared" si="6"/>
        <v>57.214284093928775</v>
      </c>
      <c r="E48" s="13">
        <f>D48/'ABC analysis'!$D$71</f>
        <v>4.6924838204536875E-3</v>
      </c>
      <c r="F48" s="12">
        <f t="shared" si="7"/>
        <v>47</v>
      </c>
      <c r="G48" s="11">
        <f t="shared" si="11"/>
        <v>0.9563921927281448</v>
      </c>
      <c r="H48" s="10" t="str">
        <f t="shared" si="8"/>
        <v>C</v>
      </c>
      <c r="I48" s="9">
        <f t="shared" si="9"/>
        <v>48.463864173680847</v>
      </c>
      <c r="J48" s="9">
        <f t="shared" si="10"/>
        <v>7.4282149419588448</v>
      </c>
    </row>
    <row r="49" spans="1:10" x14ac:dyDescent="0.35">
      <c r="A49" s="4">
        <v>47</v>
      </c>
      <c r="B49" s="9">
        <f>VLOOKUP(A49,Data!$A$2:$K$70,3,0)</f>
        <v>1.6666666666666667</v>
      </c>
      <c r="C49" s="9">
        <f>VLOOKUP(A49,'Price BreakModel'!$A$2:$M$70,6,0)/B49</f>
        <v>28.392304845413264</v>
      </c>
      <c r="D49" s="9">
        <f t="shared" si="6"/>
        <v>47.320508075688778</v>
      </c>
      <c r="E49" s="13">
        <f>D49/'ABC analysis'!$D$71</f>
        <v>3.8810363886800829E-3</v>
      </c>
      <c r="F49" s="12">
        <f t="shared" si="7"/>
        <v>48</v>
      </c>
      <c r="G49" s="11">
        <f t="shared" si="11"/>
        <v>0.96027322911682489</v>
      </c>
      <c r="H49" s="10" t="str">
        <f t="shared" si="8"/>
        <v>C</v>
      </c>
      <c r="I49" s="9">
        <f t="shared" si="9"/>
        <v>56.784609690826528</v>
      </c>
      <c r="J49" s="9">
        <f t="shared" si="10"/>
        <v>6.3397459621556136</v>
      </c>
    </row>
    <row r="50" spans="1:10" x14ac:dyDescent="0.35">
      <c r="A50" s="4">
        <v>52</v>
      </c>
      <c r="B50" s="9">
        <f>VLOOKUP(A50,Data!$A$2:$K$70,3,0)</f>
        <v>0.97222222222222221</v>
      </c>
      <c r="C50" s="9">
        <f>VLOOKUP(A50,'Price BreakModel'!$A$2:$M$70,6,0)/B50</f>
        <v>47.566201313073599</v>
      </c>
      <c r="D50" s="9">
        <f t="shared" si="6"/>
        <v>46.244917943265996</v>
      </c>
      <c r="E50" s="13">
        <f>D50/'ABC analysis'!$D$71</f>
        <v>3.7928208429686737E-3</v>
      </c>
      <c r="F50" s="12">
        <f t="shared" si="7"/>
        <v>49</v>
      </c>
      <c r="G50" s="11">
        <f t="shared" si="11"/>
        <v>0.96406604995979361</v>
      </c>
      <c r="H50" s="10" t="str">
        <f t="shared" si="8"/>
        <v>C</v>
      </c>
      <c r="I50" s="9">
        <f t="shared" si="9"/>
        <v>95.132402626147197</v>
      </c>
      <c r="J50" s="9">
        <f t="shared" si="10"/>
        <v>3.7841996003689049</v>
      </c>
    </row>
    <row r="51" spans="1:10" x14ac:dyDescent="0.35">
      <c r="A51" s="4">
        <v>49</v>
      </c>
      <c r="B51" s="9">
        <f>VLOOKUP(A51,Data!$A$2:$K$70,3,0)</f>
        <v>1.3888888888888888</v>
      </c>
      <c r="C51" s="9">
        <f>VLOOKUP(A51,'Price BreakModel'!$A$2:$M$70,6,0)/B51</f>
        <v>32.000000000000007</v>
      </c>
      <c r="D51" s="9">
        <f t="shared" si="6"/>
        <v>44.44444444444445</v>
      </c>
      <c r="E51" s="13">
        <f>D51/'ABC analysis'!$D$71</f>
        <v>3.6451532998686758E-3</v>
      </c>
      <c r="F51" s="12">
        <f t="shared" si="7"/>
        <v>50</v>
      </c>
      <c r="G51" s="11">
        <f t="shared" si="11"/>
        <v>0.96771120325966231</v>
      </c>
      <c r="H51" s="10" t="str">
        <f t="shared" si="8"/>
        <v>C</v>
      </c>
      <c r="I51" s="9">
        <f t="shared" si="9"/>
        <v>64.000000000000014</v>
      </c>
      <c r="J51" s="9">
        <f t="shared" si="10"/>
        <v>5.6249999999999991</v>
      </c>
    </row>
    <row r="52" spans="1:10" x14ac:dyDescent="0.35">
      <c r="A52" s="4">
        <v>51</v>
      </c>
      <c r="B52" s="9">
        <f>VLOOKUP(A52,Data!$A$2:$K$70,3,0)</f>
        <v>1.1111111111111112</v>
      </c>
      <c r="C52" s="9">
        <f>VLOOKUP(A52,'Price BreakModel'!$A$2:$M$70,6,0)/B52</f>
        <v>38.696938456699066</v>
      </c>
      <c r="D52" s="9">
        <f t="shared" si="6"/>
        <v>42.996598285221182</v>
      </c>
      <c r="E52" s="13">
        <f>D52/'ABC analysis'!$D$71</f>
        <v>3.5264068227562908E-3</v>
      </c>
      <c r="F52" s="12">
        <f t="shared" si="7"/>
        <v>51</v>
      </c>
      <c r="G52" s="11">
        <f t="shared" si="11"/>
        <v>0.9712376100824186</v>
      </c>
      <c r="H52" s="10" t="str">
        <f t="shared" si="8"/>
        <v>C</v>
      </c>
      <c r="I52" s="9">
        <f t="shared" si="9"/>
        <v>77.393876913398131</v>
      </c>
      <c r="J52" s="9">
        <f t="shared" si="10"/>
        <v>4.6515307716504664</v>
      </c>
    </row>
    <row r="53" spans="1:10" x14ac:dyDescent="0.35">
      <c r="A53" s="4">
        <v>50</v>
      </c>
      <c r="B53" s="9">
        <f>VLOOKUP(A53,Data!$A$2:$K$70,3,0)</f>
        <v>1.25</v>
      </c>
      <c r="C53" s="9">
        <f>VLOOKUP(A53,'Price BreakModel'!$A$2:$M$70,6,0)/B53</f>
        <v>27.313708498984759</v>
      </c>
      <c r="D53" s="9">
        <f t="shared" si="6"/>
        <v>34.142135623730951</v>
      </c>
      <c r="E53" s="13">
        <f>D53/'ABC analysis'!$D$71</f>
        <v>2.8001996625016514E-3</v>
      </c>
      <c r="F53" s="12">
        <f t="shared" si="7"/>
        <v>52</v>
      </c>
      <c r="G53" s="11">
        <f t="shared" si="11"/>
        <v>0.97403780974492027</v>
      </c>
      <c r="H53" s="10" t="str">
        <f t="shared" si="8"/>
        <v>C</v>
      </c>
      <c r="I53" s="9">
        <f t="shared" si="9"/>
        <v>54.627416997969519</v>
      </c>
      <c r="J53" s="9">
        <f t="shared" si="10"/>
        <v>6.590097423302681</v>
      </c>
    </row>
    <row r="54" spans="1:10" x14ac:dyDescent="0.35">
      <c r="A54" s="4">
        <v>56</v>
      </c>
      <c r="B54" s="9">
        <f>VLOOKUP(A54,Data!$A$2:$K$70,3,0)</f>
        <v>0.66666666666666663</v>
      </c>
      <c r="C54" s="9">
        <f>VLOOKUP(A54,'Price BreakModel'!$A$2:$M$70,6,0)/B54</f>
        <v>48.493901531919192</v>
      </c>
      <c r="D54" s="9">
        <f t="shared" si="6"/>
        <v>32.329267687946128</v>
      </c>
      <c r="E54" s="13">
        <f>D54/'ABC analysis'!$D$71</f>
        <v>2.6515155778887279E-3</v>
      </c>
      <c r="F54" s="12">
        <f t="shared" si="7"/>
        <v>53</v>
      </c>
      <c r="G54" s="11">
        <f t="shared" si="11"/>
        <v>0.97668932532280894</v>
      </c>
      <c r="H54" s="10" t="str">
        <f t="shared" si="8"/>
        <v>C</v>
      </c>
      <c r="I54" s="9">
        <f t="shared" si="9"/>
        <v>96.987803063838385</v>
      </c>
      <c r="J54" s="9">
        <f t="shared" si="10"/>
        <v>3.7118069347652325</v>
      </c>
    </row>
    <row r="55" spans="1:10" x14ac:dyDescent="0.35">
      <c r="A55" s="4">
        <v>54</v>
      </c>
      <c r="B55" s="9">
        <f>VLOOKUP(A55,Data!$A$2:$K$70,3,0)</f>
        <v>0.77777777777777779</v>
      </c>
      <c r="C55" s="9">
        <f>VLOOKUP(A55,'Price BreakModel'!$A$2:$M$70,6,0)/B55</f>
        <v>38.818357317441645</v>
      </c>
      <c r="D55" s="9">
        <f t="shared" si="6"/>
        <v>30.192055691343501</v>
      </c>
      <c r="E55" s="13">
        <f>D55/'ABC analysis'!$D$71</f>
        <v>2.4762301072451904E-3</v>
      </c>
      <c r="F55" s="12">
        <f t="shared" si="7"/>
        <v>54</v>
      </c>
      <c r="G55" s="11">
        <f t="shared" si="11"/>
        <v>0.97916555543005412</v>
      </c>
      <c r="H55" s="10" t="str">
        <f t="shared" si="8"/>
        <v>C</v>
      </c>
      <c r="I55" s="9">
        <f t="shared" si="9"/>
        <v>77.63671463488329</v>
      </c>
      <c r="J55" s="9">
        <f t="shared" si="10"/>
        <v>4.6369813778576203</v>
      </c>
    </row>
    <row r="56" spans="1:10" x14ac:dyDescent="0.35">
      <c r="A56" s="4">
        <v>53</v>
      </c>
      <c r="B56" s="9">
        <f>VLOOKUP(A56,Data!$A$2:$K$70,3,0)</f>
        <v>0.83333333333333337</v>
      </c>
      <c r="C56" s="9">
        <f>VLOOKUP(A56,'Price BreakModel'!$A$2:$M$70,6,0)/B56</f>
        <v>35.491933384829672</v>
      </c>
      <c r="D56" s="9">
        <f t="shared" si="6"/>
        <v>29.576611154024729</v>
      </c>
      <c r="E56" s="13">
        <f>D56/'ABC analysis'!$D$71</f>
        <v>2.4257538393080828E-3</v>
      </c>
      <c r="F56" s="12">
        <f t="shared" si="7"/>
        <v>55</v>
      </c>
      <c r="G56" s="11">
        <f t="shared" si="11"/>
        <v>0.98159130926936222</v>
      </c>
      <c r="H56" s="10" t="str">
        <f t="shared" si="8"/>
        <v>C</v>
      </c>
      <c r="I56" s="9">
        <f t="shared" si="9"/>
        <v>70.983866769659343</v>
      </c>
      <c r="J56" s="9">
        <f t="shared" si="10"/>
        <v>5.0715749420666238</v>
      </c>
    </row>
    <row r="57" spans="1:10" x14ac:dyDescent="0.35">
      <c r="A57" s="4">
        <v>59</v>
      </c>
      <c r="B57" s="9">
        <f>VLOOKUP(A57,Data!$A$2:$K$70,3,0)</f>
        <v>0.5</v>
      </c>
      <c r="C57" s="9">
        <f>VLOOKUP(A57,'Price BreakModel'!$A$2:$M$70,6,0)/B57</f>
        <v>48.803508501982762</v>
      </c>
      <c r="D57" s="9">
        <f t="shared" si="6"/>
        <v>24.401754250991381</v>
      </c>
      <c r="E57" s="13">
        <f>D57/'ABC analysis'!$D$71</f>
        <v>2.0013330381881784E-3</v>
      </c>
      <c r="F57" s="12">
        <f t="shared" si="7"/>
        <v>56</v>
      </c>
      <c r="G57" s="11">
        <f t="shared" si="11"/>
        <v>0.98359264230755039</v>
      </c>
      <c r="H57" s="10" t="str">
        <f t="shared" si="8"/>
        <v>C</v>
      </c>
      <c r="I57" s="9">
        <f t="shared" si="9"/>
        <v>97.607017003965524</v>
      </c>
      <c r="J57" s="9">
        <f t="shared" si="10"/>
        <v>3.6882594207891235</v>
      </c>
    </row>
    <row r="58" spans="1:10" x14ac:dyDescent="0.35">
      <c r="A58" s="4">
        <v>55</v>
      </c>
      <c r="B58" s="9">
        <f>VLOOKUP(A58,Data!$A$2:$K$70,3,0)</f>
        <v>0.72222222222222221</v>
      </c>
      <c r="C58" s="9">
        <f>VLOOKUP(A58,'Price BreakModel'!$A$2:$M$70,6,0)/B58</f>
        <v>33.787044347526525</v>
      </c>
      <c r="D58" s="9">
        <f t="shared" si="6"/>
        <v>24.401754250991377</v>
      </c>
      <c r="E58" s="13">
        <f>D58/'ABC analysis'!$D$71</f>
        <v>2.001333038188178E-3</v>
      </c>
      <c r="F58" s="12">
        <f t="shared" si="7"/>
        <v>57</v>
      </c>
      <c r="G58" s="11">
        <f t="shared" si="11"/>
        <v>0.98559397534573856</v>
      </c>
      <c r="H58" s="10" t="str">
        <f t="shared" si="8"/>
        <v>C</v>
      </c>
      <c r="I58" s="9">
        <f t="shared" si="9"/>
        <v>67.574088695053049</v>
      </c>
      <c r="J58" s="9">
        <f t="shared" si="10"/>
        <v>5.327485830028734</v>
      </c>
    </row>
    <row r="59" spans="1:10" x14ac:dyDescent="0.35">
      <c r="A59" s="4">
        <v>57</v>
      </c>
      <c r="B59" s="9">
        <f>VLOOKUP(A59,Data!$A$2:$K$70,3,0)</f>
        <v>0.61111111111111116</v>
      </c>
      <c r="C59" s="9">
        <f>VLOOKUP(A59,'Price BreakModel'!$A$2:$M$70,6,0)/B59</f>
        <v>38.090680674665819</v>
      </c>
      <c r="D59" s="9">
        <f t="shared" si="6"/>
        <v>23.277638190073557</v>
      </c>
      <c r="E59" s="13">
        <f>D59/'ABC analysis'!$D$71</f>
        <v>1.9091375923881537E-3</v>
      </c>
      <c r="F59" s="12">
        <f t="shared" si="7"/>
        <v>58</v>
      </c>
      <c r="G59" s="11">
        <f t="shared" si="11"/>
        <v>0.98750311293812676</v>
      </c>
      <c r="H59" s="10" t="str">
        <f t="shared" si="8"/>
        <v>C</v>
      </c>
      <c r="I59" s="9">
        <f t="shared" si="9"/>
        <v>76.181361349331638</v>
      </c>
      <c r="J59" s="9">
        <f t="shared" si="10"/>
        <v>4.7255653302021017</v>
      </c>
    </row>
    <row r="60" spans="1:10" x14ac:dyDescent="0.35">
      <c r="A60" s="4">
        <v>60</v>
      </c>
      <c r="B60" s="9">
        <f>VLOOKUP(A60,Data!$A$2:$K$70,3,0)</f>
        <v>0.44444444444444442</v>
      </c>
      <c r="C60" s="9">
        <f>VLOOKUP(A60,'Price BreakModel'!$A$2:$M$70,6,0)/B60</f>
        <v>47.237900077244504</v>
      </c>
      <c r="D60" s="9">
        <f t="shared" si="6"/>
        <v>20.994622256553111</v>
      </c>
      <c r="E60" s="13">
        <f>D60/'ABC analysis'!$D$71</f>
        <v>1.7218938734543455E-3</v>
      </c>
      <c r="F60" s="12">
        <f t="shared" si="7"/>
        <v>59</v>
      </c>
      <c r="G60" s="11">
        <f t="shared" si="11"/>
        <v>0.9892250068115811</v>
      </c>
      <c r="H60" s="10" t="str">
        <f t="shared" si="8"/>
        <v>C</v>
      </c>
      <c r="I60" s="9">
        <f t="shared" si="9"/>
        <v>94.475800154489008</v>
      </c>
      <c r="J60" s="9">
        <f t="shared" si="10"/>
        <v>3.8104996137774934</v>
      </c>
    </row>
    <row r="61" spans="1:10" x14ac:dyDescent="0.35">
      <c r="A61" s="4">
        <v>62</v>
      </c>
      <c r="B61" s="9">
        <f>VLOOKUP(A61,Data!$A$2:$K$70,3,0)</f>
        <v>0.33333333333333331</v>
      </c>
      <c r="C61" s="9">
        <f>VLOOKUP(A61,'Price BreakModel'!$A$2:$M$70,6,0)/B61</f>
        <v>60</v>
      </c>
      <c r="D61" s="9">
        <f t="shared" si="6"/>
        <v>20</v>
      </c>
      <c r="E61" s="13">
        <f>D61/'ABC analysis'!$D$71</f>
        <v>1.640318984940904E-3</v>
      </c>
      <c r="F61" s="12">
        <f t="shared" si="7"/>
        <v>60</v>
      </c>
      <c r="G61" s="11">
        <f t="shared" si="11"/>
        <v>0.99086532579652198</v>
      </c>
      <c r="H61" s="10" t="str">
        <f t="shared" si="8"/>
        <v>C</v>
      </c>
      <c r="I61" s="9">
        <f t="shared" si="9"/>
        <v>120</v>
      </c>
      <c r="J61" s="9">
        <f t="shared" si="10"/>
        <v>3</v>
      </c>
    </row>
    <row r="62" spans="1:10" x14ac:dyDescent="0.35">
      <c r="A62" s="4">
        <v>58</v>
      </c>
      <c r="B62" s="9">
        <f>VLOOKUP(A62,Data!$A$2:$K$70,3,0)</f>
        <v>0.55555555555555558</v>
      </c>
      <c r="C62" s="9">
        <f>VLOOKUP(A62,'Price BreakModel'!$A$2:$M$70,6,0)/B62</f>
        <v>32.970562748477143</v>
      </c>
      <c r="D62" s="9">
        <f t="shared" si="6"/>
        <v>18.316979304709523</v>
      </c>
      <c r="E62" s="13">
        <f>D62/'ABC analysis'!$D$71</f>
        <v>1.5022844450142334E-3</v>
      </c>
      <c r="F62" s="12">
        <f t="shared" si="7"/>
        <v>61</v>
      </c>
      <c r="G62" s="11">
        <f t="shared" si="11"/>
        <v>0.99236761024153619</v>
      </c>
      <c r="H62" s="10" t="str">
        <f t="shared" si="8"/>
        <v>C</v>
      </c>
      <c r="I62" s="9">
        <f t="shared" si="9"/>
        <v>65.941125496954285</v>
      </c>
      <c r="J62" s="9">
        <f t="shared" si="10"/>
        <v>5.4594154601839158</v>
      </c>
    </row>
    <row r="63" spans="1:10" x14ac:dyDescent="0.35">
      <c r="A63" s="4">
        <v>61</v>
      </c>
      <c r="B63" s="9">
        <f>VLOOKUP(A63,Data!$A$2:$K$70,3,0)</f>
        <v>0.3888888888888889</v>
      </c>
      <c r="C63" s="9">
        <f>VLOOKUP(A63,'Price BreakModel'!$A$2:$M$70,6,0)/B63</f>
        <v>45.784749015162753</v>
      </c>
      <c r="D63" s="9">
        <f t="shared" si="6"/>
        <v>17.805180172563293</v>
      </c>
      <c r="E63" s="13">
        <f>D63/'ABC analysis'!$D$71</f>
        <v>1.4603087533674466E-3</v>
      </c>
      <c r="F63" s="12">
        <f t="shared" si="7"/>
        <v>62</v>
      </c>
      <c r="G63" s="11">
        <f t="shared" si="11"/>
        <v>0.99382791899490364</v>
      </c>
      <c r="H63" s="10" t="str">
        <f t="shared" si="8"/>
        <v>C</v>
      </c>
      <c r="I63" s="9">
        <f t="shared" si="9"/>
        <v>91.569498030325505</v>
      </c>
      <c r="J63" s="9">
        <f t="shared" si="10"/>
        <v>3.9314401382955828</v>
      </c>
    </row>
    <row r="64" spans="1:10" x14ac:dyDescent="0.35">
      <c r="A64" s="4">
        <v>64</v>
      </c>
      <c r="B64" s="9">
        <f>VLOOKUP(A64,Data!$A$2:$K$70,3,0)</f>
        <v>0.25</v>
      </c>
      <c r="C64" s="9">
        <f>VLOOKUP(A64,'Price BreakModel'!$A$2:$M$70,6,0)/B64</f>
        <v>61.46640106136303</v>
      </c>
      <c r="D64" s="9">
        <f t="shared" si="6"/>
        <v>15.366600265340757</v>
      </c>
      <c r="E64" s="13">
        <f>D64/'ABC analysis'!$D$71</f>
        <v>1.2603063074618187E-3</v>
      </c>
      <c r="F64" s="12">
        <f t="shared" si="7"/>
        <v>63</v>
      </c>
      <c r="G64" s="11">
        <f t="shared" si="11"/>
        <v>0.9950882253023654</v>
      </c>
      <c r="H64" s="10" t="str">
        <f t="shared" si="8"/>
        <v>C</v>
      </c>
      <c r="I64" s="9">
        <f t="shared" si="9"/>
        <v>122.93280212272606</v>
      </c>
      <c r="J64" s="9">
        <f t="shared" si="10"/>
        <v>2.9284291400159042</v>
      </c>
    </row>
    <row r="65" spans="1:10" x14ac:dyDescent="0.35">
      <c r="A65" s="4">
        <v>63</v>
      </c>
      <c r="B65" s="9">
        <f>VLOOKUP(A65,Data!$A$2:$K$70,3,0)</f>
        <v>0.27777777777777779</v>
      </c>
      <c r="C65" s="9">
        <f>VLOOKUP(A65,'Price BreakModel'!$A$2:$M$70,6,0)/B65</f>
        <v>43.45584412271571</v>
      </c>
      <c r="D65" s="9">
        <f t="shared" si="6"/>
        <v>12.071067811865476</v>
      </c>
      <c r="E65" s="13">
        <f>D65/'ABC analysis'!$D$71</f>
        <v>9.9002008501559969E-4</v>
      </c>
      <c r="F65" s="12">
        <f t="shared" si="7"/>
        <v>64</v>
      </c>
      <c r="G65" s="11">
        <f t="shared" si="11"/>
        <v>0.99607824538738099</v>
      </c>
      <c r="H65" s="10" t="str">
        <f t="shared" si="8"/>
        <v>C</v>
      </c>
      <c r="I65" s="9">
        <f t="shared" si="9"/>
        <v>86.911688245431421</v>
      </c>
      <c r="J65" s="9">
        <f t="shared" si="10"/>
        <v>4.1421356237309501</v>
      </c>
    </row>
    <row r="66" spans="1:10" x14ac:dyDescent="0.35">
      <c r="A66" s="4">
        <v>65</v>
      </c>
      <c r="B66" s="9">
        <f>VLOOKUP(A66,Data!$A$2:$K$70,3,0)</f>
        <v>0.22222222222222221</v>
      </c>
      <c r="C66" s="9">
        <f>VLOOKUP(A66,'Price BreakModel'!$A$2:$M$70,6,0)/B66</f>
        <v>50</v>
      </c>
      <c r="D66" s="9">
        <f t="shared" ref="D66:D70" si="12">B66*C66</f>
        <v>11.111111111111111</v>
      </c>
      <c r="E66" s="13">
        <f>D66/'ABC analysis'!$D$71</f>
        <v>9.1128832496716885E-4</v>
      </c>
      <c r="F66" s="12">
        <f t="shared" si="7"/>
        <v>65</v>
      </c>
      <c r="G66" s="11">
        <f t="shared" si="11"/>
        <v>0.99698953371234811</v>
      </c>
      <c r="H66" s="10" t="str">
        <f t="shared" ref="H66:H70" si="13">IF(G66&lt;=80%,"A",IF(G66&lt;=95%,"B","C"))</f>
        <v>C</v>
      </c>
      <c r="I66" s="9">
        <f t="shared" si="9"/>
        <v>100</v>
      </c>
      <c r="J66" s="9">
        <f t="shared" ref="J66:J70" si="14">360/I66</f>
        <v>3.6</v>
      </c>
    </row>
    <row r="67" spans="1:10" x14ac:dyDescent="0.35">
      <c r="A67" s="4">
        <v>67</v>
      </c>
      <c r="B67" s="9">
        <f>VLOOKUP(A67,Data!$A$2:$K$70,3,0)</f>
        <v>0.16666666666666666</v>
      </c>
      <c r="C67" s="9">
        <f>VLOOKUP(A67,'Price BreakModel'!$A$2:$M$70,6,0)/B67</f>
        <v>65.496835316263002</v>
      </c>
      <c r="D67" s="9">
        <f t="shared" si="12"/>
        <v>10.916139219377166</v>
      </c>
      <c r="E67" s="13">
        <f>D67/'ABC analysis'!$D$71</f>
        <v>8.9529752019011719E-4</v>
      </c>
      <c r="F67" s="12">
        <f t="shared" si="7"/>
        <v>66</v>
      </c>
      <c r="G67" s="11">
        <f t="shared" si="11"/>
        <v>0.99788483123253824</v>
      </c>
      <c r="H67" s="10" t="str">
        <f t="shared" si="13"/>
        <v>C</v>
      </c>
      <c r="I67" s="9">
        <f t="shared" si="9"/>
        <v>130.993670632526</v>
      </c>
      <c r="J67" s="9">
        <f t="shared" si="14"/>
        <v>2.7482243856644111</v>
      </c>
    </row>
    <row r="68" spans="1:10" x14ac:dyDescent="0.35">
      <c r="A68" s="4">
        <v>68</v>
      </c>
      <c r="B68" s="9">
        <f>VLOOKUP(A68,Data!$A$2:$K$70,3,0)</f>
        <v>0.1388888888888889</v>
      </c>
      <c r="C68" s="9">
        <f>VLOOKUP(A68,'Price BreakModel'!$A$2:$M$70,6,0)/B68</f>
        <v>65.569219381653042</v>
      </c>
      <c r="D68" s="9">
        <f t="shared" si="12"/>
        <v>9.1068360252295903</v>
      </c>
      <c r="E68" s="13">
        <f>D68/'ABC analysis'!$D$71</f>
        <v>7.4690580124639288E-4</v>
      </c>
      <c r="F68" s="12">
        <f t="shared" si="7"/>
        <v>67</v>
      </c>
      <c r="G68" s="11">
        <f t="shared" si="11"/>
        <v>0.99863173703378461</v>
      </c>
      <c r="H68" s="10" t="str">
        <f t="shared" si="13"/>
        <v>C</v>
      </c>
      <c r="I68" s="9">
        <f t="shared" si="9"/>
        <v>131.13843876330608</v>
      </c>
      <c r="J68" s="9">
        <f t="shared" si="14"/>
        <v>2.7451905283832905</v>
      </c>
    </row>
    <row r="69" spans="1:10" x14ac:dyDescent="0.35">
      <c r="A69" s="4">
        <v>66</v>
      </c>
      <c r="B69" s="9">
        <f>VLOOKUP(A69,Data!$A$2:$K$70,3,0)</f>
        <v>0.19444444444444445</v>
      </c>
      <c r="C69" s="9">
        <f>VLOOKUP(A69,'Price BreakModel'!$A$2:$M$70,6,0)/B69</f>
        <v>44.685486624025451</v>
      </c>
      <c r="D69" s="9">
        <f t="shared" si="12"/>
        <v>8.6888446213382817</v>
      </c>
      <c r="E69" s="13">
        <f>D69/'ABC analysis'!$D$71</f>
        <v>7.1262383947914214E-4</v>
      </c>
      <c r="F69" s="12">
        <f t="shared" si="7"/>
        <v>68</v>
      </c>
      <c r="G69" s="11">
        <f t="shared" si="11"/>
        <v>0.99934436087326373</v>
      </c>
      <c r="H69" s="10" t="str">
        <f t="shared" si="13"/>
        <v>C</v>
      </c>
      <c r="I69" s="9">
        <f t="shared" si="9"/>
        <v>89.370973248050902</v>
      </c>
      <c r="J69" s="9">
        <f t="shared" si="14"/>
        <v>4.0281535146854992</v>
      </c>
    </row>
    <row r="70" spans="1:10" x14ac:dyDescent="0.35">
      <c r="A70" s="4">
        <v>69</v>
      </c>
      <c r="B70" s="9">
        <f>VLOOKUP(A70,Data!$A$2:$K$70,3,0)</f>
        <v>0.125</v>
      </c>
      <c r="C70" s="9">
        <f>VLOOKUP(A70,'Price BreakModel'!$A$2:$M$70,6,0)/B70</f>
        <v>63.952353926806069</v>
      </c>
      <c r="D70" s="9">
        <f t="shared" si="12"/>
        <v>7.9940442408507586</v>
      </c>
      <c r="E70" s="13">
        <f>D70/'ABC analysis'!$D$71</f>
        <v>6.5563912673624971E-4</v>
      </c>
      <c r="F70" s="12">
        <f t="shared" si="7"/>
        <v>69</v>
      </c>
      <c r="G70" s="11">
        <f t="shared" si="11"/>
        <v>1</v>
      </c>
      <c r="H70" s="10" t="str">
        <f t="shared" si="13"/>
        <v>C</v>
      </c>
      <c r="I70" s="9">
        <f t="shared" si="9"/>
        <v>127.90470785361214</v>
      </c>
      <c r="J70" s="9">
        <f t="shared" si="14"/>
        <v>2.8145953815243656</v>
      </c>
    </row>
    <row r="71" spans="1:10" x14ac:dyDescent="0.35">
      <c r="C71" s="14" t="s">
        <v>105</v>
      </c>
      <c r="D71">
        <f>SUM('ABC analysis'!D2:D70)</f>
        <v>12192.750424528278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Data</vt:lpstr>
      <vt:lpstr>Price BreakModel</vt:lpstr>
      <vt:lpstr>Reorder Point </vt:lpstr>
      <vt:lpstr>ABC analysis</vt:lpstr>
      <vt:lpstr>a</vt:lpstr>
      <vt:lpstr>Annual_Demand__Units</vt:lpstr>
      <vt:lpstr>b</vt:lpstr>
      <vt:lpstr>c_</vt:lpstr>
      <vt:lpstr>Daily_Demand</vt:lpstr>
      <vt:lpstr>dis</vt:lpstr>
      <vt:lpstr>Discounted_Price</vt:lpstr>
      <vt:lpstr>EOQ</vt:lpstr>
      <vt:lpstr>Holding_Cost</vt:lpstr>
      <vt:lpstr>Holding_Cost_per_Unit_per_Year</vt:lpstr>
      <vt:lpstr>Lead_Time__Days</vt:lpstr>
      <vt:lpstr>Order_Cost</vt:lpstr>
      <vt:lpstr>Q</vt:lpstr>
      <vt:lpstr>Sales_Price_per_Unit</vt:lpstr>
      <vt:lpstr>Setup_Cost</vt:lpstr>
      <vt:lpstr>Size_Limit</vt:lpstr>
      <vt:lpstr>TCU_y_m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</dc:creator>
  <cp:lastModifiedBy>Muhammad Usman</cp:lastModifiedBy>
  <dcterms:created xsi:type="dcterms:W3CDTF">2024-05-21T02:20:41Z</dcterms:created>
  <dcterms:modified xsi:type="dcterms:W3CDTF">2024-05-21T05:31:25Z</dcterms:modified>
</cp:coreProperties>
</file>