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https://d.docs.live.net/a4a85b43aed92f1a/Documents/"/>
    </mc:Choice>
  </mc:AlternateContent>
  <xr:revisionPtr revIDLastSave="8" documentId="8_{54371C21-1C20-4AF0-919F-C41D9672AE58}" xr6:coauthVersionLast="47" xr6:coauthVersionMax="47" xr10:uidLastSave="{6D448F32-FB61-4B84-9DBD-35FA32552784}"/>
  <bookViews>
    <workbookView xWindow="760" yWindow="760" windowWidth="14400" windowHeight="7360" firstSheet="4" activeTab="9" xr2:uid="{A0DA1BBF-A42D-4DEB-84EE-FE58F5FD0C58}"/>
  </bookViews>
  <sheets>
    <sheet name="Data" sheetId="1" r:id="rId1"/>
    <sheet name="Calcula" sheetId="16" r:id="rId2"/>
    <sheet name="Price Break Model" sheetId="11" r:id="rId3"/>
    <sheet name="ABC" sheetId="3" r:id="rId4"/>
    <sheet name="StockManagement" sheetId="7" r:id="rId5"/>
    <sheet name="ReorderPoint" sheetId="4" r:id="rId6"/>
    <sheet name="Profit" sheetId="2" r:id="rId7"/>
    <sheet name="SalesData" sheetId="12" r:id="rId8"/>
    <sheet name="Analysis" sheetId="13" r:id="rId9"/>
    <sheet name="Visualization" sheetId="15" r:id="rId10"/>
  </sheets>
  <externalReferences>
    <externalReference r:id="rId11"/>
  </externalReferences>
  <definedNames>
    <definedName name="_xlnm._FilterDatabase" localSheetId="3" hidden="1">ABC!$A$2:$F$21</definedName>
    <definedName name="a">'Price Break Model'!$C$2:$C$21</definedName>
    <definedName name="AAA">'[1]Price BreakModel'!$G$2:$G$70</definedName>
    <definedName name="Annual_Demand__Units">[1]Data!$D$2:$D$70</definedName>
    <definedName name="Average_Inventory__Qbar">Calcula!$E$2:$E$21</definedName>
    <definedName name="b">'Price Break Model'!$D$2:$D$21</definedName>
    <definedName name="BBB">'[1]Price BreakModel'!$H$2:$H$70</definedName>
    <definedName name="c_1">Data!$F$2:$F$21</definedName>
    <definedName name="c_2">Data!$G$2:$G$21</definedName>
    <definedName name="CCC">'[1]Price BreakModel'!$I$2:$I$70</definedName>
    <definedName name="cp">'Price Break Model'!$E$2:$E$21</definedName>
    <definedName name="D">Data!$B$2:$B$21</definedName>
    <definedName name="Daily_Demand">[1]Data!$C$2:$C$70</definedName>
    <definedName name="dataset">[1]Data!$A$2:$J$68</definedName>
    <definedName name="Disc">'Price Break Model'!$F$2:$F$21</definedName>
    <definedName name="Discounted_Price">[1]Data!$J$2:$J$70</definedName>
    <definedName name="discre">'[1]Price BreakModel'!$J$2:$J$70</definedName>
    <definedName name="EOQ">'[1]Price BreakModel'!$B$2:$B$70</definedName>
    <definedName name="h">Calcula!$F$2:$F$21</definedName>
    <definedName name="Holding_Cost">'[1]Price BreakModel'!$E$2:$E$70</definedName>
    <definedName name="Holding_Cost_per_Unit_per_Year">[1]Data!$G$2:$G$70</definedName>
    <definedName name="Initial_Inventory__Units">#REF!</definedName>
    <definedName name="K">Calcula!$D$2:$D$21</definedName>
    <definedName name="L">Data!$E$2:$E$21</definedName>
    <definedName name="Lead_Time__Days">[1]Data!$H$2:$H$70</definedName>
    <definedName name="Length_of_Supply_Cycle">'[1]Reorder Point '!$B$2:$B$70</definedName>
    <definedName name="Length_of_Supply_Cycle__t_d">Calcula!$C$2:$C$21</definedName>
    <definedName name="m">ReorderPoint!$E$2:$E$21</definedName>
    <definedName name="Order_Cost">[1]Data!$F$2:$F$70</definedName>
    <definedName name="Product_ID">[1]Data!$A$2:$A$68</definedName>
    <definedName name="Product_Name">[1]Data!$B$2:$B$70</definedName>
    <definedName name="Product1">ReorderPoint!$A$2:$A$21</definedName>
    <definedName name="q">Data!$H$2:$H$21</definedName>
    <definedName name="q_1">'Price Break Model'!$G$2:$G$21</definedName>
    <definedName name="QE_1">'[1]Price BreakModel'!$K$2:$K$70</definedName>
    <definedName name="Sales_Price_per_Unit">[1]Data!$I$2:$I$70</definedName>
    <definedName name="Setup_Cost">'[1]Price BreakModel'!$D$2:$D$70</definedName>
    <definedName name="Size_Limit">'[1]Price BreakModel'!$C$2:$C$70</definedName>
    <definedName name="Slicer_Month">#N/A</definedName>
    <definedName name="Slicer_Payment_Mode">#N/A</definedName>
    <definedName name="TCU">'Price Break Model'!$B$2:$B$21</definedName>
    <definedName name="TCU_y">'Price Break Model'!$B$2:$B$21</definedName>
    <definedName name="TCU_y_m">'[1]Price BreakModel'!$F$2:$F$70</definedName>
    <definedName name="Unit_Cost">[1]Data!$E$2:$E$70</definedName>
    <definedName name="unit_h">Data!$C$2:$C$21</definedName>
    <definedName name="unit_k">Data!$D$2:$D$21</definedName>
    <definedName name="y_">Calcula!$B$2:$B$21</definedName>
    <definedName name="ZoneDecision">'Price Break Model'!$H$2:$H$21</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68" i="12" l="1"/>
  <c r="E369" i="12"/>
  <c r="E367" i="12"/>
  <c r="I368" i="12"/>
  <c r="I369" i="12"/>
  <c r="I370" i="12"/>
  <c r="I371" i="12"/>
  <c r="I372" i="12"/>
  <c r="I373" i="12"/>
  <c r="I374" i="12"/>
  <c r="I375" i="12"/>
  <c r="I376" i="12"/>
  <c r="H368" i="12"/>
  <c r="H369" i="12"/>
  <c r="H370" i="12"/>
  <c r="H371" i="12"/>
  <c r="H372" i="12"/>
  <c r="H373" i="12"/>
  <c r="H374" i="12"/>
  <c r="H375" i="12"/>
  <c r="H376" i="12"/>
  <c r="G368" i="12"/>
  <c r="G369" i="12"/>
  <c r="G370" i="12"/>
  <c r="G371" i="12"/>
  <c r="G372" i="12"/>
  <c r="G373" i="12"/>
  <c r="G374" i="12"/>
  <c r="G375" i="12"/>
  <c r="G376" i="12"/>
  <c r="D368" i="12"/>
  <c r="D367" i="12"/>
  <c r="C368" i="12"/>
  <c r="C369" i="12" s="1"/>
  <c r="C367" i="12"/>
  <c r="G367" i="12"/>
  <c r="H367" i="12"/>
  <c r="I367" i="12"/>
  <c r="F3" i="4"/>
  <c r="F4" i="4"/>
  <c r="F5" i="4"/>
  <c r="F6" i="4"/>
  <c r="F7" i="4"/>
  <c r="F8" i="4"/>
  <c r="F9" i="4"/>
  <c r="F10" i="4"/>
  <c r="F11" i="4"/>
  <c r="F12" i="4"/>
  <c r="F13" i="4"/>
  <c r="F14" i="4"/>
  <c r="F15" i="4"/>
  <c r="F16" i="4"/>
  <c r="F17" i="4"/>
  <c r="F18" i="4"/>
  <c r="F19" i="4"/>
  <c r="F20" i="4"/>
  <c r="F21" i="4"/>
  <c r="F2" i="4"/>
  <c r="E3" i="4"/>
  <c r="E4" i="4"/>
  <c r="E5" i="4"/>
  <c r="E6" i="4"/>
  <c r="E7" i="4"/>
  <c r="E8" i="4"/>
  <c r="E9" i="4"/>
  <c r="E10" i="4"/>
  <c r="E11" i="4"/>
  <c r="E12" i="4"/>
  <c r="E13" i="4"/>
  <c r="E14" i="4"/>
  <c r="E15" i="4"/>
  <c r="E16" i="4"/>
  <c r="E17" i="4"/>
  <c r="E18" i="4"/>
  <c r="E19" i="4"/>
  <c r="E20" i="4"/>
  <c r="E21" i="4"/>
  <c r="E2" i="4"/>
  <c r="G3" i="4"/>
  <c r="G4" i="4"/>
  <c r="G5" i="4"/>
  <c r="G6" i="4"/>
  <c r="G7" i="4"/>
  <c r="G8" i="4"/>
  <c r="G9" i="4"/>
  <c r="G10" i="4"/>
  <c r="G11" i="4"/>
  <c r="G12" i="4"/>
  <c r="G13" i="4"/>
  <c r="G14" i="4"/>
  <c r="G15" i="4"/>
  <c r="G16" i="4"/>
  <c r="G17" i="4"/>
  <c r="G18" i="4"/>
  <c r="G19" i="4"/>
  <c r="G20" i="4"/>
  <c r="G21" i="4"/>
  <c r="G2" i="4"/>
  <c r="B2" i="16" a="1"/>
  <c r="B2" i="16" s="1"/>
  <c r="H2" i="12"/>
  <c r="I2" i="12"/>
  <c r="H3" i="12"/>
  <c r="I3" i="12"/>
  <c r="H4" i="12"/>
  <c r="I4" i="12"/>
  <c r="H5" i="12"/>
  <c r="I5" i="12"/>
  <c r="H6" i="12"/>
  <c r="I6" i="12"/>
  <c r="H7" i="12"/>
  <c r="I7" i="12"/>
  <c r="H8" i="12"/>
  <c r="I8" i="12"/>
  <c r="H9" i="12"/>
  <c r="I9" i="12"/>
  <c r="H10" i="12"/>
  <c r="I10" i="12"/>
  <c r="H11" i="12"/>
  <c r="I11" i="12"/>
  <c r="H12" i="12"/>
  <c r="I12" i="12"/>
  <c r="H13" i="12"/>
  <c r="I13" i="12"/>
  <c r="J29" i="13"/>
  <c r="J15" i="13"/>
  <c r="J16" i="13"/>
  <c r="J13" i="13"/>
  <c r="J11" i="13"/>
  <c r="J12" i="13"/>
  <c r="G14" i="13"/>
  <c r="J28" i="13"/>
  <c r="J27" i="13"/>
  <c r="J26" i="13"/>
  <c r="J22" i="13"/>
  <c r="G13" i="13"/>
  <c r="J20" i="13"/>
  <c r="G11" i="13"/>
  <c r="J19" i="13"/>
  <c r="G12" i="13"/>
  <c r="J18" i="13"/>
  <c r="J30" i="13"/>
  <c r="J17" i="13"/>
  <c r="J14" i="13"/>
  <c r="J25" i="13"/>
  <c r="J24" i="13"/>
  <c r="J23" i="13"/>
  <c r="E371" i="12" l="1"/>
  <c r="E372" i="12" s="1"/>
  <c r="E373" i="12" s="1"/>
  <c r="E370" i="12"/>
  <c r="D369" i="12"/>
  <c r="C370" i="12"/>
  <c r="C2" i="16" a="1"/>
  <c r="C2" i="16" s="1"/>
  <c r="D2" i="16" s="1" a="1"/>
  <c r="D2" i="16" s="1"/>
  <c r="E2" i="16" a="1"/>
  <c r="E2" i="16" s="1"/>
  <c r="F2" i="16" s="1" a="1"/>
  <c r="F2" i="16" s="1"/>
  <c r="H17" i="13"/>
  <c r="I17" i="13"/>
  <c r="H19" i="13"/>
  <c r="I19" i="13"/>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G3" i="12"/>
  <c r="G4"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G94" i="12"/>
  <c r="G95" i="12"/>
  <c r="G96" i="12"/>
  <c r="G97" i="12"/>
  <c r="G98" i="12"/>
  <c r="G99" i="12"/>
  <c r="G100" i="12"/>
  <c r="G101" i="12"/>
  <c r="G102" i="12"/>
  <c r="G103" i="12"/>
  <c r="G104" i="12"/>
  <c r="G105" i="12"/>
  <c r="G106" i="12"/>
  <c r="G107" i="12"/>
  <c r="G108" i="12"/>
  <c r="G109" i="12"/>
  <c r="G110" i="12"/>
  <c r="G111" i="12"/>
  <c r="G112" i="12"/>
  <c r="G113" i="12"/>
  <c r="G114" i="12"/>
  <c r="G115" i="12"/>
  <c r="G116" i="12"/>
  <c r="G117" i="12"/>
  <c r="G118" i="12"/>
  <c r="G119" i="12"/>
  <c r="G120" i="12"/>
  <c r="G121" i="12"/>
  <c r="G122" i="12"/>
  <c r="G123" i="12"/>
  <c r="G124" i="12"/>
  <c r="G125" i="12"/>
  <c r="G126" i="12"/>
  <c r="G127" i="12"/>
  <c r="G128" i="12"/>
  <c r="G129" i="12"/>
  <c r="G130" i="12"/>
  <c r="G131" i="12"/>
  <c r="G132" i="12"/>
  <c r="G133" i="12"/>
  <c r="G134" i="12"/>
  <c r="G135" i="12"/>
  <c r="G136" i="12"/>
  <c r="G137" i="12"/>
  <c r="G138" i="12"/>
  <c r="G139" i="12"/>
  <c r="G140" i="12"/>
  <c r="G141" i="12"/>
  <c r="G142" i="12"/>
  <c r="G143" i="12"/>
  <c r="G144" i="12"/>
  <c r="G145" i="12"/>
  <c r="G146" i="12"/>
  <c r="G147" i="12"/>
  <c r="G148" i="12"/>
  <c r="G149" i="12"/>
  <c r="G150" i="12"/>
  <c r="G151" i="12"/>
  <c r="G152" i="12"/>
  <c r="G153" i="12"/>
  <c r="G154" i="12"/>
  <c r="G155" i="12"/>
  <c r="G156" i="12"/>
  <c r="G157" i="12"/>
  <c r="G158" i="12"/>
  <c r="G159" i="12"/>
  <c r="G160" i="12"/>
  <c r="G161" i="12"/>
  <c r="G162" i="12"/>
  <c r="G163" i="12"/>
  <c r="G164" i="12"/>
  <c r="G165" i="12"/>
  <c r="G166" i="12"/>
  <c r="G167" i="12"/>
  <c r="G168" i="12"/>
  <c r="G169" i="12"/>
  <c r="G170" i="12"/>
  <c r="G171" i="12"/>
  <c r="G172" i="12"/>
  <c r="G173" i="12"/>
  <c r="G174" i="12"/>
  <c r="G175" i="12"/>
  <c r="G176" i="12"/>
  <c r="G177" i="12"/>
  <c r="G178" i="12"/>
  <c r="G179" i="12"/>
  <c r="G180" i="12"/>
  <c r="G181" i="12"/>
  <c r="G182" i="12"/>
  <c r="G183" i="12"/>
  <c r="G184" i="12"/>
  <c r="G185" i="12"/>
  <c r="G186" i="12"/>
  <c r="G187" i="12"/>
  <c r="G188" i="12"/>
  <c r="G189" i="12"/>
  <c r="G190" i="12"/>
  <c r="G191" i="12"/>
  <c r="G192" i="12"/>
  <c r="G193" i="12"/>
  <c r="G194" i="12"/>
  <c r="G195" i="12"/>
  <c r="G196" i="12"/>
  <c r="G197" i="12"/>
  <c r="G198" i="12"/>
  <c r="G199" i="12"/>
  <c r="G200" i="12"/>
  <c r="G201" i="12"/>
  <c r="G202" i="12"/>
  <c r="G203" i="12"/>
  <c r="G204" i="12"/>
  <c r="G205" i="12"/>
  <c r="G206" i="12"/>
  <c r="G207" i="12"/>
  <c r="G208" i="12"/>
  <c r="G209" i="12"/>
  <c r="G210" i="12"/>
  <c r="G211" i="12"/>
  <c r="G212" i="12"/>
  <c r="G213" i="12"/>
  <c r="G214" i="12"/>
  <c r="G215" i="12"/>
  <c r="G216" i="12"/>
  <c r="G217" i="12"/>
  <c r="G218" i="12"/>
  <c r="G219" i="12"/>
  <c r="G220" i="12"/>
  <c r="G221" i="12"/>
  <c r="G222" i="12"/>
  <c r="G223" i="12"/>
  <c r="G224" i="12"/>
  <c r="G225" i="12"/>
  <c r="G226" i="12"/>
  <c r="G227" i="12"/>
  <c r="G228" i="12"/>
  <c r="G229" i="12"/>
  <c r="G230" i="12"/>
  <c r="G231" i="12"/>
  <c r="G232" i="12"/>
  <c r="G233" i="12"/>
  <c r="G234" i="12"/>
  <c r="G235" i="12"/>
  <c r="G236" i="12"/>
  <c r="G237" i="12"/>
  <c r="G238" i="12"/>
  <c r="G239" i="12"/>
  <c r="G240" i="12"/>
  <c r="G241" i="12"/>
  <c r="G242" i="12"/>
  <c r="G243" i="12"/>
  <c r="G244" i="12"/>
  <c r="G245" i="12"/>
  <c r="G246" i="12"/>
  <c r="G247" i="12"/>
  <c r="G248" i="12"/>
  <c r="G249" i="12"/>
  <c r="G250" i="12"/>
  <c r="G251" i="12"/>
  <c r="G252" i="12"/>
  <c r="G253" i="12"/>
  <c r="G254" i="12"/>
  <c r="G255" i="12"/>
  <c r="G256" i="12"/>
  <c r="G257" i="12"/>
  <c r="G258" i="12"/>
  <c r="G259" i="12"/>
  <c r="G260" i="12"/>
  <c r="G261" i="12"/>
  <c r="G262" i="12"/>
  <c r="G263" i="12"/>
  <c r="G264" i="12"/>
  <c r="G265" i="12"/>
  <c r="G266" i="12"/>
  <c r="G267" i="12"/>
  <c r="G268" i="12"/>
  <c r="G269" i="12"/>
  <c r="G270" i="12"/>
  <c r="G271" i="12"/>
  <c r="G272" i="12"/>
  <c r="G273" i="12"/>
  <c r="G274" i="12"/>
  <c r="G275" i="12"/>
  <c r="G276" i="12"/>
  <c r="G277" i="12"/>
  <c r="G278" i="12"/>
  <c r="G279" i="12"/>
  <c r="G280" i="12"/>
  <c r="G281" i="12"/>
  <c r="G282" i="12"/>
  <c r="G283" i="12"/>
  <c r="G284" i="12"/>
  <c r="G285" i="12"/>
  <c r="G286" i="12"/>
  <c r="G287" i="12"/>
  <c r="G288" i="12"/>
  <c r="G289" i="12"/>
  <c r="G290" i="12"/>
  <c r="G291" i="12"/>
  <c r="G292" i="12"/>
  <c r="G293" i="12"/>
  <c r="G294" i="12"/>
  <c r="G295" i="12"/>
  <c r="G296" i="12"/>
  <c r="G297" i="12"/>
  <c r="G298" i="12"/>
  <c r="G299" i="12"/>
  <c r="G300" i="12"/>
  <c r="G301" i="12"/>
  <c r="G302" i="12"/>
  <c r="G303" i="12"/>
  <c r="G304" i="12"/>
  <c r="G305" i="12"/>
  <c r="G306" i="12"/>
  <c r="G307" i="12"/>
  <c r="G308" i="12"/>
  <c r="G309" i="12"/>
  <c r="G310" i="12"/>
  <c r="G311" i="12"/>
  <c r="G312" i="12"/>
  <c r="G313" i="12"/>
  <c r="G314" i="12"/>
  <c r="G315" i="12"/>
  <c r="G316" i="12"/>
  <c r="G317" i="12"/>
  <c r="G318" i="12"/>
  <c r="G319" i="12"/>
  <c r="G320" i="12"/>
  <c r="G321" i="12"/>
  <c r="G322" i="12"/>
  <c r="G323" i="12"/>
  <c r="G324" i="12"/>
  <c r="G325" i="12"/>
  <c r="G326" i="12"/>
  <c r="G327" i="12"/>
  <c r="G328" i="12"/>
  <c r="G329" i="12"/>
  <c r="G330" i="12"/>
  <c r="G331" i="12"/>
  <c r="G332" i="12"/>
  <c r="G333" i="12"/>
  <c r="G334" i="12"/>
  <c r="G335" i="12"/>
  <c r="G336" i="12"/>
  <c r="G337" i="12"/>
  <c r="G338" i="12"/>
  <c r="G339" i="12"/>
  <c r="G340" i="12"/>
  <c r="G341" i="12"/>
  <c r="G342" i="12"/>
  <c r="G343" i="12"/>
  <c r="G344" i="12"/>
  <c r="G345" i="12"/>
  <c r="G346" i="12"/>
  <c r="G347" i="12"/>
  <c r="G348" i="12"/>
  <c r="G349" i="12"/>
  <c r="G350" i="12"/>
  <c r="G351" i="12"/>
  <c r="G352" i="12"/>
  <c r="G353" i="12"/>
  <c r="G354" i="12"/>
  <c r="G355" i="12"/>
  <c r="G356" i="12"/>
  <c r="G357" i="12"/>
  <c r="G358" i="12"/>
  <c r="G359" i="12"/>
  <c r="G360" i="12"/>
  <c r="G361" i="12"/>
  <c r="G362" i="12"/>
  <c r="G363" i="12"/>
  <c r="G364" i="12"/>
  <c r="G365" i="12"/>
  <c r="G366" i="12"/>
  <c r="G2" i="12"/>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3" i="7"/>
  <c r="C21" i="11"/>
  <c r="C20" i="11"/>
  <c r="C19" i="11"/>
  <c r="C18" i="11"/>
  <c r="C17" i="11"/>
  <c r="C16" i="11"/>
  <c r="C15" i="11"/>
  <c r="C14" i="11"/>
  <c r="C13" i="11"/>
  <c r="C12" i="11"/>
  <c r="C11" i="11"/>
  <c r="C10" i="11"/>
  <c r="C9" i="11"/>
  <c r="C8" i="11"/>
  <c r="C7" i="11"/>
  <c r="C6" i="11"/>
  <c r="C5" i="11"/>
  <c r="C4" i="11"/>
  <c r="C3" i="11"/>
  <c r="E2" i="11" a="1"/>
  <c r="E2" i="11" s="1"/>
  <c r="C2" i="3" s="1"/>
  <c r="C2" i="11"/>
  <c r="D3" i="7"/>
  <c r="A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3" i="7"/>
  <c r="I4" i="7"/>
  <c r="K4" i="7" s="1"/>
  <c r="I5" i="7"/>
  <c r="I6" i="7"/>
  <c r="K6" i="7" s="1"/>
  <c r="I7" i="7"/>
  <c r="I8" i="7"/>
  <c r="I9" i="7"/>
  <c r="I10" i="7"/>
  <c r="I11" i="7"/>
  <c r="K11" i="7" s="1"/>
  <c r="I12" i="7"/>
  <c r="I13" i="7"/>
  <c r="I14" i="7"/>
  <c r="I15" i="7"/>
  <c r="I16" i="7"/>
  <c r="K16" i="7" s="1"/>
  <c r="I17" i="7"/>
  <c r="I18" i="7"/>
  <c r="K18" i="7" s="1"/>
  <c r="I19" i="7"/>
  <c r="I20" i="7"/>
  <c r="I21" i="7"/>
  <c r="I22" i="7"/>
  <c r="I23" i="7"/>
  <c r="K23" i="7" s="1"/>
  <c r="I24" i="7"/>
  <c r="I25" i="7"/>
  <c r="I26" i="7"/>
  <c r="I27" i="7"/>
  <c r="I28" i="7"/>
  <c r="K28" i="7" s="1"/>
  <c r="I29" i="7"/>
  <c r="I30" i="7"/>
  <c r="K30" i="7" s="1"/>
  <c r="I31" i="7"/>
  <c r="I32" i="7"/>
  <c r="I33" i="7"/>
  <c r="I34" i="7"/>
  <c r="I35" i="7"/>
  <c r="K35" i="7" s="1"/>
  <c r="I36" i="7"/>
  <c r="I37" i="7"/>
  <c r="I38" i="7"/>
  <c r="I39" i="7"/>
  <c r="I40" i="7"/>
  <c r="K40" i="7" s="1"/>
  <c r="I41" i="7"/>
  <c r="I42" i="7"/>
  <c r="K42" i="7" s="1"/>
  <c r="I43" i="7"/>
  <c r="I44" i="7"/>
  <c r="I45" i="7"/>
  <c r="I46" i="7"/>
  <c r="I47" i="7"/>
  <c r="K47" i="7" s="1"/>
  <c r="I48" i="7"/>
  <c r="I49" i="7"/>
  <c r="I50" i="7"/>
  <c r="I51" i="7"/>
  <c r="I52" i="7"/>
  <c r="K52" i="7" s="1"/>
  <c r="I53" i="7"/>
  <c r="I54" i="7"/>
  <c r="K54" i="7" s="1"/>
  <c r="I55" i="7"/>
  <c r="I56" i="7"/>
  <c r="I57" i="7"/>
  <c r="I58" i="7"/>
  <c r="I59" i="7"/>
  <c r="K59" i="7" s="1"/>
  <c r="I60" i="7"/>
  <c r="I61" i="7"/>
  <c r="I62" i="7"/>
  <c r="I63" i="7"/>
  <c r="I64" i="7"/>
  <c r="K64" i="7" s="1"/>
  <c r="I65" i="7"/>
  <c r="I66" i="7"/>
  <c r="K66" i="7" s="1"/>
  <c r="I67" i="7"/>
  <c r="I68" i="7"/>
  <c r="I69" i="7"/>
  <c r="I70" i="7"/>
  <c r="I71" i="7"/>
  <c r="K71" i="7" s="1"/>
  <c r="I72" i="7"/>
  <c r="I73" i="7"/>
  <c r="I74" i="7"/>
  <c r="I75" i="7"/>
  <c r="I76" i="7"/>
  <c r="K76" i="7" s="1"/>
  <c r="I77" i="7"/>
  <c r="I78" i="7"/>
  <c r="K78" i="7" s="1"/>
  <c r="I79" i="7"/>
  <c r="I80" i="7"/>
  <c r="I81" i="7"/>
  <c r="I82" i="7"/>
  <c r="I83" i="7"/>
  <c r="K83" i="7" s="1"/>
  <c r="I84" i="7"/>
  <c r="I85" i="7"/>
  <c r="K85" i="7" s="1"/>
  <c r="I86" i="7"/>
  <c r="I87" i="7"/>
  <c r="I88" i="7"/>
  <c r="K88" i="7" s="1"/>
  <c r="I89" i="7"/>
  <c r="I90" i="7"/>
  <c r="K90" i="7" s="1"/>
  <c r="I91" i="7"/>
  <c r="I92" i="7"/>
  <c r="I93" i="7"/>
  <c r="I94" i="7"/>
  <c r="I95" i="7"/>
  <c r="K95" i="7" s="1"/>
  <c r="I96" i="7"/>
  <c r="I97" i="7"/>
  <c r="K97" i="7" s="1"/>
  <c r="I98" i="7"/>
  <c r="I99" i="7"/>
  <c r="I100" i="7"/>
  <c r="K100" i="7" s="1"/>
  <c r="I101" i="7"/>
  <c r="I102" i="7"/>
  <c r="K102" i="7" s="1"/>
  <c r="I3" i="7"/>
  <c r="E7" i="13"/>
  <c r="F7" i="13"/>
  <c r="E374" i="12" l="1"/>
  <c r="E375" i="12" s="1"/>
  <c r="D370" i="12"/>
  <c r="C371" i="12"/>
  <c r="G7" i="13"/>
  <c r="H7" i="13" s="1"/>
  <c r="C17" i="3"/>
  <c r="C9" i="3"/>
  <c r="C20" i="3"/>
  <c r="C21" i="3"/>
  <c r="C18" i="3"/>
  <c r="C13" i="3"/>
  <c r="C11" i="3"/>
  <c r="C19" i="3"/>
  <c r="C10" i="3"/>
  <c r="C6" i="3"/>
  <c r="C16" i="3"/>
  <c r="C5" i="3"/>
  <c r="C14" i="3"/>
  <c r="C8" i="3"/>
  <c r="C15" i="3"/>
  <c r="C4" i="3"/>
  <c r="C12" i="3"/>
  <c r="C7" i="3"/>
  <c r="C3" i="3"/>
  <c r="K68" i="7"/>
  <c r="K92" i="7"/>
  <c r="K80" i="7"/>
  <c r="K56" i="7"/>
  <c r="K44" i="7"/>
  <c r="K32" i="7"/>
  <c r="K20" i="7"/>
  <c r="K8" i="7"/>
  <c r="K3" i="7"/>
  <c r="K91" i="7"/>
  <c r="K79" i="7"/>
  <c r="K67" i="7"/>
  <c r="K55" i="7"/>
  <c r="K43" i="7"/>
  <c r="K31" i="7"/>
  <c r="K19" i="7"/>
  <c r="K7" i="7"/>
  <c r="K94" i="7"/>
  <c r="K82" i="7"/>
  <c r="K70" i="7"/>
  <c r="K58" i="7"/>
  <c r="K46" i="7"/>
  <c r="K34" i="7"/>
  <c r="K22" i="7"/>
  <c r="K10" i="7"/>
  <c r="K93" i="7"/>
  <c r="K81" i="7"/>
  <c r="K69" i="7"/>
  <c r="K57" i="7"/>
  <c r="K45" i="7"/>
  <c r="K33" i="7"/>
  <c r="K21" i="7"/>
  <c r="K9" i="7"/>
  <c r="K73" i="7"/>
  <c r="K61" i="7"/>
  <c r="K49" i="7"/>
  <c r="K37" i="7"/>
  <c r="K25" i="7"/>
  <c r="K13" i="7"/>
  <c r="K96" i="7"/>
  <c r="K84" i="7"/>
  <c r="K72" i="7"/>
  <c r="K60" i="7"/>
  <c r="K48" i="7"/>
  <c r="K36" i="7"/>
  <c r="K24" i="7"/>
  <c r="K12" i="7"/>
  <c r="K101" i="7"/>
  <c r="K89" i="7"/>
  <c r="K77" i="7"/>
  <c r="K65" i="7"/>
  <c r="K53" i="7"/>
  <c r="K41" i="7"/>
  <c r="K29" i="7"/>
  <c r="K17" i="7"/>
  <c r="K5" i="7"/>
  <c r="K99" i="7"/>
  <c r="K75" i="7"/>
  <c r="K63" i="7"/>
  <c r="K39" i="7"/>
  <c r="K27" i="7"/>
  <c r="K15" i="7"/>
  <c r="K87" i="7"/>
  <c r="K51" i="7"/>
  <c r="K98" i="7"/>
  <c r="K86" i="7"/>
  <c r="K74" i="7"/>
  <c r="K62" i="7"/>
  <c r="K50" i="7"/>
  <c r="K38" i="7"/>
  <c r="K26" i="7"/>
  <c r="K14" i="7"/>
  <c r="C3" i="4"/>
  <c r="C4" i="4"/>
  <c r="C5" i="4"/>
  <c r="C6" i="4"/>
  <c r="C7" i="4"/>
  <c r="C8" i="4"/>
  <c r="C9" i="4"/>
  <c r="C10" i="4"/>
  <c r="C11" i="4"/>
  <c r="C12" i="4"/>
  <c r="C13" i="4"/>
  <c r="C14" i="4"/>
  <c r="C15" i="4"/>
  <c r="C16" i="4"/>
  <c r="C17" i="4"/>
  <c r="C18" i="4"/>
  <c r="C19" i="4"/>
  <c r="C20" i="4"/>
  <c r="C21" i="4"/>
  <c r="C2" i="4"/>
  <c r="D4" i="4"/>
  <c r="D5" i="4"/>
  <c r="D6" i="4"/>
  <c r="D7" i="4"/>
  <c r="D8" i="4"/>
  <c r="D9" i="4"/>
  <c r="D10" i="4"/>
  <c r="D11" i="4"/>
  <c r="D12" i="4"/>
  <c r="D13" i="4"/>
  <c r="D14" i="4"/>
  <c r="D15" i="4"/>
  <c r="D16" i="4"/>
  <c r="D17" i="4"/>
  <c r="D18" i="4"/>
  <c r="D19" i="4"/>
  <c r="D20" i="4"/>
  <c r="D21" i="4"/>
  <c r="B4" i="4"/>
  <c r="B5" i="4"/>
  <c r="B6" i="4"/>
  <c r="B7" i="4"/>
  <c r="B8" i="4"/>
  <c r="B9" i="4"/>
  <c r="B10" i="4"/>
  <c r="B11" i="4"/>
  <c r="B12" i="4"/>
  <c r="B13" i="4"/>
  <c r="B14" i="4"/>
  <c r="B15" i="4"/>
  <c r="B16" i="4"/>
  <c r="B17" i="4"/>
  <c r="B18" i="4"/>
  <c r="B19" i="4"/>
  <c r="B20" i="4"/>
  <c r="B21" i="4"/>
  <c r="B2" i="4"/>
  <c r="E376" i="12" l="1"/>
  <c r="D371" i="12"/>
  <c r="C372" i="12"/>
  <c r="C374" i="12" s="1"/>
  <c r="C373" i="12"/>
  <c r="H11" i="4"/>
  <c r="H18" i="4"/>
  <c r="H6" i="4"/>
  <c r="H20" i="4"/>
  <c r="H5" i="4"/>
  <c r="H15" i="4"/>
  <c r="H3" i="4"/>
  <c r="H17" i="4"/>
  <c r="H21" i="4"/>
  <c r="H4" i="4"/>
  <c r="H16" i="4"/>
  <c r="H14" i="4"/>
  <c r="H9" i="4"/>
  <c r="H13" i="4"/>
  <c r="H2" i="4"/>
  <c r="H10" i="4"/>
  <c r="H12" i="4"/>
  <c r="H8" i="4"/>
  <c r="H19" i="4"/>
  <c r="H7" i="4"/>
  <c r="D372" i="12" l="1"/>
  <c r="D373" i="12"/>
  <c r="D374" i="12" s="1"/>
  <c r="D375" i="12" s="1"/>
  <c r="C375" i="12"/>
  <c r="C376" i="12" s="1"/>
  <c r="G3" i="1"/>
  <c r="G4" i="1"/>
  <c r="G5" i="1"/>
  <c r="G6" i="1"/>
  <c r="G7" i="1"/>
  <c r="G8" i="1"/>
  <c r="G9" i="1"/>
  <c r="G10" i="1"/>
  <c r="G11" i="1"/>
  <c r="G12" i="1"/>
  <c r="G13" i="1"/>
  <c r="G14" i="1"/>
  <c r="G15" i="1"/>
  <c r="G16" i="1"/>
  <c r="G17" i="1"/>
  <c r="G18" i="1"/>
  <c r="G19" i="1"/>
  <c r="G20" i="1"/>
  <c r="G21" i="1"/>
  <c r="G2" i="1"/>
  <c r="C3" i="2"/>
  <c r="C4" i="2"/>
  <c r="C5" i="2"/>
  <c r="C6" i="2"/>
  <c r="C7" i="2"/>
  <c r="C8" i="2"/>
  <c r="C9" i="2"/>
  <c r="C10" i="2"/>
  <c r="C11" i="2"/>
  <c r="C12" i="2"/>
  <c r="C13" i="2"/>
  <c r="B20" i="3" s="1"/>
  <c r="C14" i="2"/>
  <c r="C15" i="2"/>
  <c r="C16" i="2"/>
  <c r="C17" i="2"/>
  <c r="C18" i="2"/>
  <c r="C19" i="2"/>
  <c r="C20" i="2"/>
  <c r="C21" i="2"/>
  <c r="C2" i="2"/>
  <c r="D376" i="12" l="1"/>
  <c r="B12" i="3"/>
  <c r="B2" i="3"/>
  <c r="B6" i="3"/>
  <c r="B21" i="3"/>
  <c r="B17" i="3"/>
  <c r="B11" i="3"/>
  <c r="B18" i="3"/>
  <c r="B14" i="3"/>
  <c r="B7" i="3"/>
  <c r="B15" i="3"/>
  <c r="B13" i="3"/>
  <c r="B4" i="3"/>
  <c r="B8" i="3"/>
  <c r="B19" i="3"/>
  <c r="B16" i="3"/>
  <c r="B9" i="3"/>
  <c r="B3" i="3"/>
  <c r="B5" i="3"/>
  <c r="B10" i="3"/>
  <c r="B30" i="3" l="1"/>
  <c r="B2" i="11" a="1"/>
  <c r="B2" i="11" l="1"/>
  <c r="D6" i="2"/>
  <c r="D18" i="2"/>
  <c r="D7" i="2"/>
  <c r="D19" i="2"/>
  <c r="D17" i="2"/>
  <c r="D8" i="2"/>
  <c r="D20" i="2"/>
  <c r="D9" i="2"/>
  <c r="D21" i="2"/>
  <c r="D10" i="2"/>
  <c r="D15" i="2"/>
  <c r="D11" i="2"/>
  <c r="D13" i="2"/>
  <c r="D3" i="2"/>
  <c r="D16" i="2"/>
  <c r="D5" i="2"/>
  <c r="D12" i="2"/>
  <c r="D14" i="2"/>
  <c r="D4" i="2"/>
  <c r="D2" i="11" l="1" a="1"/>
  <c r="D2" i="11" s="1"/>
  <c r="F2" i="11" s="1" a="1"/>
  <c r="F2" i="11" s="1"/>
  <c r="D2" i="2"/>
  <c r="D22" i="2" s="1"/>
  <c r="G2" i="11" l="1" a="1"/>
  <c r="G2" i="11" s="1"/>
  <c r="H2" i="11" s="1" a="1"/>
  <c r="I19" i="11" s="1"/>
  <c r="J19" i="11" l="1"/>
  <c r="B19" i="2"/>
  <c r="E19" i="2" s="1"/>
  <c r="I20" i="11"/>
  <c r="I6" i="11"/>
  <c r="I8" i="11"/>
  <c r="I12" i="11"/>
  <c r="I16" i="11"/>
  <c r="H2" i="11"/>
  <c r="I2" i="11" s="1"/>
  <c r="I10" i="11"/>
  <c r="I14" i="11"/>
  <c r="I9" i="11"/>
  <c r="I3" i="11"/>
  <c r="I17" i="11"/>
  <c r="I7" i="11"/>
  <c r="I13" i="11"/>
  <c r="I15" i="11"/>
  <c r="I21" i="11"/>
  <c r="I11" i="11"/>
  <c r="I5" i="11"/>
  <c r="I18" i="11"/>
  <c r="I4" i="11"/>
  <c r="D20" i="3"/>
  <c r="J3" i="11" l="1"/>
  <c r="B3" i="2"/>
  <c r="E3" i="2" s="1"/>
  <c r="J9" i="11"/>
  <c r="B9" i="2"/>
  <c r="E9" i="2" s="1"/>
  <c r="F9" i="2" s="1"/>
  <c r="G9" i="2" s="1"/>
  <c r="H9" i="2" s="1"/>
  <c r="J4" i="11"/>
  <c r="B4" i="2"/>
  <c r="E4" i="2" s="1"/>
  <c r="F4" i="2" s="1"/>
  <c r="G4" i="2" s="1"/>
  <c r="H4" i="2" s="1"/>
  <c r="J18" i="11"/>
  <c r="B18" i="2"/>
  <c r="E18" i="2" s="1"/>
  <c r="F18" i="2" s="1"/>
  <c r="G18" i="2" s="1"/>
  <c r="H18" i="2" s="1"/>
  <c r="J5" i="11"/>
  <c r="B5" i="2"/>
  <c r="E5" i="2" s="1"/>
  <c r="F5" i="2" s="1"/>
  <c r="G5" i="2" s="1"/>
  <c r="H5" i="2" s="1"/>
  <c r="J12" i="11"/>
  <c r="B12" i="2"/>
  <c r="E12" i="2" s="1"/>
  <c r="F12" i="2" s="1"/>
  <c r="G12" i="2" s="1"/>
  <c r="H12" i="2" s="1"/>
  <c r="J8" i="11"/>
  <c r="B8" i="2"/>
  <c r="E8" i="2" s="1"/>
  <c r="F8" i="2" s="1"/>
  <c r="G8" i="2" s="1"/>
  <c r="H8" i="2" s="1"/>
  <c r="J6" i="11"/>
  <c r="B6" i="2"/>
  <c r="E6" i="2" s="1"/>
  <c r="F6" i="2" s="1"/>
  <c r="G6" i="2" s="1"/>
  <c r="H6" i="2" s="1"/>
  <c r="J14" i="11"/>
  <c r="B14" i="2"/>
  <c r="E14" i="2" s="1"/>
  <c r="F14" i="2" s="1"/>
  <c r="G14" i="2" s="1"/>
  <c r="H14" i="2" s="1"/>
  <c r="J11" i="11"/>
  <c r="B11" i="2"/>
  <c r="E11" i="2" s="1"/>
  <c r="F11" i="2" s="1"/>
  <c r="G11" i="2" s="1"/>
  <c r="H11" i="2" s="1"/>
  <c r="J21" i="11"/>
  <c r="B21" i="2"/>
  <c r="E21" i="2" s="1"/>
  <c r="F21" i="2" s="1"/>
  <c r="G21" i="2" s="1"/>
  <c r="H21" i="2" s="1"/>
  <c r="J15" i="11"/>
  <c r="B15" i="2"/>
  <c r="E15" i="2" s="1"/>
  <c r="F15" i="2" s="1"/>
  <c r="G15" i="2" s="1"/>
  <c r="H15" i="2" s="1"/>
  <c r="J13" i="11"/>
  <c r="B13" i="2"/>
  <c r="E13" i="2" s="1"/>
  <c r="F13" i="2" s="1"/>
  <c r="G13" i="2" s="1"/>
  <c r="H13" i="2" s="1"/>
  <c r="J20" i="11"/>
  <c r="B20" i="2"/>
  <c r="E20" i="2" s="1"/>
  <c r="F20" i="2" s="1"/>
  <c r="G20" i="2" s="1"/>
  <c r="H20" i="2" s="1"/>
  <c r="J2" i="11"/>
  <c r="B2" i="2"/>
  <c r="E2" i="2" s="1"/>
  <c r="F2" i="2" s="1"/>
  <c r="G2" i="2" s="1"/>
  <c r="H2" i="2" s="1"/>
  <c r="J7" i="11"/>
  <c r="B7" i="2"/>
  <c r="E7" i="2" s="1"/>
  <c r="F7" i="2" s="1"/>
  <c r="G7" i="2" s="1"/>
  <c r="H7" i="2" s="1"/>
  <c r="J10" i="11"/>
  <c r="B10" i="2"/>
  <c r="E10" i="2" s="1"/>
  <c r="F10" i="2" s="1"/>
  <c r="G10" i="2" s="1"/>
  <c r="H10" i="2" s="1"/>
  <c r="J16" i="11"/>
  <c r="B16" i="2"/>
  <c r="E16" i="2" s="1"/>
  <c r="F16" i="2" s="1"/>
  <c r="G16" i="2" s="1"/>
  <c r="H16" i="2" s="1"/>
  <c r="J17" i="11"/>
  <c r="B17" i="2"/>
  <c r="E17" i="2" s="1"/>
  <c r="F17" i="2" s="1"/>
  <c r="G17" i="2" s="1"/>
  <c r="H17" i="2" s="1"/>
  <c r="D10" i="3"/>
  <c r="D13" i="3"/>
  <c r="D11" i="3"/>
  <c r="D9" i="3"/>
  <c r="D16" i="3"/>
  <c r="D3" i="3"/>
  <c r="D15" i="3"/>
  <c r="F3" i="2"/>
  <c r="G3" i="2" s="1"/>
  <c r="H3" i="2" s="1"/>
  <c r="D4" i="3"/>
  <c r="D2" i="3"/>
  <c r="D14" i="3"/>
  <c r="D8" i="3"/>
  <c r="F19" i="2"/>
  <c r="G19" i="2" s="1"/>
  <c r="H19" i="2" s="1"/>
  <c r="D12" i="3"/>
  <c r="D19" i="3"/>
  <c r="D18" i="3"/>
  <c r="D6" i="3"/>
  <c r="D21" i="3"/>
  <c r="D5" i="3"/>
  <c r="D17" i="3"/>
  <c r="D7" i="3"/>
  <c r="F3" i="3" l="1"/>
  <c r="F11" i="3"/>
  <c r="F8" i="3"/>
  <c r="F18" i="3"/>
  <c r="F4" i="3"/>
  <c r="F13" i="3"/>
  <c r="F16" i="3"/>
  <c r="F10" i="3"/>
  <c r="F20" i="3"/>
  <c r="F19" i="3"/>
  <c r="F5" i="3"/>
  <c r="F17" i="3"/>
  <c r="F21" i="3"/>
  <c r="F9" i="3"/>
  <c r="F2" i="3"/>
  <c r="D22" i="3"/>
  <c r="F12" i="3"/>
  <c r="F14" i="3"/>
  <c r="F6" i="3"/>
  <c r="F7" i="3"/>
  <c r="F15" i="3"/>
  <c r="E20" i="3" l="1"/>
  <c r="B31" i="3"/>
  <c r="B32" i="3" s="1"/>
  <c r="E7" i="3"/>
  <c r="E13" i="3"/>
  <c r="E17" i="3"/>
  <c r="E12" i="3"/>
  <c r="E16" i="3"/>
  <c r="E11" i="3"/>
  <c r="E10" i="3"/>
  <c r="E2" i="3"/>
  <c r="G2" i="3" s="1"/>
  <c r="E8" i="3"/>
  <c r="E18" i="3"/>
  <c r="E4" i="3"/>
  <c r="E5" i="3"/>
  <c r="E6" i="3"/>
  <c r="E9" i="3"/>
  <c r="E3" i="3"/>
  <c r="E14" i="3"/>
  <c r="E21" i="3"/>
  <c r="E15" i="3"/>
  <c r="E19" i="3"/>
  <c r="E22" i="3" l="1"/>
  <c r="H2" i="3" l="1"/>
  <c r="G3" i="3"/>
  <c r="G4" i="3" l="1"/>
  <c r="H3" i="3"/>
  <c r="H4" i="3" l="1"/>
  <c r="G5" i="3"/>
  <c r="H5" i="3" l="1"/>
  <c r="G6" i="3"/>
  <c r="G7" i="3" l="1"/>
  <c r="H6" i="3"/>
  <c r="G8" i="3" l="1"/>
  <c r="H7" i="3"/>
  <c r="H8" i="3" l="1"/>
  <c r="G9" i="3"/>
  <c r="G10" i="3" l="1"/>
  <c r="H9" i="3"/>
  <c r="H10" i="3" l="1"/>
  <c r="G11" i="3"/>
  <c r="G12" i="3" l="1"/>
  <c r="H11" i="3"/>
  <c r="H12" i="3" l="1"/>
  <c r="G13" i="3"/>
  <c r="G14" i="3" l="1"/>
  <c r="H13" i="3"/>
  <c r="G15" i="3" l="1"/>
  <c r="H14" i="3"/>
  <c r="G16" i="3" l="1"/>
  <c r="H15" i="3"/>
  <c r="G17" i="3" l="1"/>
  <c r="H16" i="3"/>
  <c r="G18" i="3" l="1"/>
  <c r="H17" i="3"/>
  <c r="G19" i="3" l="1"/>
  <c r="H18" i="3"/>
  <c r="G20" i="3" l="1"/>
  <c r="H19" i="3"/>
  <c r="G21" i="3" l="1"/>
  <c r="H21" i="3" s="1"/>
  <c r="H2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<sst xmlns="http://schemas.openxmlformats.org/spreadsheetml/2006/main" count="1095" uniqueCount="208">
  <si>
    <t>Item ID</t>
  </si>
  <si>
    <t>Size Limit</t>
  </si>
  <si>
    <t>Zone Decision</t>
  </si>
  <si>
    <t>TCU_y</t>
  </si>
  <si>
    <t>a</t>
  </si>
  <si>
    <t>b</t>
  </si>
  <si>
    <t>c</t>
  </si>
  <si>
    <t>Dic</t>
  </si>
  <si>
    <t>q1</t>
  </si>
  <si>
    <t>Purchasing Cost</t>
  </si>
  <si>
    <t>TotalCost</t>
  </si>
  <si>
    <t>TotalSellingprice</t>
  </si>
  <si>
    <t>Profit</t>
  </si>
  <si>
    <t>Profit%</t>
  </si>
  <si>
    <t>UnitPrice</t>
  </si>
  <si>
    <t>Units</t>
  </si>
  <si>
    <t>TotalUsage</t>
  </si>
  <si>
    <t>Total Value</t>
  </si>
  <si>
    <t>UnitSellingPrice</t>
  </si>
  <si>
    <t>Percentage</t>
  </si>
  <si>
    <t>Rank</t>
  </si>
  <si>
    <t>Cumulative Percentage</t>
  </si>
  <si>
    <t>Status</t>
  </si>
  <si>
    <t>Product1</t>
  </si>
  <si>
    <t>Product2</t>
  </si>
  <si>
    <t>Product3</t>
  </si>
  <si>
    <t>Product4</t>
  </si>
  <si>
    <t>Product5</t>
  </si>
  <si>
    <t>Product6</t>
  </si>
  <si>
    <t>Product7</t>
  </si>
  <si>
    <t>Product8</t>
  </si>
  <si>
    <t>Product9</t>
  </si>
  <si>
    <t>Product10</t>
  </si>
  <si>
    <t>Product11</t>
  </si>
  <si>
    <t>Product12</t>
  </si>
  <si>
    <t>Product13</t>
  </si>
  <si>
    <t>Product14</t>
  </si>
  <si>
    <t>Product15</t>
  </si>
  <si>
    <t>Product16</t>
  </si>
  <si>
    <t>Product17</t>
  </si>
  <si>
    <t>Product18</t>
  </si>
  <si>
    <t>Product19</t>
  </si>
  <si>
    <t>Product20</t>
  </si>
  <si>
    <t>Demand per Day OR Units (D)</t>
  </si>
  <si>
    <t>Unit Holding Cost (unit_h)</t>
  </si>
  <si>
    <t>Unit Setup Cost (unit_k)</t>
  </si>
  <si>
    <t>Lead Time (days) (L)</t>
  </si>
  <si>
    <t>Unit price1 (c_1)</t>
  </si>
  <si>
    <t>Unit price2 (c_2)</t>
  </si>
  <si>
    <t>Size Limit (q)</t>
  </si>
  <si>
    <t>Optimal order qty (y_)</t>
  </si>
  <si>
    <t>Setup Cost (K)</t>
  </si>
  <si>
    <t>Holding Cost Per Cycle (h)</t>
  </si>
  <si>
    <t>Average inventory</t>
  </si>
  <si>
    <t>Turnover ratio</t>
  </si>
  <si>
    <t>Days in inventory</t>
  </si>
  <si>
    <t>Demand</t>
  </si>
  <si>
    <t>LeadTime</t>
  </si>
  <si>
    <t>Reorder point</t>
  </si>
  <si>
    <t>Optimal orderqty</t>
  </si>
  <si>
    <t>Alert</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</si>
  <si>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</si>
  <si>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</si>
  <si>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</si>
  <si>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</si>
  <si>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</si>
  <si>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</si>
  <si>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</si>
  <si>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</si>
  <si>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</si>
  <si>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</si>
  <si>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</si>
  <si>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</si>
  <si>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</si>
  <si>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</si>
  <si>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</si>
  <si>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</si>
  <si>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</si>
  <si>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</si>
  <si>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</si>
  <si>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</si>
  <si>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</si>
  <si>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</si>
  <si>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</si>
  <si>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</si>
  <si>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</si>
  <si>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</si>
  <si>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</si>
  <si>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</si>
  <si>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</si>
  <si>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</si>
  <si>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</si>
  <si>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</si>
  <si>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</si>
  <si>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</si>
  <si>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</si>
  <si>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</si>
  <si>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P037</t>
  </si>
  <si>
    <t>P038</t>
  </si>
  <si>
    <t>P039</t>
  </si>
  <si>
    <t>P040</t>
  </si>
  <si>
    <t>P041</t>
  </si>
  <si>
    <t>P042</t>
  </si>
  <si>
    <t>P043</t>
  </si>
  <si>
    <t>P044</t>
  </si>
  <si>
    <t>P045</t>
  </si>
  <si>
    <t>P046</t>
  </si>
  <si>
    <t>P047</t>
  </si>
  <si>
    <t>P048</t>
  </si>
  <si>
    <t>P049</t>
  </si>
  <si>
    <t>P050</t>
  </si>
  <si>
    <t>P051</t>
  </si>
  <si>
    <t>P052</t>
  </si>
  <si>
    <t>P053</t>
  </si>
  <si>
    <t>P054</t>
  </si>
  <si>
    <t>P055</t>
  </si>
  <si>
    <t>P056</t>
  </si>
  <si>
    <t>P057</t>
  </si>
  <si>
    <t>P058</t>
  </si>
  <si>
    <t>P059</t>
  </si>
  <si>
    <t>P060</t>
  </si>
  <si>
    <t>P061</t>
  </si>
  <si>
    <t>P062</t>
  </si>
  <si>
    <t>P063</t>
  </si>
  <si>
    <t>P064</t>
  </si>
  <si>
    <t>P065</t>
  </si>
  <si>
    <t>P066</t>
  </si>
  <si>
    <t>P067</t>
  </si>
  <si>
    <t>P068</t>
  </si>
  <si>
    <t>P069</t>
  </si>
  <si>
    <t>P070</t>
  </si>
  <si>
    <t>P071</t>
  </si>
  <si>
    <t>P072</t>
  </si>
  <si>
    <t>P073</t>
  </si>
  <si>
    <t>P074</t>
  </si>
  <si>
    <t>P075</t>
  </si>
  <si>
    <t>P076</t>
  </si>
  <si>
    <t>P077</t>
  </si>
  <si>
    <t>P078</t>
  </si>
  <si>
    <t>P079</t>
  </si>
  <si>
    <t>P080</t>
  </si>
  <si>
    <t>P081</t>
  </si>
  <si>
    <t>P082</t>
  </si>
  <si>
    <t>P083</t>
  </si>
  <si>
    <t>P084</t>
  </si>
  <si>
    <t>P085</t>
  </si>
  <si>
    <t>P086</t>
  </si>
  <si>
    <t>P087</t>
  </si>
  <si>
    <t>P088</t>
  </si>
  <si>
    <t>P089</t>
  </si>
  <si>
    <t>P090</t>
  </si>
  <si>
    <t>P091</t>
  </si>
  <si>
    <t>P092</t>
  </si>
  <si>
    <t>P093</t>
  </si>
  <si>
    <t>P094</t>
  </si>
  <si>
    <t>P095</t>
  </si>
  <si>
    <t>P096</t>
  </si>
  <si>
    <t>P097</t>
  </si>
  <si>
    <t>P098</t>
  </si>
  <si>
    <t>P099</t>
  </si>
  <si>
    <t>P100</t>
  </si>
  <si>
    <t>Qty</t>
  </si>
  <si>
    <t xml:space="preserve">Qty </t>
  </si>
  <si>
    <t>Date</t>
  </si>
  <si>
    <t>Products</t>
  </si>
  <si>
    <t>Sr.No</t>
  </si>
  <si>
    <t>Purchase</t>
  </si>
  <si>
    <t>Sale</t>
  </si>
  <si>
    <t>Available Products</t>
  </si>
  <si>
    <t>Stock In</t>
  </si>
  <si>
    <t>Stock Out</t>
  </si>
  <si>
    <t>Stock Available</t>
  </si>
  <si>
    <t>Product</t>
  </si>
  <si>
    <t>Total</t>
  </si>
  <si>
    <t>m</t>
  </si>
  <si>
    <t>Product ID</t>
  </si>
  <si>
    <t>Quantity Sold</t>
  </si>
  <si>
    <t>Selling Price</t>
  </si>
  <si>
    <t>Purchasing Price</t>
  </si>
  <si>
    <t>Payment Mode</t>
  </si>
  <si>
    <t>Credit Card</t>
  </si>
  <si>
    <t>Debit Card</t>
  </si>
  <si>
    <t>Cash</t>
  </si>
  <si>
    <t>PayPal</t>
  </si>
  <si>
    <t>Day</t>
  </si>
  <si>
    <t>Month</t>
  </si>
  <si>
    <t>Year</t>
  </si>
  <si>
    <t>Sum of Quantity Sold</t>
  </si>
  <si>
    <t>Sum of Selling Price</t>
  </si>
  <si>
    <t>Sum of Purchasing Price</t>
  </si>
  <si>
    <t>Sales</t>
  </si>
  <si>
    <t>Jan</t>
  </si>
  <si>
    <t>Feb</t>
  </si>
  <si>
    <t>Mar</t>
  </si>
  <si>
    <t>Apr</t>
  </si>
  <si>
    <t>May</t>
  </si>
  <si>
    <t>Jun</t>
  </si>
  <si>
    <t>Jul</t>
  </si>
  <si>
    <t>Aug</t>
  </si>
  <si>
    <t>Sep</t>
  </si>
  <si>
    <t>Oct</t>
  </si>
  <si>
    <t>Nov</t>
  </si>
  <si>
    <t>Dec</t>
  </si>
  <si>
    <t>Top Payment Mode</t>
  </si>
  <si>
    <t>Top Product</t>
  </si>
  <si>
    <t>Product Id</t>
  </si>
  <si>
    <t>Length of Supply Cycle (t_d)</t>
  </si>
  <si>
    <t>Average Inventory (Qbar)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</si>
</sst>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6" formatCode="&quot;$&quot;#,##0_);[Red]\(&quot;$&quot;#,##0\)"/>
    <numFmt numFmtId="8" formatCode="&quot;$&quot;#,##0.00_);[Red]\(&quot;$&quot;#,##0.00\)"/>
    <numFmt numFmtId="41" formatCode="_(* #,##0_);_(* \(#,##0\);_(* &quot;-&quot;_);_(@_)"/>
    <numFmt numFmtId="44" formatCode="_(&quot;$&quot;* #,##0.00_);_(&quot;$&quot;* \(#,##0.00\);_(&quot;$&quot;* &quot;-&quot;??_);_(@_)"/>
    <numFmt numFmtId="164" formatCode="0.0"/>
    <numFmt numFmtId="165" formatCode="&quot;$&quot;#,##0.0_);[Red]\(&quot;$&quot;#,##0.0\)"/>
    <numFmt numFmtId="166" formatCode="&quot;$&quot;#,##0.00"/>
    <numFmt numFmtId="167" formatCode="0.0%"/>
    <numFmt numFmtId="168" formatCode="&quot;$&quot;#,##0;[Red]&quot;$&quot;#,##0"/>
    <numFmt numFmtId="169" formatCode="&quot;$&quot;#,##0"/>
  </numFmts>
  <fonts count="10" x14ac:knownFonts="1">
    <font>
      <sz val="11"/>
      <color theme="1"/>
      <name val="Calibri"/>
      <family val="2"/>
      <scheme val="minor"/>
    </font>
    <font>
      <sz val="11"/>
      <color theme="1"/>
      <name val="Calibri"/>
      <family val="2"/>
      <scheme val="minor"/>
    </font>
    <font>
      <sz val="9.6"/>
      <color rgb="FF0D0D0D"/>
      <name val="Segoe UI"/>
      <family val="2"/>
    </font>
    <font>
      <b/>
      <sz val="12"/>
      <color theme="0"/>
      <name val="Calibri"/>
      <family val="2"/>
      <scheme val="minor"/>
    </font>
    <font>
      <sz val="8"/>
      <name val="Calibri"/>
      <family val="2"/>
      <scheme val="minor"/>
    </font>
    <font>
      <b/>
      <sz val="14"/>
      <color theme="0"/>
      <name val="Calibri"/>
      <family val="2"/>
      <scheme val="minor"/>
    </font>
    <font>
      <b/>
      <sz val="11"/>
      <color theme="0"/>
      <name val="Cambria"/>
      <family val="1"/>
    </font>
    <font>
      <b/>
      <sz val="16"/>
      <color theme="0"/>
      <name val="Calibri"/>
      <family val="2"/>
      <scheme val="minor"/>
    </font>
    <font>
      <b/>
      <sz val="11"/>
      <color theme="1"/>
      <name val="Calibri"/>
      <family val="2"/>
      <scheme val="minor"/>
    </font>
    <font>
      <sz val="11"/>
      <color theme="0"/>
      <name val="Calibri"/>
      <family val="2"/>
      <scheme val="minor"/>
    </font>
  </fonts>
  <fills count="9">
    <fill>
      <patternFill patternType="none"/>
    </fill>
    <fill>
      <patternFill patternType="gray125"/>
    </fill>
    <fill>
      <patternFill patternType="solid">
        <fgColor rgb="FFFFFFFF"/>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bgColor indexed="64"/>
      </patternFill>
    </fill>
    <fill>
      <patternFill patternType="solid">
        <fgColor theme="9" tint="0.39997558519241921"/>
        <bgColor indexed="64"/>
      </patternFill>
    </fill>
    <fill>
      <patternFill patternType="solid">
        <fgColor theme="5"/>
        <bgColor indexed="64"/>
      </patternFill>
    </fill>
    <fill>
      <patternFill patternType="solid">
        <fgColor theme="4" tint="0.79998168889431442"/>
        <bgColor theme="4" tint="0.79998168889431442"/>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52">
    <xf numFmtId="0" fontId="0" fillId="0" borderId="0" xfId="0"/>
    <xf numFmtId="0" fontId="0" fillId="0" borderId="1" xfId="0" applyBorder="1"/>
    <xf numFmtId="0" fontId="2" fillId="2" borderId="1" xfId="0" applyFont="1" applyFill="1" applyBorder="1" applyAlignment="1">
      <alignment vertical="center" wrapText="1"/>
    </xf>
    <xf numFmtId="0" fontId="3" fillId="3" borderId="1" xfId="0" applyFont="1" applyFill="1" applyBorder="1" applyAlignment="1">
      <alignment horizontal="center" vertical="center" wrapText="1"/>
    </xf>
    <xf numFmtId="9" fontId="0" fillId="0" borderId="1" xfId="2" applyFont="1" applyBorder="1"/>
    <xf numFmtId="0" fontId="0" fillId="0" borderId="1" xfId="0" applyBorder="1" applyAlignment="1">
      <alignment horizontal="center"/>
    </xf>
    <xf numFmtId="168" fontId="0" fillId="0" borderId="1" xfId="0" applyNumberFormat="1" applyBorder="1" applyAlignment="1">
      <alignment horizontal="center"/>
    </xf>
    <xf numFmtId="167" fontId="0" fillId="0" borderId="1" xfId="0" applyNumberFormat="1" applyBorder="1" applyAlignment="1">
      <alignment horizontal="center"/>
    </xf>
    <xf numFmtId="166" fontId="0" fillId="0" borderId="1" xfId="0" applyNumberFormat="1" applyBorder="1" applyAlignment="1">
      <alignment horizontal="center"/>
    </xf>
    <xf numFmtId="169" fontId="0" fillId="0" borderId="1" xfId="0" applyNumberFormat="1" applyBorder="1" applyAlignment="1">
      <alignment horizontal="center"/>
    </xf>
    <xf numFmtId="9" fontId="0" fillId="0" borderId="1" xfId="2" applyFont="1" applyBorder="1" applyAlignment="1">
      <alignment horizontal="center"/>
    </xf>
    <xf numFmtId="0" fontId="3" fillId="3" borderId="1" xfId="0" applyFont="1" applyFill="1" applyBorder="1"/>
    <xf numFmtId="0" fontId="5" fillId="4" borderId="1" xfId="0" applyFont="1" applyFill="1" applyBorder="1" applyAlignment="1">
      <alignment horizontal="center" vertical="center" wrapText="1"/>
    </xf>
    <xf numFmtId="0" fontId="2" fillId="2" borderId="2" xfId="0" applyFont="1" applyFill="1" applyBorder="1" applyAlignment="1">
      <alignment vertical="center" wrapText="1"/>
    </xf>
    <xf numFmtId="2" fontId="0" fillId="0" borderId="0" xfId="0" applyNumberFormat="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wrapText="1"/>
    </xf>
    <xf numFmtId="41" fontId="2" fillId="2" borderId="1" xfId="0" applyNumberFormat="1" applyFont="1" applyFill="1" applyBorder="1" applyAlignment="1">
      <alignment horizontal="center" vertical="center" wrapText="1"/>
    </xf>
    <xf numFmtId="8" fontId="2" fillId="2" borderId="1" xfId="0" applyNumberFormat="1" applyFont="1" applyFill="1" applyBorder="1" applyAlignment="1">
      <alignment horizontal="center" vertical="center" wrapText="1"/>
    </xf>
    <xf numFmtId="6" fontId="2" fillId="2" borderId="1" xfId="0" applyNumberFormat="1" applyFont="1" applyFill="1" applyBorder="1" applyAlignment="1">
      <alignment horizontal="center" vertical="center" wrapText="1"/>
    </xf>
    <xf numFmtId="165" fontId="2" fillId="2" borderId="1" xfId="0" applyNumberFormat="1" applyFont="1" applyFill="1" applyBorder="1" applyAlignment="1">
      <alignment horizontal="center" vertical="center" wrapText="1"/>
    </xf>
    <xf numFmtId="2" fontId="0" fillId="0" borderId="1" xfId="0" applyNumberFormat="1" applyBorder="1" applyAlignment="1">
      <alignment horizontal="center" vertical="center"/>
    </xf>
    <xf numFmtId="0" fontId="0" fillId="0" borderId="1" xfId="0" applyBorder="1" applyAlignment="1">
      <alignment horizontal="center" vertical="center"/>
    </xf>
    <xf numFmtId="164" fontId="0" fillId="0" borderId="1" xfId="0" applyNumberFormat="1" applyBorder="1" applyAlignment="1">
      <alignment horizontal="center" vertical="center"/>
    </xf>
    <xf numFmtId="166" fontId="0" fillId="0" borderId="1" xfId="1" quotePrefix="1" applyNumberFormat="1" applyFont="1" applyBorder="1" applyAlignment="1">
      <alignment horizontal="center" vertical="center"/>
    </xf>
    <xf numFmtId="1" fontId="0" fillId="0" borderId="0" xfId="0" applyNumberFormat="1" applyAlignment="1">
      <alignment horizontal="center" vertical="center"/>
    </xf>
    <xf numFmtId="1" fontId="2" fillId="2" borderId="1"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7" fillId="0" borderId="0" xfId="0" applyFont="1" applyAlignment="1">
      <alignment horizontal="center" vertical="center"/>
    </xf>
    <xf numFmtId="0" fontId="6" fillId="5" borderId="4" xfId="0" applyFont="1" applyFill="1" applyBorder="1" applyAlignment="1">
      <alignment horizontal="center" vertical="center" wrapText="1"/>
    </xf>
    <xf numFmtId="0" fontId="0" fillId="0" borderId="4" xfId="0" applyBorder="1" applyAlignment="1">
      <alignment horizontal="center" vertical="center"/>
    </xf>
    <xf numFmtId="0" fontId="2" fillId="2" borderId="4" xfId="0" applyFont="1" applyFill="1" applyBorder="1" applyAlignment="1">
      <alignment horizontal="center" vertical="center" wrapText="1"/>
    </xf>
    <xf numFmtId="14" fontId="2" fillId="2" borderId="4" xfId="0" applyNumberFormat="1" applyFont="1" applyFill="1" applyBorder="1" applyAlignment="1">
      <alignment horizontal="center" vertical="center" wrapText="1"/>
    </xf>
    <xf numFmtId="14" fontId="0" fillId="0" borderId="4" xfId="0" applyNumberFormat="1" applyBorder="1" applyAlignment="1">
      <alignment horizontal="center" vertical="center"/>
    </xf>
    <xf numFmtId="1" fontId="5" fillId="4" borderId="1" xfId="0" applyNumberFormat="1" applyFont="1" applyFill="1" applyBorder="1" applyAlignment="1">
      <alignment horizontal="center" vertical="center" wrapText="1"/>
    </xf>
    <xf numFmtId="1" fontId="0" fillId="0" borderId="1" xfId="0" applyNumberFormat="1" applyBorder="1" applyAlignment="1">
      <alignment horizontal="center" vertical="center"/>
    </xf>
    <xf numFmtId="0" fontId="3" fillId="5" borderId="0" xfId="0" applyFont="1" applyFill="1" applyAlignment="1">
      <alignment horizontal="center" vertical="center"/>
    </xf>
    <xf numFmtId="14" fontId="0" fillId="0" borderId="0" xfId="0" applyNumberFormat="1" applyAlignment="1">
      <alignment horizontal="center" vertical="center"/>
    </xf>
    <xf numFmtId="169" fontId="0" fillId="0" borderId="0" xfId="0" applyNumberFormat="1" applyAlignment="1">
      <alignment horizontal="center" vertical="center"/>
    </xf>
    <xf numFmtId="169" fontId="0" fillId="0" borderId="0" xfId="1" applyNumberFormat="1" applyFont="1" applyAlignment="1">
      <alignment horizontal="center" vertical="center"/>
    </xf>
    <xf numFmtId="49" fontId="0" fillId="0" borderId="0" xfId="0" applyNumberFormat="1" applyAlignment="1">
      <alignment horizontal="center" vertical="center"/>
    </xf>
    <xf numFmtId="0" fontId="8" fillId="8" borderId="5" xfId="0" applyFont="1" applyFill="1" applyBorder="1"/>
    <xf numFmtId="0" fontId="0" fillId="0" borderId="0" xfId="0" pivotButton="1"/>
    <xf numFmtId="0" fontId="0" fillId="0" borderId="0" xfId="0" applyAlignment="1">
      <alignment horizontal="left"/>
    </xf>
    <xf numFmtId="9" fontId="0" fillId="0" borderId="0" xfId="2" applyFont="1" applyAlignment="1">
      <alignment horizontal="center" vertical="center"/>
    </xf>
    <xf numFmtId="0" fontId="9" fillId="5" borderId="0" xfId="0" applyFont="1" applyFill="1" applyAlignment="1">
      <alignment horizontal="left"/>
    </xf>
    <xf numFmtId="2" fontId="2" fillId="2" borderId="1" xfId="0" applyNumberFormat="1"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14" fontId="0" fillId="0" borderId="0" xfId="0" applyNumberFormat="1"/>
    <xf numFmtId="0" fontId="7" fillId="6" borderId="4" xfId="0" applyFont="1" applyFill="1" applyBorder="1" applyAlignment="1">
      <alignment horizontal="center" vertical="center"/>
    </xf>
    <xf numFmtId="0" fontId="7" fillId="7" borderId="4" xfId="0" applyFont="1" applyFill="1" applyBorder="1" applyAlignment="1">
      <alignment horizontal="center" vertical="center"/>
    </xf>
    <xf numFmtId="0" fontId="7" fillId="4" borderId="4" xfId="0" applyFont="1" applyFill="1" applyBorder="1" applyAlignment="1">
      <alignment horizontal="center" vertical="center"/>
    </xf>
  </cellXfs>
  <cellStyles count="3">
    <cellStyle name="Currency" xfId="1" builtinId="4"/>
    <cellStyle name="Normal" xfId="0" builtinId="0"/>
    <cellStyle name="Percent" xfId="2" builtinId="5"/>
  </cellStyles>
  <dxfs count="14">
    <dxf>
      <font>
        <b/>
        <i val="0"/>
        <color theme="0"/>
        <name val="Calibri"/>
        <family val="2"/>
        <scheme val="minor"/>
      </font>
      <fill>
        <patternFill>
          <bgColor theme="5" tint="0.39994506668294322"/>
        </patternFill>
      </fill>
      <border>
        <bottom style="thin">
          <color theme="4"/>
        </bottom>
        <vertical/>
        <horizontal/>
      </border>
    </dxf>
    <dxf>
      <font>
        <color theme="1"/>
      </font>
      <fill>
        <patternFill>
          <bgColor theme="5" tint="0.39994506668294322"/>
        </patternFill>
      </fill>
      <border diagonalUp="0" diagonalDown="0">
        <left/>
        <right/>
        <top/>
        <bottom/>
        <vertical/>
        <horizontal/>
      </border>
    </dxf>
    <dxf>
      <font>
        <b/>
        <i val="0"/>
        <color theme="0"/>
        <name val="Calibri"/>
        <family val="2"/>
        <scheme val="minor"/>
      </font>
      <fill>
        <patternFill>
          <bgColor theme="5" tint="0.39994506668294322"/>
        </patternFill>
      </fill>
      <border>
        <bottom style="thin">
          <color theme="4"/>
        </bottom>
        <vertical/>
        <horizontal/>
      </border>
    </dxf>
    <dxf>
      <font>
        <color theme="1"/>
      </font>
      <fill>
        <patternFill>
          <bgColor theme="5" tint="0.39994506668294322"/>
        </patternFill>
      </fill>
      <border diagonalUp="0" diagonalDown="0">
        <left style="thin">
          <color auto="1"/>
        </left>
        <right style="thin">
          <color auto="1"/>
        </right>
        <top style="thin">
          <color auto="1"/>
        </top>
        <bottom style="thin">
          <color auto="1"/>
        </bottom>
        <vertical/>
        <horizontal/>
      </border>
    </dxf>
    <dxf>
      <font>
        <b/>
        <i val="0"/>
        <color theme="0"/>
        <name val="Calibri"/>
        <family val="2"/>
        <scheme val="minor"/>
      </font>
      <fill>
        <patternFill>
          <bgColor theme="5" tint="0.39994506668294322"/>
        </patternFill>
      </fill>
      <border>
        <bottom style="thin">
          <color theme="4"/>
        </bottom>
        <vertical/>
        <horizontal/>
      </border>
    </dxf>
    <dxf>
      <font>
        <color theme="1"/>
      </font>
      <fill>
        <patternFill>
          <bgColor theme="5" tint="0.39994506668294322"/>
        </patternFill>
      </fill>
      <border diagonalUp="0" diagonalDown="0">
        <left style="thin">
          <color auto="1"/>
        </left>
        <right style="thin">
          <color auto="1"/>
        </right>
        <top style="thin">
          <color auto="1"/>
        </top>
        <bottom style="thin">
          <color auto="1"/>
        </bottom>
        <vertical/>
        <horizontal/>
      </border>
    </dxf>
    <dxf>
      <font>
        <b/>
        <i val="0"/>
        <color theme="0"/>
        <name val="Calibri"/>
        <family val="2"/>
        <scheme val="minor"/>
      </font>
      <fill>
        <patternFill>
          <bgColor theme="5" tint="0.39994506668294322"/>
        </patternFill>
      </fill>
      <border>
        <bottom style="thin">
          <color theme="4"/>
        </bottom>
        <vertical/>
        <horizontal/>
      </border>
    </dxf>
    <dxf>
      <font>
        <color theme="1"/>
      </font>
      <fill>
        <patternFill>
          <bgColor theme="5" tint="0.39994506668294322"/>
        </patternFill>
      </fill>
      <border diagonalUp="0" diagonalDown="0">
        <left style="thin">
          <color auto="1"/>
        </left>
        <right style="thin">
          <color auto="1"/>
        </right>
        <top style="thin">
          <color auto="1"/>
        </top>
        <bottom style="thin">
          <color auto="1"/>
        </bottom>
        <vertical/>
        <horizontal/>
      </border>
    </dxf>
    <dxf>
      <font>
        <b/>
        <i val="0"/>
        <color theme="0"/>
        <name val="Calibri"/>
        <family val="2"/>
        <scheme val="minor"/>
      </font>
      <fill>
        <patternFill>
          <bgColor theme="5" tint="0.39994506668294322"/>
        </patternFill>
      </fill>
      <border>
        <bottom style="thin">
          <color theme="4"/>
        </bottom>
        <vertical/>
        <horizontal/>
      </border>
    </dxf>
    <dxf>
      <font>
        <color theme="1"/>
      </font>
      <fill>
        <patternFill>
          <bgColor theme="5" tint="0.59996337778862885"/>
        </patternFill>
      </fill>
      <border diagonalUp="0" diagonalDown="0">
        <left/>
        <right/>
        <top/>
        <bottom/>
        <vertical/>
        <horizontal/>
      </border>
    </dxf>
    <dxf>
      <font>
        <b/>
        <i val="0"/>
        <color theme="0"/>
        <name val="Calibri"/>
        <family val="2"/>
        <scheme val="minor"/>
      </font>
      <fill>
        <patternFill>
          <bgColor theme="5" tint="0.39994506668294322"/>
        </patternFill>
      </fill>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i val="0"/>
        <color theme="0"/>
        <name val="Calibri"/>
        <family val="2"/>
        <scheme val="minor"/>
      </font>
      <fill>
        <patternFill>
          <bgColor theme="0"/>
        </patternFill>
      </fill>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7" defaultTableStyle="TableStyleMedium2" defaultPivotStyle="PivotStyleLight16">
    <tableStyle name="SlicerStyleLight1 2" pivot="0" table="0" count="10" xr9:uid="{64CBA88F-7C2B-47AD-A6BB-C06E01579037}">
      <tableStyleElement type="wholeTable" dxfId="13"/>
      <tableStyleElement type="headerRow" dxfId="12"/>
    </tableStyle>
    <tableStyle name="SlicerStyleLight1 2 2" pivot="0" table="0" count="10" xr9:uid="{8B191D2F-EAC5-4DA7-BEB4-1B608737883B}">
      <tableStyleElement type="wholeTable" dxfId="11"/>
      <tableStyleElement type="headerRow" dxfId="10"/>
    </tableStyle>
    <tableStyle name="SlicerStyleLight1 2 2 2" pivot="0" table="0" count="10" xr9:uid="{78D338DF-6624-4B3D-A5D1-0BF48A5B15AD}">
      <tableStyleElement type="wholeTable" dxfId="9"/>
      <tableStyleElement type="headerRow" dxfId="8"/>
    </tableStyle>
    <tableStyle name="SlicerStyleLight1 2 2 2 2" pivot="0" table="0" count="10" xr9:uid="{E6CA83FD-7E43-4595-9847-9F7F56B8AE29}">
      <tableStyleElement type="wholeTable" dxfId="7"/>
      <tableStyleElement type="headerRow" dxfId="6"/>
    </tableStyle>
    <tableStyle name="SlicerStyleLight1 2 2 2 2 2" pivot="0" table="0" count="10" xr9:uid="{00F1FCC9-E22B-4778-9500-EBDEE82EFA54}">
      <tableStyleElement type="wholeTable" dxfId="5"/>
      <tableStyleElement type="headerRow" dxfId="4"/>
    </tableStyle>
    <tableStyle name="SlicerStyleLight1 2 2 2 2 2 2" pivot="0" table="0" count="10" xr9:uid="{2AF60378-387A-4E92-AB1D-2D5820838A2C}">
      <tableStyleElement type="wholeTable" dxfId="3"/>
      <tableStyleElement type="headerRow" dxfId="2"/>
    </tableStyle>
    <tableStyle name="SlicerStyleLight1 2 2 2 2 2 2 2" pivot="0" table="0" count="10" xr9:uid="{F6EA4004-B84A-49A7-9E17-F247427EC096}">
      <tableStyleElement type="wholeTable" dxfId="1"/>
      <tableStyleElement type="headerRow" dxfId="0"/>
    </tableStyle>
  </tableStyles>
  <extLst>
    <ext xmlns:x14="http://schemas.microsoft.com/office/spreadsheetml/2009/9/main" uri="{46F421CA-312F-682f-3DD2-61675219B42D}">
      <x14:dxfs count="5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2"/>
            <color theme="0"/>
            <name val="Calibri"/>
            <family val="2"/>
            <scheme val="minor"/>
          </font>
          <fill>
            <patternFill patternType="solid">
              <fgColor theme="4" tint="0.59999389629810485"/>
              <bgColor theme="4" tint="0.3999450666829432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2"/>
            <color theme="0"/>
            <name val="Calibri"/>
            <family val="2"/>
            <scheme val="minor"/>
          </font>
          <fill>
            <patternFill patternType="solid">
              <fgColor theme="4" tint="0.59999389629810485"/>
              <bgColor theme="4" tint="0.3999450666829432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2"/>
            <color theme="0"/>
            <name val="Calibri"/>
            <family val="2"/>
            <scheme val="minor"/>
          </font>
          <fill>
            <patternFill patternType="solid">
              <fgColor theme="4" tint="0.59999389629810485"/>
              <bgColor theme="5" tint="-0.2499465926084170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55"/>
            <x14:slicerStyleElement type="unselectedItemWithNoData" dxfId="54"/>
            <x14:slicerStyleElement type="selectedItemWithData" dxfId="53"/>
            <x14:slicerStyleElement type="selectedItemWithNoData" dxfId="52"/>
            <x14:slicerStyleElement type="hoveredUnselectedItemWithData" dxfId="51"/>
            <x14:slicerStyleElement type="hoveredSelectedItemWithData" dxfId="50"/>
            <x14:slicerStyleElement type="hoveredUnselectedItemWithNoData" dxfId="49"/>
            <x14:slicerStyleElement type="hoveredSelectedItemWithNoData" dxfId="48"/>
          </x14:slicerStyleElements>
        </x14:slicerStyle>
        <x14:slicerStyle name="SlicerStyleLight1 2 2">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rStyleLight1 2 2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Light1 2 2 2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Light1 2 2 2 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2 2 2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2 2 2 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10/relationships/person" Target="persons/person0.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[Price Break Model.xlsx]Analysis!DAY</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bg1"/>
                </a:solidFill>
              </a:rPr>
              <a:t>Daily</a:t>
            </a:r>
          </a:p>
        </c:rich>
      </c:tx>
      <c:layout>
        <c:manualLayout>
          <c:xMode val="edge"/>
          <c:yMode val="edge"/>
          <c:x val="0.36259738218651449"/>
          <c:y val="6.63826673287510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631502577669706E-2"/>
          <c:y val="0.10838146512296475"/>
          <c:w val="0.90352806379248241"/>
          <c:h val="0.708070697303115"/>
        </c:manualLayout>
      </c:layout>
      <c:barChart>
        <c:barDir val="col"/>
        <c:grouping val="clustered"/>
        <c:varyColors val="0"/>
        <c:ser>
          <c:idx val="0"/>
          <c:order val="0"/>
          <c:tx>
            <c:strRef>
              <c:f>Analysis!$B$3</c:f>
              <c:strCache>
                <c:ptCount val="1"/>
                <c:pt idx="0">
                  <c:v>Sum of Quantity Sold</c:v>
                </c:pt>
              </c:strCache>
            </c:strRef>
          </c:tx>
          <c:spPr>
            <a:solidFill>
              <a:schemeClr val="accent1"/>
            </a:solidFill>
            <a:ln>
              <a:noFill/>
            </a:ln>
            <a:effectLst/>
          </c:spPr>
          <c:invertIfNegative val="0"/>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215</c:v>
                </c:pt>
                <c:pt idx="1">
                  <c:v>190</c:v>
                </c:pt>
                <c:pt idx="2">
                  <c:v>185</c:v>
                </c:pt>
                <c:pt idx="3">
                  <c:v>220</c:v>
                </c:pt>
                <c:pt idx="4">
                  <c:v>225</c:v>
                </c:pt>
                <c:pt idx="5">
                  <c:v>180</c:v>
                </c:pt>
                <c:pt idx="6">
                  <c:v>180</c:v>
                </c:pt>
                <c:pt idx="7">
                  <c:v>195</c:v>
                </c:pt>
                <c:pt idx="8">
                  <c:v>165</c:v>
                </c:pt>
                <c:pt idx="9">
                  <c:v>175</c:v>
                </c:pt>
                <c:pt idx="10">
                  <c:v>230</c:v>
                </c:pt>
                <c:pt idx="11">
                  <c:v>235</c:v>
                </c:pt>
                <c:pt idx="12">
                  <c:v>220</c:v>
                </c:pt>
                <c:pt idx="13">
                  <c:v>225</c:v>
                </c:pt>
                <c:pt idx="14">
                  <c:v>175</c:v>
                </c:pt>
                <c:pt idx="15">
                  <c:v>135</c:v>
                </c:pt>
                <c:pt idx="16">
                  <c:v>195</c:v>
                </c:pt>
                <c:pt idx="17">
                  <c:v>230</c:v>
                </c:pt>
                <c:pt idx="18">
                  <c:v>190</c:v>
                </c:pt>
                <c:pt idx="19">
                  <c:v>195</c:v>
                </c:pt>
                <c:pt idx="20">
                  <c:v>215</c:v>
                </c:pt>
                <c:pt idx="21">
                  <c:v>190</c:v>
                </c:pt>
                <c:pt idx="22">
                  <c:v>185</c:v>
                </c:pt>
                <c:pt idx="23">
                  <c:v>220</c:v>
                </c:pt>
                <c:pt idx="24">
                  <c:v>225</c:v>
                </c:pt>
                <c:pt idx="25">
                  <c:v>180</c:v>
                </c:pt>
                <c:pt idx="26">
                  <c:v>180</c:v>
                </c:pt>
                <c:pt idx="27">
                  <c:v>195</c:v>
                </c:pt>
                <c:pt idx="28">
                  <c:v>160</c:v>
                </c:pt>
                <c:pt idx="29">
                  <c:v>165</c:v>
                </c:pt>
                <c:pt idx="30">
                  <c:v>165</c:v>
                </c:pt>
              </c:numCache>
            </c:numRef>
          </c:val>
          <c:extLst>
            <c:ext xmlns:c16="http://schemas.microsoft.com/office/drawing/2014/chart" uri="{C3380CC4-5D6E-409C-BE32-E72D297353CC}">
              <c16:uniqueId val="{00000002-4784-4405-B15D-AE0B06C6A127}"/>
            </c:ext>
          </c:extLst>
        </c:ser>
        <c:ser>
          <c:idx val="1"/>
          <c:order val="1"/>
          <c:tx>
            <c:strRef>
              <c:f>Analysis!$C$3</c:f>
              <c:strCache>
                <c:ptCount val="1"/>
                <c:pt idx="0">
                  <c:v>Sum of Selling Price</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Analysis!$C$4:$C$34</c:f>
              <c:numCache>
                <c:formatCode>General</c:formatCode>
                <c:ptCount val="31"/>
                <c:pt idx="0">
                  <c:v>7229</c:v>
                </c:pt>
                <c:pt idx="1">
                  <c:v>7573</c:v>
                </c:pt>
                <c:pt idx="2">
                  <c:v>8111</c:v>
                </c:pt>
                <c:pt idx="3">
                  <c:v>12575</c:v>
                </c:pt>
                <c:pt idx="4">
                  <c:v>8411</c:v>
                </c:pt>
                <c:pt idx="5">
                  <c:v>3888</c:v>
                </c:pt>
                <c:pt idx="6">
                  <c:v>2842</c:v>
                </c:pt>
                <c:pt idx="7">
                  <c:v>2547</c:v>
                </c:pt>
                <c:pt idx="8">
                  <c:v>2426</c:v>
                </c:pt>
                <c:pt idx="9">
                  <c:v>1901</c:v>
                </c:pt>
                <c:pt idx="10">
                  <c:v>6609</c:v>
                </c:pt>
                <c:pt idx="11">
                  <c:v>7248</c:v>
                </c:pt>
                <c:pt idx="12">
                  <c:v>3246</c:v>
                </c:pt>
                <c:pt idx="13">
                  <c:v>7920</c:v>
                </c:pt>
                <c:pt idx="14">
                  <c:v>12652</c:v>
                </c:pt>
                <c:pt idx="15">
                  <c:v>8358</c:v>
                </c:pt>
                <c:pt idx="16">
                  <c:v>3172</c:v>
                </c:pt>
                <c:pt idx="17">
                  <c:v>2724</c:v>
                </c:pt>
                <c:pt idx="18">
                  <c:v>3070</c:v>
                </c:pt>
                <c:pt idx="19">
                  <c:v>3034</c:v>
                </c:pt>
                <c:pt idx="20">
                  <c:v>7229</c:v>
                </c:pt>
                <c:pt idx="21">
                  <c:v>7573</c:v>
                </c:pt>
                <c:pt idx="22">
                  <c:v>8111</c:v>
                </c:pt>
                <c:pt idx="23">
                  <c:v>12575</c:v>
                </c:pt>
                <c:pt idx="24">
                  <c:v>8411</c:v>
                </c:pt>
                <c:pt idx="25">
                  <c:v>3888</c:v>
                </c:pt>
                <c:pt idx="26">
                  <c:v>2842</c:v>
                </c:pt>
                <c:pt idx="27">
                  <c:v>2547</c:v>
                </c:pt>
                <c:pt idx="28">
                  <c:v>2026</c:v>
                </c:pt>
                <c:pt idx="29">
                  <c:v>1898</c:v>
                </c:pt>
                <c:pt idx="30">
                  <c:v>986</c:v>
                </c:pt>
              </c:numCache>
            </c:numRef>
          </c:val>
          <c:extLst>
            <c:ext xmlns:c16="http://schemas.microsoft.com/office/drawing/2014/chart" uri="{C3380CC4-5D6E-409C-BE32-E72D297353CC}">
              <c16:uniqueId val="{00000003-4784-4405-B15D-AE0B06C6A127}"/>
            </c:ext>
          </c:extLst>
        </c:ser>
        <c:dLbls>
          <c:showLegendKey val="0"/>
          <c:showVal val="0"/>
          <c:showCatName val="0"/>
          <c:showSerName val="0"/>
          <c:showPercent val="0"/>
          <c:showBubbleSize val="0"/>
        </c:dLbls>
        <c:gapWidth val="30"/>
        <c:overlap val="10"/>
        <c:axId val="26293200"/>
        <c:axId val="26298000"/>
      </c:barChart>
      <c:catAx>
        <c:axId val="2629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6298000"/>
        <c:crosses val="autoZero"/>
        <c:auto val="1"/>
        <c:lblAlgn val="ctr"/>
        <c:lblOffset val="100"/>
        <c:noMultiLvlLbl val="0"/>
      </c:catAx>
      <c:valAx>
        <c:axId val="262980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6293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[Price Break Model.xlsx]Analysis!Month</c:name>
    <c:fmtId val="9"/>
  </c:pivotSource>
  <c:chart>
    <c:title>
      <c:tx>
        <c:rich>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r>
              <a:rPr lang="en-US" sz="1600" b="1">
                <a:solidFill>
                  <a:schemeClr val="bg1"/>
                </a:solidFill>
              </a:rPr>
              <a:t>Monthly</a:t>
            </a:r>
          </a:p>
          <a:p>
            <a:pPr>
              <a:defRPr sz="1600" b="1">
                <a:solidFill>
                  <a:schemeClr val="bg1"/>
                </a:solidFill>
              </a:defRPr>
            </a:pPr>
            <a:endParaRPr lang="en-US" sz="1600" b="1">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274260415351902E-2"/>
          <c:y val="0.14491805897576901"/>
          <c:w val="0.86848529568822397"/>
          <c:h val="0.7536489550933958"/>
        </c:manualLayout>
      </c:layout>
      <c:barChart>
        <c:barDir val="bar"/>
        <c:grouping val="clustered"/>
        <c:varyColors val="0"/>
        <c:ser>
          <c:idx val="0"/>
          <c:order val="0"/>
          <c:tx>
            <c:strRef>
              <c:f>Analysis!$F$9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Analysis!$E$10:$E$21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Analysis!$F$10:$F$21</c:f>
              <c:numCache>
                <c:formatCode>General</c:formatCode>
                <c:ptCount val="12"/>
                <c:pt idx="0">
                  <c:v>10516</c:v>
                </c:pt>
                <c:pt idx="1">
                  <c:v>17968</c:v>
                </c:pt>
                <c:pt idx="2">
                  <c:v>10768</c:v>
                </c:pt>
                <c:pt idx="3">
                  <c:v>18516</c:v>
                </c:pt>
                <c:pt idx="4">
                  <c:v>10516</c:v>
                </c:pt>
                <c:pt idx="5">
                  <c:v>18371</c:v>
                </c:pt>
                <c:pt idx="6">
                  <c:v>10813</c:v>
                </c:pt>
                <c:pt idx="7">
                  <c:v>18206</c:v>
                </c:pt>
                <c:pt idx="8">
                  <c:v>10998</c:v>
                </c:pt>
                <c:pt idx="9">
                  <c:v>17921</c:v>
                </c:pt>
                <c:pt idx="10">
                  <c:v>11493</c:v>
                </c:pt>
                <c:pt idx="11">
                  <c:v>17536</c:v>
                </c:pt>
              </c:numCache>
            </c:numRef>
          </c:val>
          <c:extLst>
            <c:ext xmlns:c16="http://schemas.microsoft.com/office/drawing/2014/chart" uri="{C3380CC4-5D6E-409C-BE32-E72D297353CC}">
              <c16:uniqueId val="{00000000-5F59-417D-904A-3DD6A5C05E99}"/>
            </c:ext>
          </c:extLst>
        </c:ser>
        <c:dLbls>
          <c:dLblPos val="outEnd"/>
          <c:showLegendKey val="0"/>
          <c:showVal val="1"/>
          <c:showCatName val="0"/>
          <c:showSerName val="0"/>
          <c:showPercent val="0"/>
          <c:showBubbleSize val="0"/>
        </c:dLbls>
        <c:gapWidth val="30"/>
        <c:overlap val="10"/>
        <c:axId val="157310608"/>
        <c:axId val="157301008"/>
      </c:barChart>
      <c:catAx>
        <c:axId val="1573106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157301008"/>
        <c:crosses val="autoZero"/>
        <c:auto val="1"/>
        <c:lblAlgn val="ctr"/>
        <c:lblOffset val="100"/>
        <c:noMultiLvlLbl val="0"/>
      </c:catAx>
      <c:valAx>
        <c:axId val="15730100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1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[Price Break Model.xlsx]Analysis!Payement Mode</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600" b="1">
                <a:solidFill>
                  <a:schemeClr val="bg1"/>
                </a:solidFill>
              </a:rPr>
              <a:t>Payment Mode</a:t>
            </a:r>
          </a:p>
          <a:p>
            <a:pPr>
              <a:defRPr>
                <a:solidFill>
                  <a:schemeClr val="bg1"/>
                </a:solidFill>
              </a:defRPr>
            </a:pP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noFill/>
          </a:ln>
          <a:effectLst/>
        </c:spPr>
      </c:pivotFmt>
      <c:pivotFmt>
        <c:idx val="8"/>
        <c:spPr>
          <a:solidFill>
            <a:schemeClr val="accent2"/>
          </a:solidFill>
          <a:ln w="19050">
            <a:noFill/>
          </a:ln>
          <a:effectLst/>
        </c:spPr>
      </c:pivotFmt>
      <c:pivotFmt>
        <c:idx val="9"/>
        <c:spPr>
          <a:solidFill>
            <a:schemeClr val="accent3"/>
          </a:solidFill>
          <a:ln w="19050">
            <a:noFill/>
          </a:ln>
          <a:effectLst/>
        </c:spPr>
      </c:pivotFmt>
      <c:pivotFmt>
        <c:idx val="10"/>
        <c:spPr>
          <a:solidFill>
            <a:schemeClr val="accent4"/>
          </a:solidFill>
          <a:ln w="19050">
            <a:noFill/>
          </a:ln>
          <a:effectLst/>
        </c:spPr>
      </c:pivotFmt>
      <c:pivotFmt>
        <c:idx val="1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noFill/>
          </a:ln>
          <a:effectLst/>
        </c:spPr>
      </c:pivotFmt>
      <c:pivotFmt>
        <c:idx val="13"/>
        <c:spPr>
          <a:solidFill>
            <a:schemeClr val="accent1"/>
          </a:solidFill>
          <a:ln w="19050">
            <a:noFill/>
          </a:ln>
          <a:effectLst/>
        </c:spPr>
      </c:pivotFmt>
      <c:pivotFmt>
        <c:idx val="14"/>
        <c:spPr>
          <a:solidFill>
            <a:schemeClr val="accent1"/>
          </a:solidFill>
          <a:ln w="19050">
            <a:noFill/>
          </a:ln>
          <a:effectLst/>
        </c:spPr>
      </c:pivotFmt>
      <c:pivotFmt>
        <c:idx val="15"/>
        <c:spPr>
          <a:solidFill>
            <a:schemeClr val="accent1"/>
          </a:solidFill>
          <a:ln w="19050">
            <a:noFill/>
          </a:ln>
          <a:effectLst/>
        </c:spPr>
      </c:pivotFmt>
      <c:pivotFmt>
        <c:idx val="1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noFill/>
          </a:ln>
          <a:effectLst/>
        </c:spPr>
      </c:pivotFmt>
      <c:pivotFmt>
        <c:idx val="18"/>
        <c:spPr>
          <a:solidFill>
            <a:schemeClr val="accent1"/>
          </a:solidFill>
          <a:ln w="19050">
            <a:noFill/>
          </a:ln>
          <a:effectLst/>
        </c:spPr>
      </c:pivotFmt>
      <c:pivotFmt>
        <c:idx val="19"/>
        <c:spPr>
          <a:solidFill>
            <a:schemeClr val="accent1"/>
          </a:solidFill>
          <a:ln w="19050">
            <a:noFill/>
          </a:ln>
          <a:effectLst/>
        </c:spPr>
      </c:pivotFmt>
      <c:pivotFmt>
        <c:idx val="20"/>
        <c:spPr>
          <a:solidFill>
            <a:schemeClr val="accent1"/>
          </a:solidFill>
          <a:ln w="19050">
            <a:noFill/>
          </a:ln>
          <a:effectLst/>
        </c:spPr>
      </c:pivotFmt>
    </c:pivotFmts>
    <c:plotArea>
      <c:layout>
        <c:manualLayout>
          <c:layoutTarget val="inner"/>
          <c:xMode val="edge"/>
          <c:yMode val="edge"/>
          <c:x val="0.11851121124056843"/>
          <c:y val="0.17066333188690996"/>
          <c:w val="0.72856000213293515"/>
          <c:h val="0.70007573707546011"/>
        </c:manualLayout>
      </c:layout>
      <c:pieChart>
        <c:varyColors val="1"/>
        <c:ser>
          <c:idx val="0"/>
          <c:order val="0"/>
          <c:tx>
            <c:strRef>
              <c:f>Analysis!$I$10</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8E53-4FA9-933A-3BF5BFBFED15}"/>
              </c:ext>
            </c:extLst>
          </c:dPt>
          <c:dPt>
            <c:idx val="1"/>
            <c:bubble3D val="0"/>
            <c:spPr>
              <a:solidFill>
                <a:schemeClr val="accent2"/>
              </a:solidFill>
              <a:ln w="19050">
                <a:noFill/>
              </a:ln>
              <a:effectLst/>
            </c:spPr>
            <c:extLst>
              <c:ext xmlns:c16="http://schemas.microsoft.com/office/drawing/2014/chart" uri="{C3380CC4-5D6E-409C-BE32-E72D297353CC}">
                <c16:uniqueId val="{00000003-8E53-4FA9-933A-3BF5BFBFED15}"/>
              </c:ext>
            </c:extLst>
          </c:dPt>
          <c:dPt>
            <c:idx val="2"/>
            <c:bubble3D val="0"/>
            <c:spPr>
              <a:solidFill>
                <a:schemeClr val="accent3"/>
              </a:solidFill>
              <a:ln w="19050">
                <a:noFill/>
              </a:ln>
              <a:effectLst/>
            </c:spPr>
            <c:extLst>
              <c:ext xmlns:c16="http://schemas.microsoft.com/office/drawing/2014/chart" uri="{C3380CC4-5D6E-409C-BE32-E72D297353CC}">
                <c16:uniqueId val="{00000005-8E53-4FA9-933A-3BF5BFBFED15}"/>
              </c:ext>
            </c:extLst>
          </c:dPt>
          <c:dPt>
            <c:idx val="3"/>
            <c:bubble3D val="0"/>
            <c:spPr>
              <a:solidFill>
                <a:schemeClr val="accent4"/>
              </a:solidFill>
              <a:ln w="19050">
                <a:noFill/>
              </a:ln>
              <a:effectLst/>
            </c:spPr>
            <c:extLst>
              <c:ext xmlns:c16="http://schemas.microsoft.com/office/drawing/2014/chart" uri="{C3380CC4-5D6E-409C-BE32-E72D297353CC}">
                <c16:uniqueId val="{00000007-8E53-4FA9-933A-3BF5BFBFED15}"/>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Analysis!$H$11:$H$14</c:f>
              <c:strCache>
                <c:ptCount val="4"/>
                <c:pt idx="0">
                  <c:v>Cash</c:v>
                </c:pt>
                <c:pt idx="1">
                  <c:v>Credit Card</c:v>
                </c:pt>
                <c:pt idx="2">
                  <c:v>Debit Card</c:v>
                </c:pt>
                <c:pt idx="3">
                  <c:v>PayPal</c:v>
                </c:pt>
              </c:strCache>
            </c:strRef>
          </c:cat>
          <c:val>
            <c:numRef>
              <c:f>Analysis!$I$11:$I$14</c:f>
              <c:numCache>
                <c:formatCode>General</c:formatCode>
                <c:ptCount val="4"/>
                <c:pt idx="0">
                  <c:v>43059</c:v>
                </c:pt>
                <c:pt idx="1">
                  <c:v>53240</c:v>
                </c:pt>
                <c:pt idx="2">
                  <c:v>26750</c:v>
                </c:pt>
                <c:pt idx="3">
                  <c:v>50573</c:v>
                </c:pt>
              </c:numCache>
            </c:numRef>
          </c:val>
          <c:extLst>
            <c:ext xmlns:c16="http://schemas.microsoft.com/office/drawing/2014/chart" uri="{C3380CC4-5D6E-409C-BE32-E72D297353CC}">
              <c16:uniqueId val="{0000000A-2ADB-46C3-A159-B820B2ECA9F7}"/>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3.2512126445200226E-2"/>
          <c:y val="0.88414607370562059"/>
          <c:w val="0.89567520292675584"/>
          <c:h val="0.11341955969971808"/>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[Price Break Model.xlsx]Analysis!Product</c:name>
    <c:fmtId val="6"/>
  </c:pivotSource>
  <c:chart>
    <c:title>
      <c:tx>
        <c:rich>
          <a:bodyPr rot="0" spcFirstLastPara="1" vertOverflow="ellipsis" vert="horz" wrap="square" anchor="ctr" anchorCtr="1"/>
          <a:lstStyle/>
          <a:p>
            <a:pPr>
              <a:defRPr lang="en-US" sz="1050" b="1" i="0" u="none" strike="noStrike" kern="1200" spc="0" baseline="0">
                <a:solidFill>
                  <a:schemeClr val="bg1"/>
                </a:solidFill>
                <a:latin typeface="+mn-lt"/>
                <a:ea typeface="+mn-ea"/>
                <a:cs typeface="+mn-cs"/>
              </a:defRPr>
            </a:pPr>
            <a:r>
              <a:rPr lang="en-US" sz="1050" b="1" i="0" u="none" strike="noStrike" kern="1200" baseline="0">
                <a:solidFill>
                  <a:schemeClr val="bg1"/>
                </a:solidFill>
                <a:latin typeface="+mn-lt"/>
                <a:ea typeface="+mn-ea"/>
                <a:cs typeface="+mn-cs"/>
              </a:rPr>
              <a:t>Product Selling Price</a:t>
            </a:r>
          </a:p>
          <a:p>
            <a:pPr>
              <a:defRPr lang="en-US" sz="1050" b="1">
                <a:solidFill>
                  <a:schemeClr val="bg1"/>
                </a:solidFill>
              </a:defRPr>
            </a:pPr>
            <a:endParaRPr lang="en-US" sz="1050" b="1" i="0" u="none" strike="noStrike" kern="1200" baseline="0">
              <a:solidFill>
                <a:schemeClr val="bg1"/>
              </a:solidFill>
              <a:latin typeface="+mn-lt"/>
              <a:ea typeface="+mn-ea"/>
              <a:cs typeface="+mn-cs"/>
            </a:endParaRPr>
          </a:p>
        </c:rich>
      </c:tx>
      <c:overlay val="0"/>
      <c:spPr>
        <a:noFill/>
        <a:ln>
          <a:noFill/>
        </a:ln>
        <a:effectLst/>
      </c:spPr>
      <c:txPr>
        <a:bodyPr rot="0" spcFirstLastPara="1" vertOverflow="ellipsis" vert="horz" wrap="square" anchor="ctr" anchorCtr="1"/>
        <a:lstStyle/>
        <a:p>
          <a:pPr>
            <a:defRPr lang="en-US" sz="105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16479406652607"/>
          <c:y val="3.2614683438413831E-2"/>
          <c:w val="0.8059842432847858"/>
          <c:h val="0.75259777729359978"/>
        </c:manualLayout>
      </c:layout>
      <c:areaChart>
        <c:grouping val="standard"/>
        <c:varyColors val="0"/>
        <c:ser>
          <c:idx val="0"/>
          <c:order val="0"/>
          <c:tx>
            <c:strRef>
              <c:f>Analysis!$L$10</c:f>
              <c:strCache>
                <c:ptCount val="1"/>
                <c:pt idx="0">
                  <c:v>Total</c:v>
                </c:pt>
              </c:strCache>
            </c:strRef>
          </c:tx>
          <c:spPr>
            <a:solidFill>
              <a:schemeClr val="accent1"/>
            </a:solidFill>
            <a:ln w="25400">
              <a:noFill/>
            </a:ln>
            <a:effectLst/>
          </c:spPr>
          <c:cat>
            <c:strRef>
              <c:f>Analysis!$K$11:$K$30</c:f>
              <c:strCache>
                <c:ptCount val="20"/>
                <c:pt idx="0">
                  <c:v>Product1</c:v>
                </c:pt>
                <c:pt idx="1">
                  <c:v>Product10</c:v>
                </c:pt>
                <c:pt idx="2">
                  <c:v>Product11</c:v>
                </c:pt>
                <c:pt idx="3">
                  <c:v>Product12</c:v>
                </c:pt>
                <c:pt idx="4">
                  <c:v>Product13</c:v>
                </c:pt>
                <c:pt idx="5">
                  <c:v>Product14</c:v>
                </c:pt>
                <c:pt idx="6">
                  <c:v>Product15</c:v>
                </c:pt>
                <c:pt idx="7">
                  <c:v>Product16</c:v>
                </c:pt>
                <c:pt idx="8">
                  <c:v>Product17</c:v>
                </c:pt>
                <c:pt idx="9">
                  <c:v>Product18</c:v>
                </c:pt>
                <c:pt idx="10">
                  <c:v>Product19</c:v>
                </c:pt>
                <c:pt idx="11">
                  <c:v>Product2</c:v>
                </c:pt>
                <c:pt idx="12">
                  <c:v>Product20</c:v>
                </c:pt>
                <c:pt idx="13">
                  <c:v>Product3</c:v>
                </c:pt>
                <c:pt idx="14">
                  <c:v>Product4</c:v>
                </c:pt>
                <c:pt idx="15">
                  <c:v>Product5</c:v>
                </c:pt>
                <c:pt idx="16">
                  <c:v>Product6</c:v>
                </c:pt>
                <c:pt idx="17">
                  <c:v>Product7</c:v>
                </c:pt>
                <c:pt idx="18">
                  <c:v>Product8</c:v>
                </c:pt>
                <c:pt idx="19">
                  <c:v>Product9</c:v>
                </c:pt>
              </c:strCache>
            </c:strRef>
          </c:cat>
          <c:val>
            <c:numRef>
              <c:f>Analysis!$L$11:$L$30</c:f>
              <c:numCache>
                <c:formatCode>General</c:formatCode>
                <c:ptCount val="20"/>
                <c:pt idx="0">
                  <c:v>57</c:v>
                </c:pt>
                <c:pt idx="1">
                  <c:v>2160</c:v>
                </c:pt>
                <c:pt idx="2">
                  <c:v>2664</c:v>
                </c:pt>
                <c:pt idx="3">
                  <c:v>5400</c:v>
                </c:pt>
                <c:pt idx="4">
                  <c:v>5760</c:v>
                </c:pt>
                <c:pt idx="5">
                  <c:v>9540</c:v>
                </c:pt>
                <c:pt idx="6">
                  <c:v>90000</c:v>
                </c:pt>
                <c:pt idx="7">
                  <c:v>11700</c:v>
                </c:pt>
                <c:pt idx="8">
                  <c:v>11520</c:v>
                </c:pt>
                <c:pt idx="9">
                  <c:v>6480</c:v>
                </c:pt>
                <c:pt idx="10">
                  <c:v>9720</c:v>
                </c:pt>
                <c:pt idx="11">
                  <c:v>855</c:v>
                </c:pt>
                <c:pt idx="12">
                  <c:v>7200</c:v>
                </c:pt>
                <c:pt idx="13">
                  <c:v>1710</c:v>
                </c:pt>
                <c:pt idx="14">
                  <c:v>665</c:v>
                </c:pt>
                <c:pt idx="15">
                  <c:v>2755</c:v>
                </c:pt>
                <c:pt idx="16">
                  <c:v>2250</c:v>
                </c:pt>
                <c:pt idx="17">
                  <c:v>1008</c:v>
                </c:pt>
                <c:pt idx="18">
                  <c:v>612</c:v>
                </c:pt>
                <c:pt idx="19">
                  <c:v>1566</c:v>
                </c:pt>
              </c:numCache>
            </c:numRef>
          </c:val>
          <c:extLst>
            <c:ext xmlns:c16="http://schemas.microsoft.com/office/drawing/2014/chart" uri="{C3380CC4-5D6E-409C-BE32-E72D297353CC}">
              <c16:uniqueId val="{00000000-F86A-4086-9755-F12192A0A2F7}"/>
            </c:ext>
          </c:extLst>
        </c:ser>
        <c:dLbls>
          <c:showLegendKey val="0"/>
          <c:showVal val="0"/>
          <c:showCatName val="0"/>
          <c:showSerName val="0"/>
          <c:showPercent val="0"/>
          <c:showBubbleSize val="0"/>
        </c:dLbls>
        <c:axId val="115544096"/>
        <c:axId val="115519136"/>
      </c:areaChart>
      <c:catAx>
        <c:axId val="1155440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115519136"/>
        <c:crosses val="autoZero"/>
        <c:auto val="1"/>
        <c:lblAlgn val="ctr"/>
        <c:lblOffset val="100"/>
        <c:noMultiLvlLbl val="0"/>
      </c:catAx>
      <c:valAx>
        <c:axId val="1155191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1155440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9.png"/><Relationship Id="rId18" Type="http://schemas.openxmlformats.org/officeDocument/2006/relationships/image" Target="../media/image14.svg"/><Relationship Id="rId3" Type="http://schemas.openxmlformats.org/officeDocument/2006/relationships/chart" Target="../charts/chart3.xml"/><Relationship Id="rId7" Type="http://schemas.openxmlformats.org/officeDocument/2006/relationships/image" Target="../media/image3.png"/><Relationship Id="rId12" Type="http://schemas.openxmlformats.org/officeDocument/2006/relationships/image" Target="../media/image8.svg"/><Relationship Id="rId17" Type="http://schemas.openxmlformats.org/officeDocument/2006/relationships/image" Target="../media/image13.png"/><Relationship Id="rId2" Type="http://schemas.openxmlformats.org/officeDocument/2006/relationships/chart" Target="../charts/chart2.xml"/><Relationship Id="rId16" Type="http://schemas.openxmlformats.org/officeDocument/2006/relationships/image" Target="../media/image12.svg"/><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image" Target="../media/image7.png"/><Relationship Id="rId5" Type="http://schemas.openxmlformats.org/officeDocument/2006/relationships/image" Target="../media/image1.png"/><Relationship Id="rId15" Type="http://schemas.openxmlformats.org/officeDocument/2006/relationships/image" Target="../media/image11.png"/><Relationship Id="rId10" Type="http://schemas.openxmlformats.org/officeDocument/2006/relationships/image" Target="../media/image6.svg"/><Relationship Id="rId4" Type="http://schemas.openxmlformats.org/officeDocument/2006/relationships/chart" Target="../charts/chart4.xml"/><Relationship Id="rId9" Type="http://schemas.openxmlformats.org/officeDocument/2006/relationships/image" Target="../media/image5.png"/><Relationship Id="rId1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0</xdr:colOff>
      <xdr:row>37</xdr:row>
      <xdr:rowOff>44450</xdr:rowOff>
    </xdr:to>
    <xdr:grpSp>
      <xdr:nvGrpSpPr>
        <xdr:cNvPr id="30" name="Group 29">
          <a:extLst>
            <a:ext uri="{FF2B5EF4-FFF2-40B4-BE49-F238E27FC236}">
              <a16:creationId xmlns:a16="http://schemas.microsoft.com/office/drawing/2014/main" id="{687D5B67-53B3-131C-E0D4-7DF21D4CC96C}"/>
            </a:ext>
          </a:extLst>
        </xdr:cNvPr>
        <xdr:cNvGrpSpPr/>
      </xdr:nvGrpSpPr>
      <xdr:grpSpPr>
        <a:xfrm>
          <a:off x="0" y="0"/>
          <a:ext cx="12155714" cy="6757307"/>
          <a:chOff x="0" y="0"/>
          <a:chExt cx="12198684" cy="6845634"/>
        </a:xfrm>
      </xdr:grpSpPr>
      <xdr:sp macro="" textlink="">
        <xdr:nvSpPr>
          <xdr:cNvPr id="2" name="Rectangle 1">
            <a:extLst>
              <a:ext uri="{FF2B5EF4-FFF2-40B4-BE49-F238E27FC236}">
                <a16:creationId xmlns:a16="http://schemas.microsoft.com/office/drawing/2014/main" id="{AC6D61E0-51F9-D8B6-89F5-F3486215B082}"/>
              </a:ext>
            </a:extLst>
          </xdr:cNvPr>
          <xdr:cNvSpPr/>
        </xdr:nvSpPr>
        <xdr:spPr>
          <a:xfrm>
            <a:off x="9168417" y="1439245"/>
            <a:ext cx="694994" cy="1418502"/>
          </a:xfrm>
          <a:prstGeom prst="rect">
            <a:avLst/>
          </a:prstGeom>
          <a:solidFill>
            <a:schemeClr val="bg1"/>
          </a:solidFill>
          <a:ln>
            <a:prstDash val="sys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 name="Rectangle 2">
            <a:extLst>
              <a:ext uri="{FF2B5EF4-FFF2-40B4-BE49-F238E27FC236}">
                <a16:creationId xmlns:a16="http://schemas.microsoft.com/office/drawing/2014/main" id="{7B6CDE61-0186-4D05-7DFB-6E44CB1AC80B}"/>
              </a:ext>
            </a:extLst>
          </xdr:cNvPr>
          <xdr:cNvSpPr/>
        </xdr:nvSpPr>
        <xdr:spPr>
          <a:xfrm>
            <a:off x="0" y="0"/>
            <a:ext cx="12198684" cy="6845634"/>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nvGrpSpPr>
          <xdr:cNvPr id="4" name="Group 3">
            <a:extLst>
              <a:ext uri="{FF2B5EF4-FFF2-40B4-BE49-F238E27FC236}">
                <a16:creationId xmlns:a16="http://schemas.microsoft.com/office/drawing/2014/main" id="{81A76C55-0238-BCBA-A179-52935408DC92}"/>
              </a:ext>
            </a:extLst>
          </xdr:cNvPr>
          <xdr:cNvGrpSpPr/>
        </xdr:nvGrpSpPr>
        <xdr:grpSpPr>
          <a:xfrm>
            <a:off x="226829" y="258735"/>
            <a:ext cx="11744692" cy="6541505"/>
            <a:chOff x="226829" y="152398"/>
            <a:chExt cx="11738342" cy="6553203"/>
          </a:xfr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grpSpPr>
        <xdr:sp macro="" textlink="">
          <xdr:nvSpPr>
            <xdr:cNvPr id="5" name="Rectangle: Rounded Corners 4">
              <a:extLst>
                <a:ext uri="{FF2B5EF4-FFF2-40B4-BE49-F238E27FC236}">
                  <a16:creationId xmlns:a16="http://schemas.microsoft.com/office/drawing/2014/main" id="{234E8B97-2E8E-FA32-A1AF-471B12D71860}"/>
                </a:ext>
              </a:extLst>
            </xdr:cNvPr>
            <xdr:cNvSpPr/>
          </xdr:nvSpPr>
          <xdr:spPr>
            <a:xfrm>
              <a:off x="248091" y="152398"/>
              <a:ext cx="5291471" cy="786809"/>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 name="Rectangle: Rounded Corners 5">
              <a:extLst>
                <a:ext uri="{FF2B5EF4-FFF2-40B4-BE49-F238E27FC236}">
                  <a16:creationId xmlns:a16="http://schemas.microsoft.com/office/drawing/2014/main" id="{D8D42129-7011-37A1-1385-64DA0A712240}"/>
                </a:ext>
              </a:extLst>
            </xdr:cNvPr>
            <xdr:cNvSpPr/>
          </xdr:nvSpPr>
          <xdr:spPr>
            <a:xfrm>
              <a:off x="5720316" y="152399"/>
              <a:ext cx="6159797" cy="786809"/>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ectangle: Rounded Corners 6">
              <a:extLst>
                <a:ext uri="{FF2B5EF4-FFF2-40B4-BE49-F238E27FC236}">
                  <a16:creationId xmlns:a16="http://schemas.microsoft.com/office/drawing/2014/main" id="{1B12A0E8-7700-3689-F0AE-5CFCAA60C227}"/>
                </a:ext>
              </a:extLst>
            </xdr:cNvPr>
            <xdr:cNvSpPr/>
          </xdr:nvSpPr>
          <xdr:spPr>
            <a:xfrm>
              <a:off x="1836016" y="1962142"/>
              <a:ext cx="3200400" cy="251992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 name="Rectangle: Rounded Corners 8">
              <a:extLst>
                <a:ext uri="{FF2B5EF4-FFF2-40B4-BE49-F238E27FC236}">
                  <a16:creationId xmlns:a16="http://schemas.microsoft.com/office/drawing/2014/main" id="{30EA44F0-DB8E-C0D8-2F95-77A2803F0B94}"/>
                </a:ext>
              </a:extLst>
            </xdr:cNvPr>
            <xdr:cNvSpPr/>
          </xdr:nvSpPr>
          <xdr:spPr>
            <a:xfrm>
              <a:off x="226829" y="1102238"/>
              <a:ext cx="1102242" cy="1212113"/>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ectangle: Rounded Corners 9">
              <a:extLst>
                <a:ext uri="{FF2B5EF4-FFF2-40B4-BE49-F238E27FC236}">
                  <a16:creationId xmlns:a16="http://schemas.microsoft.com/office/drawing/2014/main" id="{2897D36A-E34A-498C-06E7-ECBFC2048F95}"/>
                </a:ext>
              </a:extLst>
            </xdr:cNvPr>
            <xdr:cNvSpPr/>
          </xdr:nvSpPr>
          <xdr:spPr>
            <a:xfrm>
              <a:off x="248091" y="2401579"/>
              <a:ext cx="1438882" cy="3286839"/>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ectangle: Rounded Corners 10">
              <a:extLst>
                <a:ext uri="{FF2B5EF4-FFF2-40B4-BE49-F238E27FC236}">
                  <a16:creationId xmlns:a16="http://schemas.microsoft.com/office/drawing/2014/main" id="{DD4C7C40-A0C7-1C56-475B-68A76FA8966F}"/>
                </a:ext>
              </a:extLst>
            </xdr:cNvPr>
            <xdr:cNvSpPr/>
          </xdr:nvSpPr>
          <xdr:spPr>
            <a:xfrm>
              <a:off x="5202637" y="1977382"/>
              <a:ext cx="3367202" cy="250064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ectangle: Rounded Corners 11">
              <a:extLst>
                <a:ext uri="{FF2B5EF4-FFF2-40B4-BE49-F238E27FC236}">
                  <a16:creationId xmlns:a16="http://schemas.microsoft.com/office/drawing/2014/main" id="{7F2B7613-D478-40E7-0419-706FA9E924EB}"/>
                </a:ext>
              </a:extLst>
            </xdr:cNvPr>
            <xdr:cNvSpPr/>
          </xdr:nvSpPr>
          <xdr:spPr>
            <a:xfrm>
              <a:off x="6248394" y="1102237"/>
              <a:ext cx="2293088" cy="786809"/>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ectangle: Rounded Corners 12">
              <a:extLst>
                <a:ext uri="{FF2B5EF4-FFF2-40B4-BE49-F238E27FC236}">
                  <a16:creationId xmlns:a16="http://schemas.microsoft.com/office/drawing/2014/main" id="{CE9342B0-DA59-3493-04F0-CFC1D020E44F}"/>
                </a:ext>
              </a:extLst>
            </xdr:cNvPr>
            <xdr:cNvSpPr/>
          </xdr:nvSpPr>
          <xdr:spPr>
            <a:xfrm>
              <a:off x="1449572" y="1088065"/>
              <a:ext cx="2293088" cy="786809"/>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ectangle: Rounded Corners 13">
              <a:extLst>
                <a:ext uri="{FF2B5EF4-FFF2-40B4-BE49-F238E27FC236}">
                  <a16:creationId xmlns:a16="http://schemas.microsoft.com/office/drawing/2014/main" id="{1D86E01A-F533-7806-F97B-451C23858344}"/>
                </a:ext>
              </a:extLst>
            </xdr:cNvPr>
            <xdr:cNvSpPr/>
          </xdr:nvSpPr>
          <xdr:spPr>
            <a:xfrm>
              <a:off x="3848983" y="1102237"/>
              <a:ext cx="2293088" cy="786809"/>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 name="Rectangle: Rounded Corners 15">
              <a:extLst>
                <a:ext uri="{FF2B5EF4-FFF2-40B4-BE49-F238E27FC236}">
                  <a16:creationId xmlns:a16="http://schemas.microsoft.com/office/drawing/2014/main" id="{C3BD2E5B-9AAB-C109-FA72-7EE4C59E719C}"/>
                </a:ext>
              </a:extLst>
            </xdr:cNvPr>
            <xdr:cNvSpPr/>
          </xdr:nvSpPr>
          <xdr:spPr>
            <a:xfrm>
              <a:off x="1803885" y="4582783"/>
              <a:ext cx="6562533" cy="208752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 name="Flowchart: Terminator 16">
              <a:extLst>
                <a:ext uri="{FF2B5EF4-FFF2-40B4-BE49-F238E27FC236}">
                  <a16:creationId xmlns:a16="http://schemas.microsoft.com/office/drawing/2014/main" id="{116870E7-9015-9713-BD58-99170F65C252}"/>
                </a:ext>
              </a:extLst>
            </xdr:cNvPr>
            <xdr:cNvSpPr/>
          </xdr:nvSpPr>
          <xdr:spPr>
            <a:xfrm>
              <a:off x="248091" y="5851449"/>
              <a:ext cx="1380426" cy="854152"/>
            </a:xfrm>
            <a:prstGeom prst="flowChartTerminator">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nvGrpSpPr>
            <xdr:cNvPr id="18" name="Group 17">
              <a:extLst>
                <a:ext uri="{FF2B5EF4-FFF2-40B4-BE49-F238E27FC236}">
                  <a16:creationId xmlns:a16="http://schemas.microsoft.com/office/drawing/2014/main" id="{C030CF88-CD04-11B0-3A33-60BA72C6DEAD}"/>
                </a:ext>
              </a:extLst>
            </xdr:cNvPr>
            <xdr:cNvGrpSpPr/>
          </xdr:nvGrpSpPr>
          <xdr:grpSpPr>
            <a:xfrm>
              <a:off x="8575686" y="1088065"/>
              <a:ext cx="1637421" cy="2030818"/>
              <a:chOff x="8575686" y="1088065"/>
              <a:chExt cx="1637421" cy="2030818"/>
            </a:xfrm>
            <a:grpFill/>
          </xdr:grpSpPr>
          <xdr:grpSp>
            <xdr:nvGrpSpPr>
              <xdr:cNvPr id="25" name="Group 24">
                <a:extLst>
                  <a:ext uri="{FF2B5EF4-FFF2-40B4-BE49-F238E27FC236}">
                    <a16:creationId xmlns:a16="http://schemas.microsoft.com/office/drawing/2014/main" id="{B4835E6E-4A53-ABD9-AD7C-813165313AE5}"/>
                  </a:ext>
                </a:extLst>
              </xdr:cNvPr>
              <xdr:cNvGrpSpPr/>
            </xdr:nvGrpSpPr>
            <xdr:grpSpPr>
              <a:xfrm>
                <a:off x="8575686" y="1088065"/>
                <a:ext cx="1637421" cy="453656"/>
                <a:chOff x="8575686" y="1088065"/>
                <a:chExt cx="1637421" cy="453656"/>
              </a:xfrm>
              <a:grpFill/>
            </xdr:grpSpPr>
            <xdr:sp macro="" textlink="">
              <xdr:nvSpPr>
                <xdr:cNvPr id="27" name="Trapezoid 26">
                  <a:extLst>
                    <a:ext uri="{FF2B5EF4-FFF2-40B4-BE49-F238E27FC236}">
                      <a16:creationId xmlns:a16="http://schemas.microsoft.com/office/drawing/2014/main" id="{F331240A-FDFE-0EA9-C9C3-0EC217142A49}"/>
                    </a:ext>
                  </a:extLst>
                </xdr:cNvPr>
                <xdr:cNvSpPr/>
              </xdr:nvSpPr>
              <xdr:spPr>
                <a:xfrm>
                  <a:off x="8575686" y="1088065"/>
                  <a:ext cx="538721" cy="453656"/>
                </a:xfrm>
                <a:prstGeom prst="trapezoid">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8" name="Trapezoid 27">
                  <a:extLst>
                    <a:ext uri="{FF2B5EF4-FFF2-40B4-BE49-F238E27FC236}">
                      <a16:creationId xmlns:a16="http://schemas.microsoft.com/office/drawing/2014/main" id="{FE20265D-E7CE-CC4E-A684-885ECD8BD8FF}"/>
                    </a:ext>
                  </a:extLst>
                </xdr:cNvPr>
                <xdr:cNvSpPr/>
              </xdr:nvSpPr>
              <xdr:spPr>
                <a:xfrm>
                  <a:off x="9674386" y="1088065"/>
                  <a:ext cx="538721" cy="453656"/>
                </a:xfrm>
                <a:prstGeom prst="trapezoid">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26" name="Flowchart: Off-page Connector 25">
                <a:extLst>
                  <a:ext uri="{FF2B5EF4-FFF2-40B4-BE49-F238E27FC236}">
                    <a16:creationId xmlns:a16="http://schemas.microsoft.com/office/drawing/2014/main" id="{C9AB4D79-98B6-F670-6612-C411243DACC5}"/>
                  </a:ext>
                </a:extLst>
              </xdr:cNvPr>
              <xdr:cNvSpPr/>
            </xdr:nvSpPr>
            <xdr:spPr>
              <a:xfrm>
                <a:off x="8807303" y="1088065"/>
                <a:ext cx="1208567" cy="2030818"/>
              </a:xfrm>
              <a:prstGeom prst="flowChartOffpageConnector">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grpSp>
          <xdr:nvGrpSpPr>
            <xdr:cNvPr id="19" name="Group 18">
              <a:extLst>
                <a:ext uri="{FF2B5EF4-FFF2-40B4-BE49-F238E27FC236}">
                  <a16:creationId xmlns:a16="http://schemas.microsoft.com/office/drawing/2014/main" id="{4E77BC05-208A-5ECE-F180-175EA07AEDA1}"/>
                </a:ext>
              </a:extLst>
            </xdr:cNvPr>
            <xdr:cNvGrpSpPr/>
          </xdr:nvGrpSpPr>
          <xdr:grpSpPr>
            <a:xfrm>
              <a:off x="10327750" y="1088065"/>
              <a:ext cx="1637421" cy="2030818"/>
              <a:chOff x="8615912" y="1088065"/>
              <a:chExt cx="1637421" cy="2030818"/>
            </a:xfrm>
            <a:grpFill/>
          </xdr:grpSpPr>
          <xdr:grpSp>
            <xdr:nvGrpSpPr>
              <xdr:cNvPr id="21" name="Group 20">
                <a:extLst>
                  <a:ext uri="{FF2B5EF4-FFF2-40B4-BE49-F238E27FC236}">
                    <a16:creationId xmlns:a16="http://schemas.microsoft.com/office/drawing/2014/main" id="{F48ABFBB-EF20-3257-350F-040B5082CDDA}"/>
                  </a:ext>
                </a:extLst>
              </xdr:cNvPr>
              <xdr:cNvGrpSpPr/>
            </xdr:nvGrpSpPr>
            <xdr:grpSpPr>
              <a:xfrm>
                <a:off x="8615912" y="1088065"/>
                <a:ext cx="1637421" cy="453656"/>
                <a:chOff x="8615912" y="1088065"/>
                <a:chExt cx="1637421" cy="453656"/>
              </a:xfrm>
              <a:grpFill/>
            </xdr:grpSpPr>
            <xdr:sp macro="" textlink="">
              <xdr:nvSpPr>
                <xdr:cNvPr id="23" name="Trapezoid 22">
                  <a:extLst>
                    <a:ext uri="{FF2B5EF4-FFF2-40B4-BE49-F238E27FC236}">
                      <a16:creationId xmlns:a16="http://schemas.microsoft.com/office/drawing/2014/main" id="{4EEE0F8D-B220-694A-9A30-7C01A0B3BF7B}"/>
                    </a:ext>
                  </a:extLst>
                </xdr:cNvPr>
                <xdr:cNvSpPr/>
              </xdr:nvSpPr>
              <xdr:spPr>
                <a:xfrm>
                  <a:off x="8615912" y="1088065"/>
                  <a:ext cx="538721" cy="453656"/>
                </a:xfrm>
                <a:prstGeom prst="trapezoid">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4" name="Trapezoid 23">
                  <a:extLst>
                    <a:ext uri="{FF2B5EF4-FFF2-40B4-BE49-F238E27FC236}">
                      <a16:creationId xmlns:a16="http://schemas.microsoft.com/office/drawing/2014/main" id="{18A5D3DB-6561-77CF-20A1-DA48C19979A7}"/>
                    </a:ext>
                  </a:extLst>
                </xdr:cNvPr>
                <xdr:cNvSpPr/>
              </xdr:nvSpPr>
              <xdr:spPr>
                <a:xfrm>
                  <a:off x="9714612" y="1088065"/>
                  <a:ext cx="538721" cy="453656"/>
                </a:xfrm>
                <a:prstGeom prst="trapezoid">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22" name="Flowchart: Off-page Connector 21">
                <a:extLst>
                  <a:ext uri="{FF2B5EF4-FFF2-40B4-BE49-F238E27FC236}">
                    <a16:creationId xmlns:a16="http://schemas.microsoft.com/office/drawing/2014/main" id="{D33A14AC-43A2-D145-98BD-AEE4D9D7E3A1}"/>
                  </a:ext>
                </a:extLst>
              </xdr:cNvPr>
              <xdr:cNvSpPr/>
            </xdr:nvSpPr>
            <xdr:spPr>
              <a:xfrm>
                <a:off x="8807303" y="1088065"/>
                <a:ext cx="1208567" cy="2030818"/>
              </a:xfrm>
              <a:prstGeom prst="flowChartOffpageConnector">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20" name="Rectangle: Rounded Corners 19">
              <a:extLst>
                <a:ext uri="{FF2B5EF4-FFF2-40B4-BE49-F238E27FC236}">
                  <a16:creationId xmlns:a16="http://schemas.microsoft.com/office/drawing/2014/main" id="{B3728D1E-8A2D-8ABB-9BE8-66DA5B154B6A}"/>
                </a:ext>
              </a:extLst>
            </xdr:cNvPr>
            <xdr:cNvSpPr/>
          </xdr:nvSpPr>
          <xdr:spPr>
            <a:xfrm>
              <a:off x="8630936" y="3198625"/>
              <a:ext cx="3175603" cy="3503427"/>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2</xdr:col>
      <xdr:colOff>566770</xdr:colOff>
      <xdr:row>25</xdr:row>
      <xdr:rowOff>52916</xdr:rowOff>
    </xdr:from>
    <xdr:to>
      <xdr:col>13</xdr:col>
      <xdr:colOff>381000</xdr:colOff>
      <xdr:row>36</xdr:row>
      <xdr:rowOff>178298</xdr:rowOff>
    </xdr:to>
    <xdr:graphicFrame macro="">
      <xdr:nvGraphicFramePr>
        <xdr:cNvPr id="34" name="Chart 33">
          <a:extLst>
            <a:ext uri="{FF2B5EF4-FFF2-40B4-BE49-F238E27FC236}">
              <a16:creationId xmlns:a16="http://schemas.microsoft.com/office/drawing/2014/main" id="{0AA67BE9-83C1-4C85-97A8-9504AA900E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86093</xdr:colOff>
      <xdr:row>11</xdr:row>
      <xdr:rowOff>81961</xdr:rowOff>
    </xdr:from>
    <xdr:to>
      <xdr:col>8</xdr:col>
      <xdr:colOff>50459</xdr:colOff>
      <xdr:row>25</xdr:row>
      <xdr:rowOff>13052</xdr:rowOff>
    </xdr:to>
    <xdr:graphicFrame macro="">
      <xdr:nvGraphicFramePr>
        <xdr:cNvPr id="35" name="Chart 34">
          <a:extLst>
            <a:ext uri="{FF2B5EF4-FFF2-40B4-BE49-F238E27FC236}">
              <a16:creationId xmlns:a16="http://schemas.microsoft.com/office/drawing/2014/main" id="{CF5BFB7B-B7BC-4FCA-8D1C-C35B76334F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192730</xdr:colOff>
      <xdr:row>18</xdr:row>
      <xdr:rowOff>147377</xdr:rowOff>
    </xdr:from>
    <xdr:to>
      <xdr:col>19</xdr:col>
      <xdr:colOff>134133</xdr:colOff>
      <xdr:row>35</xdr:row>
      <xdr:rowOff>163105</xdr:rowOff>
    </xdr:to>
    <xdr:graphicFrame macro="">
      <xdr:nvGraphicFramePr>
        <xdr:cNvPr id="36" name="Chart 35">
          <a:extLst>
            <a:ext uri="{FF2B5EF4-FFF2-40B4-BE49-F238E27FC236}">
              <a16:creationId xmlns:a16="http://schemas.microsoft.com/office/drawing/2014/main" id="{E7420A18-563C-4180-9016-296BA138F2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375595</xdr:colOff>
      <xdr:row>1</xdr:row>
      <xdr:rowOff>117469</xdr:rowOff>
    </xdr:from>
    <xdr:to>
      <xdr:col>19</xdr:col>
      <xdr:colOff>56165</xdr:colOff>
      <xdr:row>5</xdr:row>
      <xdr:rowOff>24756</xdr:rowOff>
    </xdr:to>
    <mc:AlternateContent xmlns:mc="http://schemas.openxmlformats.org/markup-compatibility/2006" xmlns:a14="http://schemas.microsoft.com/office/drawing/2010/main">
      <mc:Choice Requires="a14">
        <xdr:graphicFrame macro="">
          <xdr:nvGraphicFramePr>
            <xdr:cNvPr id="37" name="Payment Mode 1">
              <a:extLst>
                <a:ext uri="{FF2B5EF4-FFF2-40B4-BE49-F238E27FC236}">
                  <a16:creationId xmlns:a16="http://schemas.microsoft.com/office/drawing/2014/main" id="{CF72CF56-4292-4F15-8703-C7C40645F858}"/>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5845666" y="298898"/>
              <a:ext cx="5758428" cy="633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568157</xdr:colOff>
      <xdr:row>11</xdr:row>
      <xdr:rowOff>84667</xdr:rowOff>
    </xdr:from>
    <xdr:to>
      <xdr:col>13</xdr:col>
      <xdr:colOff>429872</xdr:colOff>
      <xdr:row>25</xdr:row>
      <xdr:rowOff>108875</xdr:rowOff>
    </xdr:to>
    <xdr:graphicFrame macro="">
      <xdr:nvGraphicFramePr>
        <xdr:cNvPr id="38" name="Chart 37">
          <a:extLst>
            <a:ext uri="{FF2B5EF4-FFF2-40B4-BE49-F238E27FC236}">
              <a16:creationId xmlns:a16="http://schemas.microsoft.com/office/drawing/2014/main" id="{612A5E48-0980-41D7-A4DD-F0893991D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88222</xdr:colOff>
      <xdr:row>0</xdr:row>
      <xdr:rowOff>158750</xdr:rowOff>
    </xdr:from>
    <xdr:to>
      <xdr:col>8</xdr:col>
      <xdr:colOff>10584</xdr:colOff>
      <xdr:row>4</xdr:row>
      <xdr:rowOff>174840</xdr:rowOff>
    </xdr:to>
    <xdr:sp macro="" textlink="">
      <xdr:nvSpPr>
        <xdr:cNvPr id="39" name="TextBox 38">
          <a:extLst>
            <a:ext uri="{FF2B5EF4-FFF2-40B4-BE49-F238E27FC236}">
              <a16:creationId xmlns:a16="http://schemas.microsoft.com/office/drawing/2014/main" id="{9BADEC97-C0E6-4D99-92CF-13F0D6DCB5B2}"/>
            </a:ext>
          </a:extLst>
        </xdr:cNvPr>
        <xdr:cNvSpPr txBox="1"/>
      </xdr:nvSpPr>
      <xdr:spPr>
        <a:xfrm>
          <a:off x="702055" y="158750"/>
          <a:ext cx="4219196" cy="735757"/>
        </a:xfrm>
        <a:prstGeom prst="rect">
          <a:avLst/>
        </a:prstGeom>
        <a:noFill/>
        <a:ln>
          <a:noFill/>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t"/>
        <a:lstStyle/>
        <a:p>
          <a:r>
            <a:rPr lang="en-US" sz="4400" b="1"/>
            <a:t>Sales Dashboard</a:t>
          </a:r>
        </a:p>
      </xdr:txBody>
    </xdr:sp>
    <xdr:clientData/>
  </xdr:twoCellAnchor>
  <xdr:twoCellAnchor>
    <xdr:from>
      <xdr:col>2</xdr:col>
      <xdr:colOff>338666</xdr:colOff>
      <xdr:row>6</xdr:row>
      <xdr:rowOff>63494</xdr:rowOff>
    </xdr:from>
    <xdr:to>
      <xdr:col>4</xdr:col>
      <xdr:colOff>489930</xdr:colOff>
      <xdr:row>8</xdr:row>
      <xdr:rowOff>169332</xdr:rowOff>
    </xdr:to>
    <xdr:sp macro="" textlink="">
      <xdr:nvSpPr>
        <xdr:cNvPr id="40" name="TextBox 39">
          <a:extLst>
            <a:ext uri="{FF2B5EF4-FFF2-40B4-BE49-F238E27FC236}">
              <a16:creationId xmlns:a16="http://schemas.microsoft.com/office/drawing/2014/main" id="{F62E19C9-7F0A-480D-9D34-C030FCF794DE}"/>
            </a:ext>
          </a:extLst>
        </xdr:cNvPr>
        <xdr:cNvSpPr txBox="1"/>
      </xdr:nvSpPr>
      <xdr:spPr>
        <a:xfrm>
          <a:off x="1566333" y="1142994"/>
          <a:ext cx="1378930" cy="465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1"/>
              </a:solidFill>
              <a:latin typeface="+mn-lt"/>
              <a:ea typeface="+mn-ea"/>
              <a:cs typeface="+mn-cs"/>
            </a:rPr>
            <a:t>Total</a:t>
          </a:r>
          <a:r>
            <a:rPr lang="en-US" sz="1600">
              <a:solidFill>
                <a:schemeClr val="bg1"/>
              </a:solidFill>
            </a:rPr>
            <a:t> </a:t>
          </a:r>
          <a:r>
            <a:rPr lang="en-US" sz="1800" b="1">
              <a:solidFill>
                <a:schemeClr val="bg1"/>
              </a:solidFill>
              <a:latin typeface="+mn-lt"/>
              <a:ea typeface="+mn-ea"/>
              <a:cs typeface="+mn-cs"/>
            </a:rPr>
            <a:t>Sales</a:t>
          </a:r>
        </a:p>
      </xdr:txBody>
    </xdr:sp>
    <xdr:clientData/>
  </xdr:twoCellAnchor>
  <xdr:twoCellAnchor>
    <xdr:from>
      <xdr:col>2</xdr:col>
      <xdr:colOff>285749</xdr:colOff>
      <xdr:row>8</xdr:row>
      <xdr:rowOff>27449</xdr:rowOff>
    </xdr:from>
    <xdr:to>
      <xdr:col>4</xdr:col>
      <xdr:colOff>141485</xdr:colOff>
      <xdr:row>10</xdr:row>
      <xdr:rowOff>116417</xdr:rowOff>
    </xdr:to>
    <xdr:sp macro="" textlink="Analysis!$E$7">
      <xdr:nvSpPr>
        <xdr:cNvPr id="41" name="TextBox 40">
          <a:extLst>
            <a:ext uri="{FF2B5EF4-FFF2-40B4-BE49-F238E27FC236}">
              <a16:creationId xmlns:a16="http://schemas.microsoft.com/office/drawing/2014/main" id="{7D825450-1B70-45EE-9C4A-8257DDD14FD6}"/>
            </a:ext>
          </a:extLst>
        </xdr:cNvPr>
        <xdr:cNvSpPr txBox="1"/>
      </xdr:nvSpPr>
      <xdr:spPr>
        <a:xfrm>
          <a:off x="1513416" y="1466782"/>
          <a:ext cx="1083402" cy="448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67614C0-DD0A-4B7D-A207-4FE42ACBB418}" type="TxLink">
            <a:rPr lang="en-US" sz="1600" b="1" i="0" u="none" strike="noStrike">
              <a:solidFill>
                <a:schemeClr val="bg1"/>
              </a:solidFill>
              <a:latin typeface="+mn-lt"/>
              <a:ea typeface="+mn-ea"/>
              <a:cs typeface="+mn-cs"/>
            </a:rPr>
            <a:pPr marL="0" indent="0" algn="ctr"/>
            <a:t>173622</a:t>
          </a:fld>
          <a:endParaRPr lang="en-US" sz="1600" b="1">
            <a:solidFill>
              <a:schemeClr val="bg1"/>
            </a:solidFill>
            <a:latin typeface="+mn-lt"/>
            <a:ea typeface="+mn-ea"/>
            <a:cs typeface="+mn-cs"/>
          </a:endParaRPr>
        </a:p>
      </xdr:txBody>
    </xdr:sp>
    <xdr:clientData/>
  </xdr:twoCellAnchor>
  <xdr:twoCellAnchor>
    <xdr:from>
      <xdr:col>10</xdr:col>
      <xdr:colOff>306917</xdr:colOff>
      <xdr:row>6</xdr:row>
      <xdr:rowOff>84843</xdr:rowOff>
    </xdr:from>
    <xdr:to>
      <xdr:col>11</xdr:col>
      <xdr:colOff>566661</xdr:colOff>
      <xdr:row>8</xdr:row>
      <xdr:rowOff>179916</xdr:rowOff>
    </xdr:to>
    <xdr:sp macro="" textlink="">
      <xdr:nvSpPr>
        <xdr:cNvPr id="42" name="TextBox 41">
          <a:extLst>
            <a:ext uri="{FF2B5EF4-FFF2-40B4-BE49-F238E27FC236}">
              <a16:creationId xmlns:a16="http://schemas.microsoft.com/office/drawing/2014/main" id="{ED955BA5-ABE1-434C-AA4C-41E394810FB4}"/>
            </a:ext>
          </a:extLst>
        </xdr:cNvPr>
        <xdr:cNvSpPr txBox="1"/>
      </xdr:nvSpPr>
      <xdr:spPr>
        <a:xfrm>
          <a:off x="6445250" y="1164343"/>
          <a:ext cx="873578" cy="454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1">
              <a:solidFill>
                <a:schemeClr val="bg1"/>
              </a:solidFill>
              <a:latin typeface="+mn-lt"/>
              <a:ea typeface="+mn-ea"/>
              <a:cs typeface="+mn-cs"/>
            </a:rPr>
            <a:t>Profit</a:t>
          </a:r>
          <a:r>
            <a:rPr lang="en-US" sz="1600" b="1">
              <a:solidFill>
                <a:schemeClr val="bg1"/>
              </a:solidFill>
              <a:latin typeface="+mn-lt"/>
              <a:ea typeface="+mn-ea"/>
              <a:cs typeface="+mn-cs"/>
            </a:rPr>
            <a:t>%</a:t>
          </a:r>
        </a:p>
        <a:p>
          <a:pPr marL="0" indent="0" algn="ctr"/>
          <a:endParaRPr lang="en-US" sz="1600" b="1">
            <a:solidFill>
              <a:schemeClr val="bg1"/>
            </a:solidFill>
            <a:latin typeface="+mn-lt"/>
            <a:ea typeface="+mn-ea"/>
            <a:cs typeface="+mn-cs"/>
          </a:endParaRPr>
        </a:p>
      </xdr:txBody>
    </xdr:sp>
    <xdr:clientData/>
  </xdr:twoCellAnchor>
  <xdr:twoCellAnchor>
    <xdr:from>
      <xdr:col>10</xdr:col>
      <xdr:colOff>201085</xdr:colOff>
      <xdr:row>8</xdr:row>
      <xdr:rowOff>74708</xdr:rowOff>
    </xdr:from>
    <xdr:to>
      <xdr:col>11</xdr:col>
      <xdr:colOff>442641</xdr:colOff>
      <xdr:row>10</xdr:row>
      <xdr:rowOff>95250</xdr:rowOff>
    </xdr:to>
    <xdr:sp macro="" textlink="Analysis!$H$7">
      <xdr:nvSpPr>
        <xdr:cNvPr id="43" name="TextBox 42">
          <a:extLst>
            <a:ext uri="{FF2B5EF4-FFF2-40B4-BE49-F238E27FC236}">
              <a16:creationId xmlns:a16="http://schemas.microsoft.com/office/drawing/2014/main" id="{C920FFB4-877F-4B03-B776-536A0CCF0427}"/>
            </a:ext>
          </a:extLst>
        </xdr:cNvPr>
        <xdr:cNvSpPr txBox="1"/>
      </xdr:nvSpPr>
      <xdr:spPr>
        <a:xfrm>
          <a:off x="6339418" y="1514041"/>
          <a:ext cx="855390" cy="380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D0CB18C-3642-4CB9-900D-3EB8E227FA2E}" type="TxLink">
            <a:rPr lang="en-US" sz="1600" b="1" i="0" u="none" strike="noStrike">
              <a:solidFill>
                <a:schemeClr val="bg1"/>
              </a:solidFill>
              <a:latin typeface="+mn-lt"/>
              <a:ea typeface="+mn-ea"/>
              <a:cs typeface="+mn-cs"/>
            </a:rPr>
            <a:pPr marL="0" indent="0" algn="ctr"/>
            <a:t>11%</a:t>
          </a:fld>
          <a:endParaRPr lang="en-US" sz="1600" b="1">
            <a:solidFill>
              <a:schemeClr val="bg1"/>
            </a:solidFill>
            <a:latin typeface="+mn-lt"/>
            <a:ea typeface="+mn-ea"/>
            <a:cs typeface="+mn-cs"/>
          </a:endParaRPr>
        </a:p>
      </xdr:txBody>
    </xdr:sp>
    <xdr:clientData/>
  </xdr:twoCellAnchor>
  <xdr:twoCellAnchor>
    <xdr:from>
      <xdr:col>6</xdr:col>
      <xdr:colOff>95249</xdr:colOff>
      <xdr:row>6</xdr:row>
      <xdr:rowOff>10584</xdr:rowOff>
    </xdr:from>
    <xdr:to>
      <xdr:col>7</xdr:col>
      <xdr:colOff>591715</xdr:colOff>
      <xdr:row>8</xdr:row>
      <xdr:rowOff>137870</xdr:rowOff>
    </xdr:to>
    <xdr:sp macro="" textlink="">
      <xdr:nvSpPr>
        <xdr:cNvPr id="44" name="TextBox 43">
          <a:extLst>
            <a:ext uri="{FF2B5EF4-FFF2-40B4-BE49-F238E27FC236}">
              <a16:creationId xmlns:a16="http://schemas.microsoft.com/office/drawing/2014/main" id="{D8F38C56-A755-43C9-AFAE-F4C987FFA9FD}"/>
            </a:ext>
          </a:extLst>
        </xdr:cNvPr>
        <xdr:cNvSpPr txBox="1"/>
      </xdr:nvSpPr>
      <xdr:spPr>
        <a:xfrm>
          <a:off x="3778249" y="1090084"/>
          <a:ext cx="1110299" cy="487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1">
              <a:solidFill>
                <a:schemeClr val="bg1"/>
              </a:solidFill>
              <a:latin typeface="+mn-lt"/>
              <a:ea typeface="+mn-ea"/>
              <a:cs typeface="+mn-cs"/>
            </a:rPr>
            <a:t>Profit</a:t>
          </a:r>
        </a:p>
        <a:p>
          <a:pPr marL="0" indent="0" algn="ctr"/>
          <a:endParaRPr lang="en-US" sz="1600" b="1">
            <a:solidFill>
              <a:schemeClr val="bg1"/>
            </a:solidFill>
            <a:latin typeface="+mn-lt"/>
            <a:ea typeface="+mn-ea"/>
            <a:cs typeface="+mn-cs"/>
          </a:endParaRPr>
        </a:p>
      </xdr:txBody>
    </xdr:sp>
    <xdr:clientData/>
  </xdr:twoCellAnchor>
  <xdr:twoCellAnchor>
    <xdr:from>
      <xdr:col>6</xdr:col>
      <xdr:colOff>126999</xdr:colOff>
      <xdr:row>8</xdr:row>
      <xdr:rowOff>28673</xdr:rowOff>
    </xdr:from>
    <xdr:to>
      <xdr:col>8</xdr:col>
      <xdr:colOff>108631</xdr:colOff>
      <xdr:row>10</xdr:row>
      <xdr:rowOff>84666</xdr:rowOff>
    </xdr:to>
    <xdr:sp macro="" textlink="Analysis!$G$7">
      <xdr:nvSpPr>
        <xdr:cNvPr id="45" name="TextBox 44">
          <a:extLst>
            <a:ext uri="{FF2B5EF4-FFF2-40B4-BE49-F238E27FC236}">
              <a16:creationId xmlns:a16="http://schemas.microsoft.com/office/drawing/2014/main" id="{C08F4D05-F2E2-4326-9A59-486D3C69A44A}"/>
            </a:ext>
          </a:extLst>
        </xdr:cNvPr>
        <xdr:cNvSpPr txBox="1"/>
      </xdr:nvSpPr>
      <xdr:spPr>
        <a:xfrm>
          <a:off x="3809999" y="1468006"/>
          <a:ext cx="1209299" cy="415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E4C837E-9D06-4C01-A0B3-BE4202CADF64}" type="TxLink">
            <a:rPr lang="en-US" sz="1600" b="1" i="0" u="none" strike="noStrike">
              <a:solidFill>
                <a:schemeClr val="bg1"/>
              </a:solidFill>
              <a:latin typeface="+mn-lt"/>
              <a:ea typeface="+mn-ea"/>
              <a:cs typeface="+mn-cs"/>
            </a:rPr>
            <a:pPr marL="0" indent="0" algn="ctr"/>
            <a:t>17362.2</a:t>
          </a:fld>
          <a:endParaRPr lang="en-US" sz="1600" b="1">
            <a:solidFill>
              <a:schemeClr val="bg1"/>
            </a:solidFill>
            <a:latin typeface="+mn-lt"/>
            <a:ea typeface="+mn-ea"/>
            <a:cs typeface="+mn-cs"/>
          </a:endParaRPr>
        </a:p>
      </xdr:txBody>
    </xdr:sp>
    <xdr:clientData/>
  </xdr:twoCellAnchor>
  <xdr:twoCellAnchor>
    <xdr:from>
      <xdr:col>17</xdr:col>
      <xdr:colOff>186113</xdr:colOff>
      <xdr:row>6</xdr:row>
      <xdr:rowOff>106863</xdr:rowOff>
    </xdr:from>
    <xdr:to>
      <xdr:col>19</xdr:col>
      <xdr:colOff>124000</xdr:colOff>
      <xdr:row>10</xdr:row>
      <xdr:rowOff>110430</xdr:rowOff>
    </xdr:to>
    <xdr:sp macro="" textlink="">
      <xdr:nvSpPr>
        <xdr:cNvPr id="46" name="TextBox 45">
          <a:extLst>
            <a:ext uri="{FF2B5EF4-FFF2-40B4-BE49-F238E27FC236}">
              <a16:creationId xmlns:a16="http://schemas.microsoft.com/office/drawing/2014/main" id="{21F1079D-2C89-4FB2-B3AD-A0B86B3047E0}"/>
            </a:ext>
          </a:extLst>
        </xdr:cNvPr>
        <xdr:cNvSpPr txBox="1"/>
      </xdr:nvSpPr>
      <xdr:spPr>
        <a:xfrm>
          <a:off x="10621280" y="1186363"/>
          <a:ext cx="1165553" cy="723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1">
              <a:solidFill>
                <a:schemeClr val="bg1"/>
              </a:solidFill>
              <a:latin typeface="+mn-lt"/>
              <a:ea typeface="+mn-ea"/>
              <a:cs typeface="+mn-cs"/>
            </a:rPr>
            <a:t>Top Product</a:t>
          </a:r>
        </a:p>
        <a:p>
          <a:pPr marL="0" indent="0" algn="ctr"/>
          <a:endParaRPr lang="en-US" sz="1600" b="1">
            <a:solidFill>
              <a:schemeClr val="bg1"/>
            </a:solidFill>
            <a:latin typeface="+mn-lt"/>
            <a:ea typeface="+mn-ea"/>
            <a:cs typeface="+mn-cs"/>
          </a:endParaRPr>
        </a:p>
      </xdr:txBody>
    </xdr:sp>
    <xdr:clientData/>
  </xdr:twoCellAnchor>
  <xdr:twoCellAnchor>
    <xdr:from>
      <xdr:col>17</xdr:col>
      <xdr:colOff>189090</xdr:colOff>
      <xdr:row>10</xdr:row>
      <xdr:rowOff>26671</xdr:rowOff>
    </xdr:from>
    <xdr:to>
      <xdr:col>19</xdr:col>
      <xdr:colOff>126977</xdr:colOff>
      <xdr:row>11</xdr:row>
      <xdr:rowOff>148514</xdr:rowOff>
    </xdr:to>
    <xdr:sp macro="" textlink="Analysis!$H$19">
      <xdr:nvSpPr>
        <xdr:cNvPr id="47" name="TextBox 46">
          <a:extLst>
            <a:ext uri="{FF2B5EF4-FFF2-40B4-BE49-F238E27FC236}">
              <a16:creationId xmlns:a16="http://schemas.microsoft.com/office/drawing/2014/main" id="{469EFFC0-F6A0-4FEC-B28A-6C2E0D1F70D9}"/>
            </a:ext>
          </a:extLst>
        </xdr:cNvPr>
        <xdr:cNvSpPr txBox="1"/>
      </xdr:nvSpPr>
      <xdr:spPr>
        <a:xfrm>
          <a:off x="10624257" y="1825838"/>
          <a:ext cx="1165553" cy="301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6F38763-74FF-4E09-B4BE-15B14EF029EE}" type="TxLink">
            <a:rPr lang="en-US" sz="1600" b="1" i="0" u="none" strike="noStrike">
              <a:solidFill>
                <a:schemeClr val="bg1"/>
              </a:solidFill>
              <a:latin typeface="+mn-lt"/>
              <a:ea typeface="+mn-ea"/>
              <a:cs typeface="+mn-cs"/>
            </a:rPr>
            <a:pPr marL="0" indent="0" algn="ctr"/>
            <a:t>Product15</a:t>
          </a:fld>
          <a:endParaRPr lang="en-US" sz="1600" b="1">
            <a:solidFill>
              <a:schemeClr val="bg1"/>
            </a:solidFill>
            <a:latin typeface="+mn-lt"/>
            <a:ea typeface="+mn-ea"/>
            <a:cs typeface="+mn-cs"/>
          </a:endParaRPr>
        </a:p>
      </xdr:txBody>
    </xdr:sp>
    <xdr:clientData/>
  </xdr:twoCellAnchor>
  <xdr:twoCellAnchor>
    <xdr:from>
      <xdr:col>14</xdr:col>
      <xdr:colOff>231622</xdr:colOff>
      <xdr:row>6</xdr:row>
      <xdr:rowOff>121324</xdr:rowOff>
    </xdr:from>
    <xdr:to>
      <xdr:col>16</xdr:col>
      <xdr:colOff>257312</xdr:colOff>
      <xdr:row>10</xdr:row>
      <xdr:rowOff>124892</xdr:rowOff>
    </xdr:to>
    <xdr:sp macro="" textlink="">
      <xdr:nvSpPr>
        <xdr:cNvPr id="48" name="TextBox 47">
          <a:extLst>
            <a:ext uri="{FF2B5EF4-FFF2-40B4-BE49-F238E27FC236}">
              <a16:creationId xmlns:a16="http://schemas.microsoft.com/office/drawing/2014/main" id="{4DE288FE-C103-43CF-AA89-4D80129F328F}"/>
            </a:ext>
          </a:extLst>
        </xdr:cNvPr>
        <xdr:cNvSpPr txBox="1"/>
      </xdr:nvSpPr>
      <xdr:spPr>
        <a:xfrm>
          <a:off x="8825289" y="1200824"/>
          <a:ext cx="1253356" cy="723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Top Payment</a:t>
          </a:r>
        </a:p>
        <a:p>
          <a:pPr algn="ctr"/>
          <a:endParaRPr lang="en-US" sz="1400" b="1">
            <a:solidFill>
              <a:schemeClr val="bg1"/>
            </a:solidFill>
          </a:endParaRPr>
        </a:p>
      </xdr:txBody>
    </xdr:sp>
    <xdr:clientData/>
  </xdr:twoCellAnchor>
  <xdr:twoCellAnchor>
    <xdr:from>
      <xdr:col>14</xdr:col>
      <xdr:colOff>288146</xdr:colOff>
      <xdr:row>10</xdr:row>
      <xdr:rowOff>16090</xdr:rowOff>
    </xdr:from>
    <xdr:to>
      <xdr:col>16</xdr:col>
      <xdr:colOff>309936</xdr:colOff>
      <xdr:row>12</xdr:row>
      <xdr:rowOff>11611</xdr:rowOff>
    </xdr:to>
    <xdr:sp macro="" textlink="Analysis!$H$17">
      <xdr:nvSpPr>
        <xdr:cNvPr id="49" name="TextBox 48">
          <a:extLst>
            <a:ext uri="{FF2B5EF4-FFF2-40B4-BE49-F238E27FC236}">
              <a16:creationId xmlns:a16="http://schemas.microsoft.com/office/drawing/2014/main" id="{E80826F4-4D6F-4E85-9703-4B0297BBF694}"/>
            </a:ext>
          </a:extLst>
        </xdr:cNvPr>
        <xdr:cNvSpPr txBox="1"/>
      </xdr:nvSpPr>
      <xdr:spPr>
        <a:xfrm>
          <a:off x="8881813" y="1815257"/>
          <a:ext cx="1249456" cy="355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15220A9-E2F5-475F-BFC0-9CE5F3E3F1B4}" type="TxLink">
            <a:rPr lang="en-US" sz="1600" b="1" i="0" u="none" strike="noStrike">
              <a:solidFill>
                <a:schemeClr val="bg1"/>
              </a:solidFill>
              <a:latin typeface="+mn-lt"/>
              <a:ea typeface="+mn-ea"/>
              <a:cs typeface="+mn-cs"/>
            </a:rPr>
            <a:pPr marL="0" indent="0" algn="ctr"/>
            <a:t>Credit Card</a:t>
          </a:fld>
          <a:endParaRPr lang="en-US" sz="1600" b="1">
            <a:solidFill>
              <a:schemeClr val="bg1"/>
            </a:solidFill>
            <a:latin typeface="+mn-lt"/>
            <a:ea typeface="+mn-ea"/>
            <a:cs typeface="+mn-cs"/>
          </a:endParaRPr>
        </a:p>
      </xdr:txBody>
    </xdr:sp>
    <xdr:clientData/>
  </xdr:twoCellAnchor>
  <xdr:twoCellAnchor>
    <xdr:from>
      <xdr:col>14</xdr:col>
      <xdr:colOff>303537</xdr:colOff>
      <xdr:row>11</xdr:row>
      <xdr:rowOff>153961</xdr:rowOff>
    </xdr:from>
    <xdr:to>
      <xdr:col>16</xdr:col>
      <xdr:colOff>325327</xdr:colOff>
      <xdr:row>13</xdr:row>
      <xdr:rowOff>111917</xdr:rowOff>
    </xdr:to>
    <xdr:sp macro="" textlink="Analysis!$I$17">
      <xdr:nvSpPr>
        <xdr:cNvPr id="50" name="TextBox 49">
          <a:extLst>
            <a:ext uri="{FF2B5EF4-FFF2-40B4-BE49-F238E27FC236}">
              <a16:creationId xmlns:a16="http://schemas.microsoft.com/office/drawing/2014/main" id="{66D010B1-7BB3-4102-A6E8-9E78457F10C8}"/>
            </a:ext>
          </a:extLst>
        </xdr:cNvPr>
        <xdr:cNvSpPr txBox="1"/>
      </xdr:nvSpPr>
      <xdr:spPr>
        <a:xfrm>
          <a:off x="8897204" y="2133044"/>
          <a:ext cx="1249456" cy="317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71D5CAF-7028-47D0-ACA1-A758BCC9179A}" type="TxLink">
            <a:rPr lang="en-US" sz="1600" b="1" i="0" u="none" strike="noStrike">
              <a:solidFill>
                <a:schemeClr val="bg1"/>
              </a:solidFill>
              <a:latin typeface="+mn-lt"/>
              <a:ea typeface="+mn-ea"/>
              <a:cs typeface="+mn-cs"/>
            </a:rPr>
            <a:pPr marL="0" indent="0" algn="ctr"/>
            <a:t>53240</a:t>
          </a:fld>
          <a:endParaRPr lang="en-US" sz="1600" b="1">
            <a:solidFill>
              <a:schemeClr val="bg1"/>
            </a:solidFill>
            <a:latin typeface="+mn-lt"/>
            <a:ea typeface="+mn-ea"/>
            <a:cs typeface="+mn-cs"/>
          </a:endParaRPr>
        </a:p>
      </xdr:txBody>
    </xdr:sp>
    <xdr:clientData/>
  </xdr:twoCellAnchor>
  <xdr:twoCellAnchor>
    <xdr:from>
      <xdr:col>17</xdr:col>
      <xdr:colOff>167246</xdr:colOff>
      <xdr:row>11</xdr:row>
      <xdr:rowOff>155027</xdr:rowOff>
    </xdr:from>
    <xdr:to>
      <xdr:col>19</xdr:col>
      <xdr:colOff>105133</xdr:colOff>
      <xdr:row>13</xdr:row>
      <xdr:rowOff>96954</xdr:rowOff>
    </xdr:to>
    <xdr:sp macro="" textlink="Analysis!$I$19">
      <xdr:nvSpPr>
        <xdr:cNvPr id="51" name="TextBox 50">
          <a:extLst>
            <a:ext uri="{FF2B5EF4-FFF2-40B4-BE49-F238E27FC236}">
              <a16:creationId xmlns:a16="http://schemas.microsoft.com/office/drawing/2014/main" id="{47748E04-A8AA-401B-AD3E-1E093DBD1D1B}"/>
            </a:ext>
          </a:extLst>
        </xdr:cNvPr>
        <xdr:cNvSpPr txBox="1"/>
      </xdr:nvSpPr>
      <xdr:spPr>
        <a:xfrm>
          <a:off x="10602413" y="2134110"/>
          <a:ext cx="1165553" cy="301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7019BCC-B44D-4428-A084-E054DEE4EB71}" type="TxLink">
            <a:rPr lang="en-US" sz="1600" b="1" i="0" u="none" strike="noStrike">
              <a:solidFill>
                <a:schemeClr val="bg1"/>
              </a:solidFill>
              <a:latin typeface="+mn-lt"/>
              <a:ea typeface="+mn-ea"/>
              <a:cs typeface="+mn-cs"/>
            </a:rPr>
            <a:pPr marL="0" indent="0" algn="ctr"/>
            <a:t>90000</a:t>
          </a:fld>
          <a:endParaRPr lang="en-US" sz="1600" b="1">
            <a:solidFill>
              <a:schemeClr val="bg1"/>
            </a:solidFill>
            <a:latin typeface="+mn-lt"/>
            <a:ea typeface="+mn-ea"/>
            <a:cs typeface="+mn-cs"/>
          </a:endParaRPr>
        </a:p>
      </xdr:txBody>
    </xdr:sp>
    <xdr:clientData/>
  </xdr:twoCellAnchor>
  <xdr:twoCellAnchor>
    <xdr:from>
      <xdr:col>4</xdr:col>
      <xdr:colOff>453791</xdr:colOff>
      <xdr:row>6</xdr:row>
      <xdr:rowOff>105551</xdr:rowOff>
    </xdr:from>
    <xdr:to>
      <xdr:col>5</xdr:col>
      <xdr:colOff>538906</xdr:colOff>
      <xdr:row>10</xdr:row>
      <xdr:rowOff>100754</xdr:rowOff>
    </xdr:to>
    <xdr:pic>
      <xdr:nvPicPr>
        <xdr:cNvPr id="52" name="Graphic 51" descr="Bar graph with upward trend with solid fill">
          <a:extLst>
            <a:ext uri="{FF2B5EF4-FFF2-40B4-BE49-F238E27FC236}">
              <a16:creationId xmlns:a16="http://schemas.microsoft.com/office/drawing/2014/main" id="{35ABECFF-5A0C-4A0F-8803-D711B664D12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909124" y="1185051"/>
          <a:ext cx="698949" cy="714870"/>
        </a:xfrm>
        <a:prstGeom prst="rect">
          <a:avLst/>
        </a:prstGeom>
      </xdr:spPr>
    </xdr:pic>
    <xdr:clientData/>
  </xdr:twoCellAnchor>
  <xdr:twoCellAnchor>
    <xdr:from>
      <xdr:col>8</xdr:col>
      <xdr:colOff>261715</xdr:colOff>
      <xdr:row>6</xdr:row>
      <xdr:rowOff>167535</xdr:rowOff>
    </xdr:from>
    <xdr:to>
      <xdr:col>9</xdr:col>
      <xdr:colOff>328642</xdr:colOff>
      <xdr:row>10</xdr:row>
      <xdr:rowOff>81513</xdr:rowOff>
    </xdr:to>
    <xdr:pic>
      <xdr:nvPicPr>
        <xdr:cNvPr id="53" name="Graphic 52" descr="Coins with solid fill">
          <a:extLst>
            <a:ext uri="{FF2B5EF4-FFF2-40B4-BE49-F238E27FC236}">
              <a16:creationId xmlns:a16="http://schemas.microsoft.com/office/drawing/2014/main" id="{97382FD5-6C9F-4C9B-A223-051E7367880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172382" y="1247035"/>
          <a:ext cx="680760" cy="633645"/>
        </a:xfrm>
        <a:prstGeom prst="rect">
          <a:avLst/>
        </a:prstGeom>
      </xdr:spPr>
    </xdr:pic>
    <xdr:clientData/>
  </xdr:twoCellAnchor>
  <xdr:twoCellAnchor>
    <xdr:from>
      <xdr:col>0</xdr:col>
      <xdr:colOff>474924</xdr:colOff>
      <xdr:row>32</xdr:row>
      <xdr:rowOff>30950</xdr:rowOff>
    </xdr:from>
    <xdr:to>
      <xdr:col>2</xdr:col>
      <xdr:colOff>166565</xdr:colOff>
      <xdr:row>37</xdr:row>
      <xdr:rowOff>31528</xdr:rowOff>
    </xdr:to>
    <xdr:pic>
      <xdr:nvPicPr>
        <xdr:cNvPr id="54" name="Graphic 53" descr="Shopping cart with solid fill">
          <a:extLst>
            <a:ext uri="{FF2B5EF4-FFF2-40B4-BE49-F238E27FC236}">
              <a16:creationId xmlns:a16="http://schemas.microsoft.com/office/drawing/2014/main" id="{3AEC112E-42F0-48C8-9D6D-8005D431272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74924" y="5913055"/>
          <a:ext cx="911509" cy="919657"/>
        </a:xfrm>
        <a:prstGeom prst="rect">
          <a:avLst/>
        </a:prstGeom>
      </xdr:spPr>
    </xdr:pic>
    <xdr:clientData/>
  </xdr:twoCellAnchor>
  <xdr:twoCellAnchor>
    <xdr:from>
      <xdr:col>17</xdr:col>
      <xdr:colOff>469520</xdr:colOff>
      <xdr:row>13</xdr:row>
      <xdr:rowOff>51262</xdr:rowOff>
    </xdr:from>
    <xdr:to>
      <xdr:col>18</xdr:col>
      <xdr:colOff>488558</xdr:colOff>
      <xdr:row>16</xdr:row>
      <xdr:rowOff>134566</xdr:rowOff>
    </xdr:to>
    <xdr:pic>
      <xdr:nvPicPr>
        <xdr:cNvPr id="55" name="Graphic 54" descr="Trophy with solid fill">
          <a:extLst>
            <a:ext uri="{FF2B5EF4-FFF2-40B4-BE49-F238E27FC236}">
              <a16:creationId xmlns:a16="http://schemas.microsoft.com/office/drawing/2014/main" id="{B3CF2036-8DDA-4C74-85C8-38DD25F881C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904687" y="2390179"/>
          <a:ext cx="632871" cy="623054"/>
        </a:xfrm>
        <a:prstGeom prst="rect">
          <a:avLst/>
        </a:prstGeom>
      </xdr:spPr>
    </xdr:pic>
    <xdr:clientData/>
  </xdr:twoCellAnchor>
  <xdr:twoCellAnchor>
    <xdr:from>
      <xdr:col>12</xdr:col>
      <xdr:colOff>253886</xdr:colOff>
      <xdr:row>6</xdr:row>
      <xdr:rowOff>150846</xdr:rowOff>
    </xdr:from>
    <xdr:to>
      <xdr:col>13</xdr:col>
      <xdr:colOff>339002</xdr:colOff>
      <xdr:row>10</xdr:row>
      <xdr:rowOff>116846</xdr:rowOff>
    </xdr:to>
    <xdr:pic>
      <xdr:nvPicPr>
        <xdr:cNvPr id="56" name="Graphic 55" descr="Piggy Bank with solid fill">
          <a:extLst>
            <a:ext uri="{FF2B5EF4-FFF2-40B4-BE49-F238E27FC236}">
              <a16:creationId xmlns:a16="http://schemas.microsoft.com/office/drawing/2014/main" id="{3EFCB94F-4B82-4664-8411-E54D93D0DE9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7619886" y="1230346"/>
          <a:ext cx="698949" cy="685667"/>
        </a:xfrm>
        <a:prstGeom prst="rect">
          <a:avLst/>
        </a:prstGeom>
      </xdr:spPr>
    </xdr:pic>
    <xdr:clientData/>
  </xdr:twoCellAnchor>
  <xdr:twoCellAnchor>
    <xdr:from>
      <xdr:col>0</xdr:col>
      <xdr:colOff>359276</xdr:colOff>
      <xdr:row>14</xdr:row>
      <xdr:rowOff>51410</xdr:rowOff>
    </xdr:from>
    <xdr:to>
      <xdr:col>2</xdr:col>
      <xdr:colOff>366235</xdr:colOff>
      <xdr:row>30</xdr:row>
      <xdr:rowOff>90726</xdr:rowOff>
    </xdr:to>
    <mc:AlternateContent xmlns:mc="http://schemas.openxmlformats.org/markup-compatibility/2006" xmlns:a14="http://schemas.microsoft.com/office/drawing/2010/main">
      <mc:Choice Requires="a14">
        <xdr:graphicFrame macro="">
          <xdr:nvGraphicFramePr>
            <xdr:cNvPr id="57" name="Month 1">
              <a:extLst>
                <a:ext uri="{FF2B5EF4-FFF2-40B4-BE49-F238E27FC236}">
                  <a16:creationId xmlns:a16="http://schemas.microsoft.com/office/drawing/2014/main" id="{D5CC966B-0F26-4BBC-8021-5F492DA83164}"/>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59276" y="2591410"/>
              <a:ext cx="1222530" cy="29421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321391</xdr:colOff>
      <xdr:row>7</xdr:row>
      <xdr:rowOff>33420</xdr:rowOff>
    </xdr:from>
    <xdr:to>
      <xdr:col>2</xdr:col>
      <xdr:colOff>13032</xdr:colOff>
      <xdr:row>12</xdr:row>
      <xdr:rowOff>33999</xdr:rowOff>
    </xdr:to>
    <xdr:pic>
      <xdr:nvPicPr>
        <xdr:cNvPr id="58" name="Graphic 57" descr="Presentation with bar chart with solid fill">
          <a:extLst>
            <a:ext uri="{FF2B5EF4-FFF2-40B4-BE49-F238E27FC236}">
              <a16:creationId xmlns:a16="http://schemas.microsoft.com/office/drawing/2014/main" id="{54D19A20-DD0F-45B0-A70D-34476E1EE3A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21391" y="1320131"/>
          <a:ext cx="911509" cy="919657"/>
        </a:xfrm>
        <a:prstGeom prst="rect">
          <a:avLst/>
        </a:prstGeom>
      </xdr:spPr>
    </xdr:pic>
    <xdr:clientData/>
  </xdr:twoCellAnchor>
  <xdr:twoCellAnchor>
    <xdr:from>
      <xdr:col>14</xdr:col>
      <xdr:colOff>560916</xdr:colOff>
      <xdr:row>13</xdr:row>
      <xdr:rowOff>84666</xdr:rowOff>
    </xdr:from>
    <xdr:to>
      <xdr:col>16</xdr:col>
      <xdr:colOff>2890</xdr:colOff>
      <xdr:row>17</xdr:row>
      <xdr:rowOff>9749</xdr:rowOff>
    </xdr:to>
    <xdr:pic>
      <xdr:nvPicPr>
        <xdr:cNvPr id="59" name="Graphic 58" descr="Ribbon with solid fill">
          <a:extLst>
            <a:ext uri="{FF2B5EF4-FFF2-40B4-BE49-F238E27FC236}">
              <a16:creationId xmlns:a16="http://schemas.microsoft.com/office/drawing/2014/main" id="{BA0BC230-CF46-49FB-8DD7-53BEA962CE5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154583" y="2423583"/>
          <a:ext cx="669640" cy="64474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a4a85b43aed92f1a/Documents/CaseStudy.xlsx" TargetMode="External"/><Relationship Id="rId1" Type="http://schemas.openxmlformats.org/officeDocument/2006/relationships/externalLinkPath" Target="CaseStud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sheetName val="Price BreakModel"/>
      <sheetName val="Reorder Point "/>
      <sheetName val="ABC analysis"/>
    </sheetNames>
    <sheetDataSet>
      <sheetData sheetId="0">
        <row r="2">
          <cell r="A2">
            <v>1</v>
          </cell>
          <cell r="B2" t="str">
            <v>Product A</v>
          </cell>
          <cell r="C2">
            <v>187.5</v>
          </cell>
          <cell r="D2">
            <v>67500</v>
          </cell>
          <cell r="E2">
            <v>10</v>
          </cell>
          <cell r="F2">
            <v>20</v>
          </cell>
          <cell r="G2">
            <v>0.02</v>
          </cell>
          <cell r="H2">
            <v>2</v>
          </cell>
          <cell r="I2">
            <v>3</v>
          </cell>
          <cell r="J2">
            <v>2.5</v>
          </cell>
        </row>
        <row r="3">
          <cell r="A3">
            <v>2</v>
          </cell>
          <cell r="B3" t="str">
            <v>Product B</v>
          </cell>
          <cell r="C3">
            <v>140</v>
          </cell>
          <cell r="D3">
            <v>50400</v>
          </cell>
          <cell r="E3">
            <v>8</v>
          </cell>
          <cell r="F3">
            <v>25</v>
          </cell>
          <cell r="G3">
            <v>5</v>
          </cell>
          <cell r="H3">
            <v>3</v>
          </cell>
          <cell r="I3">
            <v>16</v>
          </cell>
          <cell r="J3">
            <v>14</v>
          </cell>
        </row>
        <row r="4">
          <cell r="A4">
            <v>3</v>
          </cell>
          <cell r="B4" t="str">
            <v>Product C</v>
          </cell>
          <cell r="C4">
            <v>12.777777777777779</v>
          </cell>
          <cell r="D4">
            <v>4600</v>
          </cell>
          <cell r="E4">
            <v>12</v>
          </cell>
          <cell r="F4">
            <v>100</v>
          </cell>
          <cell r="G4">
            <v>1.2</v>
          </cell>
          <cell r="H4">
            <v>6</v>
          </cell>
          <cell r="I4">
            <v>24</v>
          </cell>
          <cell r="J4">
            <v>22</v>
          </cell>
        </row>
        <row r="5">
          <cell r="A5">
            <v>4</v>
          </cell>
          <cell r="B5" t="str">
            <v>Product D</v>
          </cell>
          <cell r="C5">
            <v>12.5</v>
          </cell>
          <cell r="D5">
            <v>4500</v>
          </cell>
          <cell r="E5">
            <v>15</v>
          </cell>
          <cell r="F5">
            <v>100</v>
          </cell>
          <cell r="G5">
            <v>1.5</v>
          </cell>
          <cell r="H5">
            <v>7</v>
          </cell>
          <cell r="I5">
            <v>30</v>
          </cell>
          <cell r="J5">
            <v>27</v>
          </cell>
        </row>
        <row r="6">
          <cell r="A6">
            <v>5</v>
          </cell>
          <cell r="B6" t="str">
            <v>Product E</v>
          </cell>
          <cell r="C6">
            <v>12.222222222222221</v>
          </cell>
          <cell r="D6">
            <v>4400</v>
          </cell>
          <cell r="E6">
            <v>10</v>
          </cell>
          <cell r="F6">
            <v>100</v>
          </cell>
          <cell r="G6">
            <v>1</v>
          </cell>
          <cell r="H6">
            <v>5</v>
          </cell>
          <cell r="I6">
            <v>20</v>
          </cell>
          <cell r="J6">
            <v>18</v>
          </cell>
        </row>
        <row r="7">
          <cell r="A7">
            <v>6</v>
          </cell>
          <cell r="B7" t="str">
            <v>Product F</v>
          </cell>
          <cell r="C7">
            <v>11.944444444444445</v>
          </cell>
          <cell r="D7">
            <v>4300</v>
          </cell>
          <cell r="E7">
            <v>11</v>
          </cell>
          <cell r="F7">
            <v>100</v>
          </cell>
          <cell r="G7">
            <v>1.1000000000000001</v>
          </cell>
          <cell r="H7">
            <v>6</v>
          </cell>
          <cell r="I7">
            <v>22</v>
          </cell>
          <cell r="J7">
            <v>20</v>
          </cell>
        </row>
        <row r="8">
          <cell r="A8">
            <v>7</v>
          </cell>
          <cell r="B8" t="str">
            <v>Product G</v>
          </cell>
          <cell r="C8">
            <v>11.666666666666666</v>
          </cell>
          <cell r="D8">
            <v>4200</v>
          </cell>
          <cell r="E8">
            <v>9</v>
          </cell>
          <cell r="F8">
            <v>100</v>
          </cell>
          <cell r="G8">
            <v>0.9</v>
          </cell>
          <cell r="H8">
            <v>4</v>
          </cell>
          <cell r="I8">
            <v>18</v>
          </cell>
          <cell r="J8">
            <v>16</v>
          </cell>
        </row>
        <row r="9">
          <cell r="A9">
            <v>8</v>
          </cell>
          <cell r="B9" t="str">
            <v>Product H</v>
          </cell>
          <cell r="C9">
            <v>11.388888888888889</v>
          </cell>
          <cell r="D9">
            <v>4100</v>
          </cell>
          <cell r="E9">
            <v>14</v>
          </cell>
          <cell r="F9">
            <v>100</v>
          </cell>
          <cell r="G9">
            <v>1.4</v>
          </cell>
          <cell r="H9">
            <v>6</v>
          </cell>
          <cell r="I9">
            <v>28</v>
          </cell>
          <cell r="J9">
            <v>25</v>
          </cell>
        </row>
        <row r="10">
          <cell r="A10">
            <v>9</v>
          </cell>
          <cell r="B10" t="str">
            <v>Product I</v>
          </cell>
          <cell r="C10">
            <v>11.111111111111111</v>
          </cell>
          <cell r="D10">
            <v>4000</v>
          </cell>
          <cell r="E10">
            <v>10</v>
          </cell>
          <cell r="F10">
            <v>100</v>
          </cell>
          <cell r="G10">
            <v>1</v>
          </cell>
          <cell r="H10">
            <v>5</v>
          </cell>
          <cell r="I10">
            <v>20</v>
          </cell>
          <cell r="J10">
            <v>18</v>
          </cell>
        </row>
        <row r="11">
          <cell r="A11">
            <v>10</v>
          </cell>
          <cell r="B11" t="str">
            <v>Product J</v>
          </cell>
          <cell r="C11">
            <v>10.833333333333334</v>
          </cell>
          <cell r="D11">
            <v>3900</v>
          </cell>
          <cell r="E11">
            <v>8</v>
          </cell>
          <cell r="F11">
            <v>100</v>
          </cell>
          <cell r="G11">
            <v>0.8</v>
          </cell>
          <cell r="H11">
            <v>4</v>
          </cell>
          <cell r="I11">
            <v>16</v>
          </cell>
          <cell r="J11">
            <v>14</v>
          </cell>
        </row>
        <row r="12">
          <cell r="A12">
            <v>11</v>
          </cell>
          <cell r="B12" t="str">
            <v>Product K</v>
          </cell>
          <cell r="C12">
            <v>10.555555555555555</v>
          </cell>
          <cell r="D12">
            <v>3800</v>
          </cell>
          <cell r="E12">
            <v>13</v>
          </cell>
          <cell r="F12">
            <v>100</v>
          </cell>
          <cell r="G12">
            <v>1.3</v>
          </cell>
          <cell r="H12">
            <v>6</v>
          </cell>
          <cell r="I12">
            <v>26</v>
          </cell>
          <cell r="J12">
            <v>23</v>
          </cell>
        </row>
        <row r="13">
          <cell r="A13">
            <v>12</v>
          </cell>
          <cell r="B13" t="str">
            <v>Product L</v>
          </cell>
          <cell r="C13">
            <v>10.277777777777779</v>
          </cell>
          <cell r="D13">
            <v>3700</v>
          </cell>
          <cell r="E13">
            <v>12</v>
          </cell>
          <cell r="F13">
            <v>100</v>
          </cell>
          <cell r="G13">
            <v>1.2</v>
          </cell>
          <cell r="H13">
            <v>5</v>
          </cell>
          <cell r="I13">
            <v>24</v>
          </cell>
          <cell r="J13">
            <v>22</v>
          </cell>
        </row>
        <row r="14">
          <cell r="A14">
            <v>13</v>
          </cell>
          <cell r="B14" t="str">
            <v>Product M</v>
          </cell>
          <cell r="C14">
            <v>10</v>
          </cell>
          <cell r="D14">
            <v>3600</v>
          </cell>
          <cell r="E14">
            <v>11</v>
          </cell>
          <cell r="F14">
            <v>100</v>
          </cell>
          <cell r="G14">
            <v>1.1000000000000001</v>
          </cell>
          <cell r="H14">
            <v>6</v>
          </cell>
          <cell r="I14">
            <v>22</v>
          </cell>
          <cell r="J14">
            <v>20</v>
          </cell>
        </row>
        <row r="15">
          <cell r="A15">
            <v>14</v>
          </cell>
          <cell r="B15" t="str">
            <v>Product N</v>
          </cell>
          <cell r="C15">
            <v>9.7222222222222214</v>
          </cell>
          <cell r="D15">
            <v>3500</v>
          </cell>
          <cell r="E15">
            <v>15</v>
          </cell>
          <cell r="F15">
            <v>100</v>
          </cell>
          <cell r="G15">
            <v>1.5</v>
          </cell>
          <cell r="H15">
            <v>7</v>
          </cell>
          <cell r="I15">
            <v>30</v>
          </cell>
          <cell r="J15">
            <v>27</v>
          </cell>
        </row>
        <row r="16">
          <cell r="A16">
            <v>15</v>
          </cell>
          <cell r="B16" t="str">
            <v>Product O</v>
          </cell>
          <cell r="C16">
            <v>9.4444444444444446</v>
          </cell>
          <cell r="D16">
            <v>3400</v>
          </cell>
          <cell r="E16">
            <v>9</v>
          </cell>
          <cell r="F16">
            <v>100</v>
          </cell>
          <cell r="G16">
            <v>0.9</v>
          </cell>
          <cell r="H16">
            <v>4</v>
          </cell>
          <cell r="I16">
            <v>18</v>
          </cell>
          <cell r="J16">
            <v>16</v>
          </cell>
        </row>
        <row r="17">
          <cell r="A17">
            <v>16</v>
          </cell>
          <cell r="B17" t="str">
            <v>Product P</v>
          </cell>
          <cell r="C17">
            <v>9.1666666666666661</v>
          </cell>
          <cell r="D17">
            <v>3300</v>
          </cell>
          <cell r="E17">
            <v>14</v>
          </cell>
          <cell r="F17">
            <v>100</v>
          </cell>
          <cell r="G17">
            <v>1.4</v>
          </cell>
          <cell r="H17">
            <v>5</v>
          </cell>
          <cell r="I17">
            <v>28</v>
          </cell>
          <cell r="J17">
            <v>25</v>
          </cell>
        </row>
        <row r="18">
          <cell r="A18">
            <v>17</v>
          </cell>
          <cell r="B18" t="str">
            <v>Product Q</v>
          </cell>
          <cell r="C18">
            <v>8.8888888888888893</v>
          </cell>
          <cell r="D18">
            <v>3200</v>
          </cell>
          <cell r="E18">
            <v>10</v>
          </cell>
          <cell r="F18">
            <v>100</v>
          </cell>
          <cell r="G18">
            <v>1</v>
          </cell>
          <cell r="H18">
            <v>5</v>
          </cell>
          <cell r="I18">
            <v>20</v>
          </cell>
          <cell r="J18">
            <v>18</v>
          </cell>
        </row>
        <row r="19">
          <cell r="A19">
            <v>18</v>
          </cell>
          <cell r="B19" t="str">
            <v>Product R</v>
          </cell>
          <cell r="C19">
            <v>8.6111111111111107</v>
          </cell>
          <cell r="D19">
            <v>3100</v>
          </cell>
          <cell r="E19">
            <v>8</v>
          </cell>
          <cell r="F19">
            <v>100</v>
          </cell>
          <cell r="G19">
            <v>0.8</v>
          </cell>
          <cell r="H19">
            <v>4</v>
          </cell>
          <cell r="I19">
            <v>16</v>
          </cell>
          <cell r="J19">
            <v>14</v>
          </cell>
        </row>
        <row r="20">
          <cell r="A20">
            <v>19</v>
          </cell>
          <cell r="B20" t="str">
            <v>Product S</v>
          </cell>
          <cell r="C20">
            <v>8.3333333333333339</v>
          </cell>
          <cell r="D20">
            <v>3000</v>
          </cell>
          <cell r="E20">
            <v>12</v>
          </cell>
          <cell r="F20">
            <v>100</v>
          </cell>
          <cell r="G20">
            <v>1.2</v>
          </cell>
          <cell r="H20">
            <v>6</v>
          </cell>
          <cell r="I20">
            <v>24</v>
          </cell>
          <cell r="J20">
            <v>22</v>
          </cell>
        </row>
        <row r="21">
          <cell r="A21">
            <v>20</v>
          </cell>
          <cell r="B21" t="str">
            <v>Product T</v>
          </cell>
          <cell r="C21">
            <v>8.0555555555555554</v>
          </cell>
          <cell r="D21">
            <v>2900</v>
          </cell>
          <cell r="E21">
            <v>15</v>
          </cell>
          <cell r="F21">
            <v>100</v>
          </cell>
          <cell r="G21">
            <v>1.5</v>
          </cell>
          <cell r="H21">
            <v>7</v>
          </cell>
          <cell r="I21">
            <v>30</v>
          </cell>
          <cell r="J21">
            <v>27</v>
          </cell>
        </row>
        <row r="22">
          <cell r="A22">
            <v>21</v>
          </cell>
          <cell r="B22" t="str">
            <v>Product U</v>
          </cell>
          <cell r="C22">
            <v>7.7777777777777777</v>
          </cell>
          <cell r="D22">
            <v>2800</v>
          </cell>
          <cell r="E22">
            <v>10</v>
          </cell>
          <cell r="F22">
            <v>100</v>
          </cell>
          <cell r="G22">
            <v>1</v>
          </cell>
          <cell r="H22">
            <v>5</v>
          </cell>
          <cell r="I22">
            <v>20</v>
          </cell>
          <cell r="J22">
            <v>18</v>
          </cell>
        </row>
        <row r="23">
          <cell r="A23">
            <v>22</v>
          </cell>
          <cell r="B23" t="str">
            <v>Product V</v>
          </cell>
          <cell r="C23">
            <v>7.5</v>
          </cell>
          <cell r="D23">
            <v>2700</v>
          </cell>
          <cell r="E23">
            <v>11</v>
          </cell>
          <cell r="F23">
            <v>100</v>
          </cell>
          <cell r="G23">
            <v>1.1000000000000001</v>
          </cell>
          <cell r="H23">
            <v>6</v>
          </cell>
          <cell r="I23">
            <v>22</v>
          </cell>
          <cell r="J23">
            <v>20</v>
          </cell>
        </row>
        <row r="24">
          <cell r="A24">
            <v>23</v>
          </cell>
          <cell r="B24" t="str">
            <v>Product W</v>
          </cell>
          <cell r="C24">
            <v>7.2222222222222223</v>
          </cell>
          <cell r="D24">
            <v>2600</v>
          </cell>
          <cell r="E24">
            <v>9</v>
          </cell>
          <cell r="F24">
            <v>100</v>
          </cell>
          <cell r="G24">
            <v>0.9</v>
          </cell>
          <cell r="H24">
            <v>4</v>
          </cell>
          <cell r="I24">
            <v>18</v>
          </cell>
          <cell r="J24">
            <v>16</v>
          </cell>
        </row>
        <row r="25">
          <cell r="A25">
            <v>24</v>
          </cell>
          <cell r="B25" t="str">
            <v>Product X</v>
          </cell>
          <cell r="C25">
            <v>6.9444444444444446</v>
          </cell>
          <cell r="D25">
            <v>2500</v>
          </cell>
          <cell r="E25">
            <v>14</v>
          </cell>
          <cell r="F25">
            <v>100</v>
          </cell>
          <cell r="G25">
            <v>1.4</v>
          </cell>
          <cell r="H25">
            <v>6</v>
          </cell>
          <cell r="I25">
            <v>28</v>
          </cell>
          <cell r="J25">
            <v>25</v>
          </cell>
        </row>
        <row r="26">
          <cell r="A26">
            <v>25</v>
          </cell>
          <cell r="B26" t="str">
            <v>Product Y</v>
          </cell>
          <cell r="C26">
            <v>6.666666666666667</v>
          </cell>
          <cell r="D26">
            <v>2400</v>
          </cell>
          <cell r="E26">
            <v>10</v>
          </cell>
          <cell r="F26">
            <v>100</v>
          </cell>
          <cell r="G26">
            <v>1</v>
          </cell>
          <cell r="H26">
            <v>5</v>
          </cell>
          <cell r="I26">
            <v>20</v>
          </cell>
          <cell r="J26">
            <v>18</v>
          </cell>
        </row>
        <row r="27">
          <cell r="A27">
            <v>26</v>
          </cell>
          <cell r="B27" t="str">
            <v>Product Z</v>
          </cell>
          <cell r="C27">
            <v>6.3888888888888893</v>
          </cell>
          <cell r="D27">
            <v>2300</v>
          </cell>
          <cell r="E27">
            <v>8</v>
          </cell>
          <cell r="F27">
            <v>100</v>
          </cell>
          <cell r="G27">
            <v>0.8</v>
          </cell>
          <cell r="H27">
            <v>4</v>
          </cell>
          <cell r="I27">
            <v>16</v>
          </cell>
          <cell r="J27">
            <v>14</v>
          </cell>
        </row>
        <row r="28">
          <cell r="A28">
            <v>27</v>
          </cell>
          <cell r="B28" t="str">
            <v>Product AA</v>
          </cell>
          <cell r="C28">
            <v>6.1111111111111107</v>
          </cell>
          <cell r="D28">
            <v>2200</v>
          </cell>
          <cell r="E28">
            <v>13</v>
          </cell>
          <cell r="F28">
            <v>100</v>
          </cell>
          <cell r="G28">
            <v>1.3</v>
          </cell>
          <cell r="H28">
            <v>6</v>
          </cell>
          <cell r="I28">
            <v>26</v>
          </cell>
          <cell r="J28">
            <v>23</v>
          </cell>
        </row>
        <row r="29">
          <cell r="A29">
            <v>28</v>
          </cell>
          <cell r="B29" t="str">
            <v>Product AB</v>
          </cell>
          <cell r="C29">
            <v>5.833333333333333</v>
          </cell>
          <cell r="D29">
            <v>2100</v>
          </cell>
          <cell r="E29">
            <v>12</v>
          </cell>
          <cell r="F29">
            <v>100</v>
          </cell>
          <cell r="G29">
            <v>1.2</v>
          </cell>
          <cell r="H29">
            <v>5</v>
          </cell>
          <cell r="I29">
            <v>24</v>
          </cell>
          <cell r="J29">
            <v>22</v>
          </cell>
        </row>
        <row r="30">
          <cell r="A30">
            <v>29</v>
          </cell>
          <cell r="B30" t="str">
            <v>Product AC</v>
          </cell>
          <cell r="C30">
            <v>5.5555555555555554</v>
          </cell>
          <cell r="D30">
            <v>2000</v>
          </cell>
          <cell r="E30">
            <v>11</v>
          </cell>
          <cell r="F30">
            <v>100</v>
          </cell>
          <cell r="G30">
            <v>1.1000000000000001</v>
          </cell>
          <cell r="H30">
            <v>6</v>
          </cell>
          <cell r="I30">
            <v>22</v>
          </cell>
          <cell r="J30">
            <v>20</v>
          </cell>
        </row>
        <row r="31">
          <cell r="A31">
            <v>30</v>
          </cell>
          <cell r="B31" t="str">
            <v>Product AD</v>
          </cell>
          <cell r="C31">
            <v>5.2777777777777777</v>
          </cell>
          <cell r="D31">
            <v>1900</v>
          </cell>
          <cell r="E31">
            <v>15</v>
          </cell>
          <cell r="F31">
            <v>100</v>
          </cell>
          <cell r="G31">
            <v>1.5</v>
          </cell>
          <cell r="H31">
            <v>7</v>
          </cell>
          <cell r="I31">
            <v>30</v>
          </cell>
          <cell r="J31">
            <v>27</v>
          </cell>
        </row>
        <row r="32">
          <cell r="A32">
            <v>31</v>
          </cell>
          <cell r="B32" t="str">
            <v>Product AE</v>
          </cell>
          <cell r="C32">
            <v>5</v>
          </cell>
          <cell r="D32">
            <v>1800</v>
          </cell>
          <cell r="E32">
            <v>9</v>
          </cell>
          <cell r="F32">
            <v>100</v>
          </cell>
          <cell r="G32">
            <v>0.9</v>
          </cell>
          <cell r="H32">
            <v>4</v>
          </cell>
          <cell r="I32">
            <v>18</v>
          </cell>
          <cell r="J32">
            <v>16</v>
          </cell>
        </row>
        <row r="33">
          <cell r="A33">
            <v>32</v>
          </cell>
          <cell r="B33" t="str">
            <v>Product AF</v>
          </cell>
          <cell r="C33">
            <v>4.7222222222222223</v>
          </cell>
          <cell r="D33">
            <v>1700</v>
          </cell>
          <cell r="E33">
            <v>14</v>
          </cell>
          <cell r="F33">
            <v>100</v>
          </cell>
          <cell r="G33">
            <v>1.4</v>
          </cell>
          <cell r="H33">
            <v>6</v>
          </cell>
          <cell r="I33">
            <v>28</v>
          </cell>
          <cell r="J33">
            <v>25</v>
          </cell>
        </row>
        <row r="34">
          <cell r="A34">
            <v>33</v>
          </cell>
          <cell r="B34" t="str">
            <v>Product AG</v>
          </cell>
          <cell r="C34">
            <v>4.4444444444444446</v>
          </cell>
          <cell r="D34">
            <v>1600</v>
          </cell>
          <cell r="E34">
            <v>10</v>
          </cell>
          <cell r="F34">
            <v>100</v>
          </cell>
          <cell r="G34">
            <v>1</v>
          </cell>
          <cell r="H34">
            <v>5</v>
          </cell>
          <cell r="I34">
            <v>20</v>
          </cell>
          <cell r="J34">
            <v>18</v>
          </cell>
        </row>
        <row r="35">
          <cell r="A35">
            <v>34</v>
          </cell>
          <cell r="B35" t="str">
            <v>Product AH</v>
          </cell>
          <cell r="C35">
            <v>4.166666666666667</v>
          </cell>
          <cell r="D35">
            <v>1500</v>
          </cell>
          <cell r="E35">
            <v>8</v>
          </cell>
          <cell r="F35">
            <v>100</v>
          </cell>
          <cell r="G35">
            <v>0.8</v>
          </cell>
          <cell r="H35">
            <v>4</v>
          </cell>
          <cell r="I35">
            <v>16</v>
          </cell>
          <cell r="J35">
            <v>14</v>
          </cell>
        </row>
        <row r="36">
          <cell r="A36">
            <v>35</v>
          </cell>
          <cell r="B36" t="str">
            <v>Product AI</v>
          </cell>
          <cell r="C36">
            <v>3.8888888888888888</v>
          </cell>
          <cell r="D36">
            <v>1400</v>
          </cell>
          <cell r="E36">
            <v>12</v>
          </cell>
          <cell r="F36">
            <v>100</v>
          </cell>
          <cell r="G36">
            <v>1.2</v>
          </cell>
          <cell r="H36">
            <v>6</v>
          </cell>
          <cell r="I36">
            <v>24</v>
          </cell>
          <cell r="J36">
            <v>22</v>
          </cell>
        </row>
        <row r="37">
          <cell r="A37">
            <v>36</v>
          </cell>
          <cell r="B37" t="str">
            <v>Product AJ</v>
          </cell>
          <cell r="C37">
            <v>3.6111111111111112</v>
          </cell>
          <cell r="D37">
            <v>1300</v>
          </cell>
          <cell r="E37">
            <v>15</v>
          </cell>
          <cell r="F37">
            <v>100</v>
          </cell>
          <cell r="G37">
            <v>1.5</v>
          </cell>
          <cell r="H37">
            <v>7</v>
          </cell>
          <cell r="I37">
            <v>30</v>
          </cell>
          <cell r="J37">
            <v>27</v>
          </cell>
        </row>
        <row r="38">
          <cell r="A38">
            <v>37</v>
          </cell>
          <cell r="B38" t="str">
            <v>Product AK</v>
          </cell>
          <cell r="C38">
            <v>3.3333333333333335</v>
          </cell>
          <cell r="D38">
            <v>1200</v>
          </cell>
          <cell r="E38">
            <v>10</v>
          </cell>
          <cell r="F38">
            <v>100</v>
          </cell>
          <cell r="G38">
            <v>1</v>
          </cell>
          <cell r="H38">
            <v>5</v>
          </cell>
          <cell r="I38">
            <v>20</v>
          </cell>
          <cell r="J38">
            <v>18</v>
          </cell>
        </row>
        <row r="39">
          <cell r="A39">
            <v>38</v>
          </cell>
          <cell r="B39" t="str">
            <v>Product AL</v>
          </cell>
          <cell r="C39">
            <v>3.0555555555555554</v>
          </cell>
          <cell r="D39">
            <v>1100</v>
          </cell>
          <cell r="E39">
            <v>11</v>
          </cell>
          <cell r="F39">
            <v>100</v>
          </cell>
          <cell r="G39">
            <v>1.1000000000000001</v>
          </cell>
          <cell r="H39">
            <v>6</v>
          </cell>
          <cell r="I39">
            <v>22</v>
          </cell>
          <cell r="J39">
            <v>20</v>
          </cell>
        </row>
        <row r="40">
          <cell r="A40">
            <v>39</v>
          </cell>
          <cell r="B40" t="str">
            <v>Product AM</v>
          </cell>
          <cell r="C40">
            <v>2.7777777777777777</v>
          </cell>
          <cell r="D40">
            <v>1000</v>
          </cell>
          <cell r="E40">
            <v>9</v>
          </cell>
          <cell r="F40">
            <v>100</v>
          </cell>
          <cell r="G40">
            <v>0.9</v>
          </cell>
          <cell r="H40">
            <v>4</v>
          </cell>
          <cell r="I40">
            <v>18</v>
          </cell>
          <cell r="J40">
            <v>16</v>
          </cell>
        </row>
        <row r="41">
          <cell r="A41">
            <v>40</v>
          </cell>
          <cell r="B41" t="str">
            <v>Product AN</v>
          </cell>
          <cell r="C41">
            <v>2.6388888888888888</v>
          </cell>
          <cell r="D41">
            <v>950</v>
          </cell>
          <cell r="E41">
            <v>14</v>
          </cell>
          <cell r="F41">
            <v>100</v>
          </cell>
          <cell r="G41">
            <v>1.4</v>
          </cell>
          <cell r="H41">
            <v>6</v>
          </cell>
          <cell r="I41">
            <v>28</v>
          </cell>
          <cell r="J41">
            <v>25</v>
          </cell>
        </row>
        <row r="42">
          <cell r="A42">
            <v>41</v>
          </cell>
          <cell r="B42" t="str">
            <v>Product AO</v>
          </cell>
          <cell r="C42">
            <v>2.5</v>
          </cell>
          <cell r="D42">
            <v>900</v>
          </cell>
          <cell r="E42">
            <v>10</v>
          </cell>
          <cell r="F42">
            <v>100</v>
          </cell>
          <cell r="G42">
            <v>1</v>
          </cell>
          <cell r="H42">
            <v>5</v>
          </cell>
          <cell r="I42">
            <v>20</v>
          </cell>
          <cell r="J42">
            <v>18</v>
          </cell>
        </row>
        <row r="43">
          <cell r="A43">
            <v>42</v>
          </cell>
          <cell r="B43" t="str">
            <v>Product AP</v>
          </cell>
          <cell r="C43">
            <v>2.3611111111111112</v>
          </cell>
          <cell r="D43">
            <v>850</v>
          </cell>
          <cell r="E43">
            <v>8</v>
          </cell>
          <cell r="F43">
            <v>100</v>
          </cell>
          <cell r="G43">
            <v>0.8</v>
          </cell>
          <cell r="H43">
            <v>4</v>
          </cell>
          <cell r="I43">
            <v>16</v>
          </cell>
          <cell r="J43">
            <v>14</v>
          </cell>
        </row>
        <row r="44">
          <cell r="A44">
            <v>43</v>
          </cell>
          <cell r="B44" t="str">
            <v>Product AQ</v>
          </cell>
          <cell r="C44">
            <v>2.2222222222222223</v>
          </cell>
          <cell r="D44">
            <v>800</v>
          </cell>
          <cell r="E44">
            <v>13</v>
          </cell>
          <cell r="F44">
            <v>100</v>
          </cell>
          <cell r="G44">
            <v>1.3</v>
          </cell>
          <cell r="H44">
            <v>6</v>
          </cell>
          <cell r="I44">
            <v>26</v>
          </cell>
          <cell r="J44">
            <v>23</v>
          </cell>
        </row>
        <row r="45">
          <cell r="A45">
            <v>44</v>
          </cell>
          <cell r="B45" t="str">
            <v>Product AR</v>
          </cell>
          <cell r="C45">
            <v>2.0833333333333335</v>
          </cell>
          <cell r="D45">
            <v>750</v>
          </cell>
          <cell r="E45">
            <v>12</v>
          </cell>
          <cell r="F45">
            <v>100</v>
          </cell>
          <cell r="G45">
            <v>1.2</v>
          </cell>
          <cell r="H45">
            <v>5</v>
          </cell>
          <cell r="I45">
            <v>24</v>
          </cell>
          <cell r="J45">
            <v>22</v>
          </cell>
        </row>
        <row r="46">
          <cell r="A46">
            <v>45</v>
          </cell>
          <cell r="B46" t="str">
            <v>Product AS</v>
          </cell>
          <cell r="C46">
            <v>1.9444444444444444</v>
          </cell>
          <cell r="D46">
            <v>700</v>
          </cell>
          <cell r="E46">
            <v>11</v>
          </cell>
          <cell r="F46">
            <v>100</v>
          </cell>
          <cell r="G46">
            <v>1.1000000000000001</v>
          </cell>
          <cell r="H46">
            <v>6</v>
          </cell>
          <cell r="I46">
            <v>22</v>
          </cell>
          <cell r="J46">
            <v>20</v>
          </cell>
        </row>
        <row r="47">
          <cell r="A47">
            <v>46</v>
          </cell>
          <cell r="B47" t="str">
            <v>Product AT</v>
          </cell>
          <cell r="C47">
            <v>1.8055555555555556</v>
          </cell>
          <cell r="D47">
            <v>650</v>
          </cell>
          <cell r="E47">
            <v>15</v>
          </cell>
          <cell r="F47">
            <v>100</v>
          </cell>
          <cell r="G47">
            <v>1.5</v>
          </cell>
          <cell r="H47">
            <v>7</v>
          </cell>
          <cell r="I47">
            <v>30</v>
          </cell>
          <cell r="J47">
            <v>27</v>
          </cell>
        </row>
        <row r="48">
          <cell r="A48">
            <v>47</v>
          </cell>
          <cell r="B48" t="str">
            <v>Product AU</v>
          </cell>
          <cell r="C48">
            <v>1.6666666666666667</v>
          </cell>
          <cell r="D48">
            <v>600</v>
          </cell>
          <cell r="E48">
            <v>9</v>
          </cell>
          <cell r="F48">
            <v>100</v>
          </cell>
          <cell r="G48">
            <v>0.9</v>
          </cell>
          <cell r="H48">
            <v>4</v>
          </cell>
          <cell r="I48">
            <v>18</v>
          </cell>
          <cell r="J48">
            <v>16</v>
          </cell>
        </row>
        <row r="49">
          <cell r="A49">
            <v>48</v>
          </cell>
          <cell r="B49" t="str">
            <v>Product AV</v>
          </cell>
          <cell r="C49">
            <v>1.5277777777777777</v>
          </cell>
          <cell r="D49">
            <v>550</v>
          </cell>
          <cell r="E49">
            <v>14</v>
          </cell>
          <cell r="F49">
            <v>100</v>
          </cell>
          <cell r="G49">
            <v>1.4</v>
          </cell>
          <cell r="H49">
            <v>6</v>
          </cell>
          <cell r="I49">
            <v>28</v>
          </cell>
          <cell r="J49">
            <v>25</v>
          </cell>
        </row>
        <row r="50">
          <cell r="A50">
            <v>49</v>
          </cell>
          <cell r="B50" t="str">
            <v>Product AW</v>
          </cell>
          <cell r="C50">
            <v>1.3888888888888888</v>
          </cell>
          <cell r="D50">
            <v>500</v>
          </cell>
          <cell r="E50">
            <v>10</v>
          </cell>
          <cell r="F50">
            <v>100</v>
          </cell>
          <cell r="G50">
            <v>1</v>
          </cell>
          <cell r="H50">
            <v>5</v>
          </cell>
          <cell r="I50">
            <v>20</v>
          </cell>
          <cell r="J50">
            <v>18</v>
          </cell>
        </row>
        <row r="51">
          <cell r="A51">
            <v>50</v>
          </cell>
          <cell r="B51" t="str">
            <v>Product AX</v>
          </cell>
          <cell r="C51">
            <v>1.25</v>
          </cell>
          <cell r="D51">
            <v>450</v>
          </cell>
          <cell r="E51">
            <v>8</v>
          </cell>
          <cell r="F51">
            <v>100</v>
          </cell>
          <cell r="G51">
            <v>0.8</v>
          </cell>
          <cell r="H51">
            <v>4</v>
          </cell>
          <cell r="I51">
            <v>16</v>
          </cell>
          <cell r="J51">
            <v>14</v>
          </cell>
        </row>
        <row r="52">
          <cell r="A52">
            <v>51</v>
          </cell>
          <cell r="B52" t="str">
            <v>Product AY</v>
          </cell>
          <cell r="C52">
            <v>1.1111111111111112</v>
          </cell>
          <cell r="D52">
            <v>400</v>
          </cell>
          <cell r="E52">
            <v>12</v>
          </cell>
          <cell r="F52">
            <v>100</v>
          </cell>
          <cell r="G52">
            <v>1.2</v>
          </cell>
          <cell r="H52">
            <v>6</v>
          </cell>
          <cell r="I52">
            <v>24</v>
          </cell>
          <cell r="J52">
            <v>22</v>
          </cell>
        </row>
        <row r="53">
          <cell r="A53">
            <v>52</v>
          </cell>
          <cell r="B53" t="str">
            <v>Product AZ</v>
          </cell>
          <cell r="C53">
            <v>0.97222222222222221</v>
          </cell>
          <cell r="D53">
            <v>350</v>
          </cell>
          <cell r="E53">
            <v>15</v>
          </cell>
          <cell r="F53">
            <v>100</v>
          </cell>
          <cell r="G53">
            <v>1.5</v>
          </cell>
          <cell r="H53">
            <v>7</v>
          </cell>
          <cell r="I53">
            <v>30</v>
          </cell>
          <cell r="J53">
            <v>27</v>
          </cell>
        </row>
        <row r="54">
          <cell r="A54">
            <v>53</v>
          </cell>
          <cell r="B54" t="str">
            <v>Product BA</v>
          </cell>
          <cell r="C54">
            <v>0.83333333333333337</v>
          </cell>
          <cell r="D54">
            <v>300</v>
          </cell>
          <cell r="E54">
            <v>10</v>
          </cell>
          <cell r="F54">
            <v>100</v>
          </cell>
          <cell r="G54">
            <v>1</v>
          </cell>
          <cell r="H54">
            <v>5</v>
          </cell>
          <cell r="I54">
            <v>20</v>
          </cell>
          <cell r="J54">
            <v>18</v>
          </cell>
        </row>
        <row r="55">
          <cell r="A55">
            <v>54</v>
          </cell>
          <cell r="B55" t="str">
            <v>Product BB</v>
          </cell>
          <cell r="C55">
            <v>0.77777777777777779</v>
          </cell>
          <cell r="D55">
            <v>280</v>
          </cell>
          <cell r="E55">
            <v>11</v>
          </cell>
          <cell r="F55">
            <v>100</v>
          </cell>
          <cell r="G55">
            <v>1.1000000000000001</v>
          </cell>
          <cell r="H55">
            <v>6</v>
          </cell>
          <cell r="I55">
            <v>22</v>
          </cell>
          <cell r="J55">
            <v>20</v>
          </cell>
        </row>
        <row r="56">
          <cell r="A56">
            <v>55</v>
          </cell>
          <cell r="B56" t="str">
            <v>Product BC</v>
          </cell>
          <cell r="C56">
            <v>0.72222222222222221</v>
          </cell>
          <cell r="D56">
            <v>260</v>
          </cell>
          <cell r="E56">
            <v>9</v>
          </cell>
          <cell r="F56">
            <v>100</v>
          </cell>
          <cell r="G56">
            <v>0.9</v>
          </cell>
          <cell r="H56">
            <v>4</v>
          </cell>
          <cell r="I56">
            <v>18</v>
          </cell>
          <cell r="J56">
            <v>16</v>
          </cell>
        </row>
        <row r="57">
          <cell r="A57">
            <v>56</v>
          </cell>
          <cell r="B57" t="str">
            <v>Product BD</v>
          </cell>
          <cell r="C57">
            <v>0.66666666666666663</v>
          </cell>
          <cell r="D57">
            <v>240</v>
          </cell>
          <cell r="E57">
            <v>14</v>
          </cell>
          <cell r="F57">
            <v>100</v>
          </cell>
          <cell r="G57">
            <v>1.4</v>
          </cell>
          <cell r="H57">
            <v>6</v>
          </cell>
          <cell r="I57">
            <v>28</v>
          </cell>
          <cell r="J57">
            <v>25</v>
          </cell>
        </row>
        <row r="58">
          <cell r="A58">
            <v>57</v>
          </cell>
          <cell r="B58" t="str">
            <v>Product BE</v>
          </cell>
          <cell r="C58">
            <v>0.61111111111111116</v>
          </cell>
          <cell r="D58">
            <v>220</v>
          </cell>
          <cell r="E58">
            <v>10</v>
          </cell>
          <cell r="F58">
            <v>100</v>
          </cell>
          <cell r="G58">
            <v>1</v>
          </cell>
          <cell r="H58">
            <v>5</v>
          </cell>
          <cell r="I58">
            <v>20</v>
          </cell>
          <cell r="J58">
            <v>18</v>
          </cell>
        </row>
        <row r="59">
          <cell r="A59">
            <v>58</v>
          </cell>
          <cell r="B59" t="str">
            <v>Product BF</v>
          </cell>
          <cell r="C59">
            <v>0.55555555555555558</v>
          </cell>
          <cell r="D59">
            <v>200</v>
          </cell>
          <cell r="E59">
            <v>8</v>
          </cell>
          <cell r="F59">
            <v>100</v>
          </cell>
          <cell r="G59">
            <v>0.8</v>
          </cell>
          <cell r="H59">
            <v>4</v>
          </cell>
          <cell r="I59">
            <v>16</v>
          </cell>
          <cell r="J59">
            <v>14</v>
          </cell>
        </row>
        <row r="60">
          <cell r="A60">
            <v>59</v>
          </cell>
          <cell r="B60" t="str">
            <v>Product BG</v>
          </cell>
          <cell r="C60">
            <v>0.5</v>
          </cell>
          <cell r="D60">
            <v>180</v>
          </cell>
          <cell r="E60">
            <v>13</v>
          </cell>
          <cell r="F60">
            <v>100</v>
          </cell>
          <cell r="G60">
            <v>1.3</v>
          </cell>
          <cell r="H60">
            <v>6</v>
          </cell>
          <cell r="I60">
            <v>26</v>
          </cell>
          <cell r="J60">
            <v>23</v>
          </cell>
        </row>
        <row r="61">
          <cell r="A61">
            <v>60</v>
          </cell>
          <cell r="B61" t="str">
            <v>Product BH</v>
          </cell>
          <cell r="C61">
            <v>0.44444444444444442</v>
          </cell>
          <cell r="D61">
            <v>160</v>
          </cell>
          <cell r="E61">
            <v>12</v>
          </cell>
          <cell r="F61">
            <v>100</v>
          </cell>
          <cell r="G61">
            <v>1.2</v>
          </cell>
          <cell r="H61">
            <v>5</v>
          </cell>
          <cell r="I61">
            <v>24</v>
          </cell>
          <cell r="J61">
            <v>22</v>
          </cell>
        </row>
        <row r="62">
          <cell r="A62">
            <v>61</v>
          </cell>
          <cell r="B62" t="str">
            <v>Product BI</v>
          </cell>
          <cell r="C62">
            <v>0.3888888888888889</v>
          </cell>
          <cell r="D62">
            <v>140</v>
          </cell>
          <cell r="E62">
            <v>11</v>
          </cell>
          <cell r="F62">
            <v>100</v>
          </cell>
          <cell r="G62">
            <v>1.1000000000000001</v>
          </cell>
          <cell r="H62">
            <v>6</v>
          </cell>
          <cell r="I62">
            <v>22</v>
          </cell>
          <cell r="J62">
            <v>20</v>
          </cell>
        </row>
        <row r="63">
          <cell r="A63">
            <v>62</v>
          </cell>
          <cell r="B63" t="str">
            <v>Product BJ</v>
          </cell>
          <cell r="C63">
            <v>0.33333333333333331</v>
          </cell>
          <cell r="D63">
            <v>120</v>
          </cell>
          <cell r="E63">
            <v>15</v>
          </cell>
          <cell r="F63">
            <v>100</v>
          </cell>
          <cell r="G63">
            <v>1.5</v>
          </cell>
          <cell r="H63">
            <v>7</v>
          </cell>
          <cell r="I63">
            <v>30</v>
          </cell>
          <cell r="J63">
            <v>27</v>
          </cell>
        </row>
        <row r="64">
          <cell r="A64">
            <v>63</v>
          </cell>
          <cell r="B64" t="str">
            <v>Product BK</v>
          </cell>
          <cell r="C64">
            <v>0.27777777777777779</v>
          </cell>
          <cell r="D64">
            <v>100</v>
          </cell>
          <cell r="E64">
            <v>9</v>
          </cell>
          <cell r="F64">
            <v>100</v>
          </cell>
          <cell r="G64">
            <v>0.9</v>
          </cell>
          <cell r="H64">
            <v>4</v>
          </cell>
          <cell r="I64">
            <v>18</v>
          </cell>
          <cell r="J64">
            <v>16</v>
          </cell>
        </row>
        <row r="65">
          <cell r="A65">
            <v>64</v>
          </cell>
          <cell r="B65" t="str">
            <v>Product BL</v>
          </cell>
          <cell r="C65">
            <v>0.25</v>
          </cell>
          <cell r="D65">
            <v>90</v>
          </cell>
          <cell r="E65">
            <v>14</v>
          </cell>
          <cell r="F65">
            <v>100</v>
          </cell>
          <cell r="G65">
            <v>1.4</v>
          </cell>
          <cell r="H65">
            <v>6</v>
          </cell>
          <cell r="I65">
            <v>28</v>
          </cell>
          <cell r="J65">
            <v>25</v>
          </cell>
        </row>
        <row r="66">
          <cell r="A66">
            <v>65</v>
          </cell>
          <cell r="B66" t="str">
            <v>Product BM</v>
          </cell>
          <cell r="C66">
            <v>0.22222222222222221</v>
          </cell>
          <cell r="D66">
            <v>80</v>
          </cell>
          <cell r="E66">
            <v>10</v>
          </cell>
          <cell r="F66">
            <v>100</v>
          </cell>
          <cell r="G66">
            <v>1</v>
          </cell>
          <cell r="H66">
            <v>5</v>
          </cell>
          <cell r="I66">
            <v>20</v>
          </cell>
          <cell r="J66">
            <v>18</v>
          </cell>
        </row>
        <row r="67">
          <cell r="A67">
            <v>66</v>
          </cell>
          <cell r="B67" t="str">
            <v>Product BN</v>
          </cell>
          <cell r="C67">
            <v>0.19444444444444445</v>
          </cell>
          <cell r="D67">
            <v>70</v>
          </cell>
          <cell r="E67">
            <v>8</v>
          </cell>
          <cell r="F67">
            <v>100</v>
          </cell>
          <cell r="G67">
            <v>0.8</v>
          </cell>
          <cell r="H67">
            <v>4</v>
          </cell>
          <cell r="I67">
            <v>16</v>
          </cell>
          <cell r="J67">
            <v>14</v>
          </cell>
        </row>
        <row r="68">
          <cell r="A68">
            <v>67</v>
          </cell>
          <cell r="B68" t="str">
            <v>Product BO</v>
          </cell>
          <cell r="C68">
            <v>0.16666666666666666</v>
          </cell>
          <cell r="D68">
            <v>60</v>
          </cell>
          <cell r="E68">
            <v>13</v>
          </cell>
          <cell r="F68">
            <v>100</v>
          </cell>
          <cell r="G68">
            <v>1.3</v>
          </cell>
          <cell r="H68">
            <v>6</v>
          </cell>
          <cell r="I68">
            <v>26</v>
          </cell>
          <cell r="J68">
            <v>23</v>
          </cell>
        </row>
        <row r="69">
          <cell r="B69" t="str">
            <v>Product BP</v>
          </cell>
          <cell r="C69">
            <v>0.1388888888888889</v>
          </cell>
          <cell r="D69">
            <v>50</v>
          </cell>
          <cell r="E69">
            <v>12</v>
          </cell>
          <cell r="F69">
            <v>100</v>
          </cell>
          <cell r="G69">
            <v>1.2</v>
          </cell>
          <cell r="H69">
            <v>5</v>
          </cell>
          <cell r="I69">
            <v>24</v>
          </cell>
          <cell r="J69">
            <v>22</v>
          </cell>
        </row>
        <row r="70">
          <cell r="B70" t="str">
            <v>Product BQ</v>
          </cell>
          <cell r="C70">
            <v>0.125</v>
          </cell>
          <cell r="D70">
            <v>45</v>
          </cell>
          <cell r="E70">
            <v>11</v>
          </cell>
          <cell r="F70">
            <v>100</v>
          </cell>
          <cell r="G70">
            <v>1.1000000000000001</v>
          </cell>
          <cell r="H70">
            <v>6</v>
          </cell>
          <cell r="I70">
            <v>22</v>
          </cell>
          <cell r="J70">
            <v>20</v>
          </cell>
        </row>
      </sheetData>
      <sheetData sheetId="1">
        <row r="2">
          <cell r="B2">
            <v>612.37243569579448</v>
          </cell>
          <cell r="C2">
            <v>1000</v>
          </cell>
          <cell r="D2">
            <v>6.123724356957946</v>
          </cell>
          <cell r="E2">
            <v>6.1237243569579451</v>
          </cell>
          <cell r="F2">
            <v>574.7474487139159</v>
          </cell>
          <cell r="G2">
            <v>1</v>
          </cell>
          <cell r="H2">
            <v>-10599.744871391589</v>
          </cell>
          <cell r="I2">
            <v>375000</v>
          </cell>
          <cell r="J2">
            <v>110854591.33859229</v>
          </cell>
          <cell r="K2">
            <v>10564.247786546841</v>
          </cell>
        </row>
        <row r="3">
          <cell r="B3">
            <v>37.416573867739416</v>
          </cell>
          <cell r="C3">
            <v>995</v>
          </cell>
          <cell r="D3">
            <v>93.541434669348533</v>
          </cell>
          <cell r="E3">
            <v>93.541434669348547</v>
          </cell>
          <cell r="F3">
            <v>2427.0828693386975</v>
          </cell>
          <cell r="G3">
            <v>1</v>
          </cell>
          <cell r="H3">
            <v>-186.833147735479</v>
          </cell>
          <cell r="I3">
            <v>1400</v>
          </cell>
          <cell r="J3">
            <v>29306.625092747323</v>
          </cell>
          <cell r="K3">
            <v>179.0124632152241</v>
          </cell>
        </row>
        <row r="4">
          <cell r="B4">
            <v>46.147910349544865</v>
          </cell>
          <cell r="C4">
            <v>990</v>
          </cell>
          <cell r="D4">
            <v>27.688746209726915</v>
          </cell>
          <cell r="E4">
            <v>27.688746209726919</v>
          </cell>
          <cell r="F4">
            <v>362.04415908612049</v>
          </cell>
          <cell r="G4">
            <v>1</v>
          </cell>
          <cell r="H4">
            <v>-134.88841329168224</v>
          </cell>
          <cell r="I4">
            <v>2129.62962962963</v>
          </cell>
          <cell r="J4">
            <v>9676.3655218291588</v>
          </cell>
          <cell r="K4">
            <v>116.62846612443133</v>
          </cell>
        </row>
        <row r="5">
          <cell r="B5">
            <v>40.824829046386306</v>
          </cell>
          <cell r="C5">
            <v>985</v>
          </cell>
          <cell r="D5">
            <v>30.618621784789724</v>
          </cell>
          <cell r="E5">
            <v>30.618621784789731</v>
          </cell>
          <cell r="F5">
            <v>436.2372435695795</v>
          </cell>
          <cell r="G5">
            <v>1</v>
          </cell>
          <cell r="H5">
            <v>-131.64965809277268</v>
          </cell>
          <cell r="I5">
            <v>1666.6666666666667</v>
          </cell>
          <cell r="J5">
            <v>10664.965809277281</v>
          </cell>
          <cell r="K5">
            <v>117.46048971146664</v>
          </cell>
        </row>
        <row r="6">
          <cell r="B6">
            <v>49.441323247304418</v>
          </cell>
          <cell r="C6">
            <v>980</v>
          </cell>
          <cell r="D6">
            <v>24.720661623652209</v>
          </cell>
          <cell r="E6">
            <v>24.720661623652209</v>
          </cell>
          <cell r="F6">
            <v>293.88576769174887</v>
          </cell>
          <cell r="G6">
            <v>1</v>
          </cell>
          <cell r="H6">
            <v>-147.77153538349773</v>
          </cell>
          <cell r="I6">
            <v>2444.4444444444443</v>
          </cell>
          <cell r="J6">
            <v>12058.648891818546</v>
          </cell>
          <cell r="K6">
            <v>128.79170747019759</v>
          </cell>
        </row>
        <row r="7">
          <cell r="B7">
            <v>46.601686361302114</v>
          </cell>
          <cell r="C7">
            <v>975</v>
          </cell>
          <cell r="D7">
            <v>25.630927498716169</v>
          </cell>
          <cell r="E7">
            <v>25.630927498716165</v>
          </cell>
          <cell r="F7">
            <v>314.03963277521012</v>
          </cell>
          <cell r="G7">
            <v>1</v>
          </cell>
          <cell r="H7">
            <v>-136.6377161569477</v>
          </cell>
          <cell r="I7">
            <v>2171.7171717171718</v>
          </cell>
          <cell r="J7">
            <v>9982.9967897179213</v>
          </cell>
          <cell r="K7">
            <v>118.27633196806799</v>
          </cell>
        </row>
        <row r="8">
          <cell r="B8">
            <v>50.917507721731553</v>
          </cell>
          <cell r="C8">
            <v>970</v>
          </cell>
          <cell r="D8">
            <v>22.912878474779198</v>
          </cell>
          <cell r="E8">
            <v>22.912878474779198</v>
          </cell>
          <cell r="F8">
            <v>255.82575694955841</v>
          </cell>
          <cell r="G8">
            <v>1</v>
          </cell>
          <cell r="H8">
            <v>-153.68686729531501</v>
          </cell>
          <cell r="I8">
            <v>2592.5925925925922</v>
          </cell>
          <cell r="J8">
            <v>13249.282808677399</v>
          </cell>
          <cell r="K8">
            <v>134.39619815266934</v>
          </cell>
        </row>
        <row r="9">
          <cell r="B9">
            <v>40.33589130023195</v>
          </cell>
          <cell r="C9">
            <v>965</v>
          </cell>
          <cell r="D9">
            <v>28.235123910162358</v>
          </cell>
          <cell r="E9">
            <v>28.235123910162361</v>
          </cell>
          <cell r="F9">
            <v>375.35913670921366</v>
          </cell>
          <cell r="G9">
            <v>1</v>
          </cell>
          <cell r="H9">
            <v>-129.48130640998775</v>
          </cell>
          <cell r="I9">
            <v>1626.9841269841272</v>
          </cell>
          <cell r="J9">
            <v>10257.472201700628</v>
          </cell>
          <cell r="K9">
            <v>115.3802429587148</v>
          </cell>
        </row>
        <row r="10">
          <cell r="B10">
            <v>47.14045207910317</v>
          </cell>
          <cell r="C10">
            <v>960</v>
          </cell>
          <cell r="D10">
            <v>23.570226039551581</v>
          </cell>
          <cell r="E10">
            <v>23.570226039551585</v>
          </cell>
          <cell r="F10">
            <v>269.3626743013254</v>
          </cell>
          <cell r="G10">
            <v>1</v>
          </cell>
          <cell r="H10">
            <v>-138.7253486026508</v>
          </cell>
          <cell r="I10">
            <v>2222.2222222222222</v>
          </cell>
          <cell r="J10">
            <v>10355.833456038099</v>
          </cell>
          <cell r="K10">
            <v>120.24448209163023</v>
          </cell>
        </row>
        <row r="11">
          <cell r="B11">
            <v>52.041649986653319</v>
          </cell>
          <cell r="C11">
            <v>955</v>
          </cell>
          <cell r="D11">
            <v>20.816659994661329</v>
          </cell>
          <cell r="E11">
            <v>20.816659994661329</v>
          </cell>
          <cell r="F11">
            <v>214.96665332265601</v>
          </cell>
          <cell r="G11">
            <v>1</v>
          </cell>
          <cell r="H11">
            <v>-158.24996663997331</v>
          </cell>
          <cell r="I11">
            <v>2708.3333333333335</v>
          </cell>
          <cell r="J11">
            <v>14209.718608219331</v>
          </cell>
          <cell r="K11">
            <v>138.72724545872458</v>
          </cell>
        </row>
        <row r="12">
          <cell r="B12">
            <v>40.298034988465922</v>
          </cell>
          <cell r="C12">
            <v>950</v>
          </cell>
          <cell r="D12">
            <v>26.19372274250285</v>
          </cell>
          <cell r="E12">
            <v>26.19372274250285</v>
          </cell>
          <cell r="F12">
            <v>326.8318899294502</v>
          </cell>
          <cell r="G12">
            <v>1</v>
          </cell>
          <cell r="H12">
            <v>-129.31401869488064</v>
          </cell>
          <cell r="I12">
            <v>1623.9316239316238</v>
          </cell>
          <cell r="J12">
            <v>10226.388935293446</v>
          </cell>
          <cell r="K12">
            <v>115.21981419273507</v>
          </cell>
        </row>
        <row r="13">
          <cell r="B13">
            <v>41.38795673819817</v>
          </cell>
          <cell r="C13">
            <v>945</v>
          </cell>
          <cell r="D13">
            <v>24.832774042918899</v>
          </cell>
          <cell r="E13">
            <v>24.832774042918903</v>
          </cell>
          <cell r="F13">
            <v>296.33221475250451</v>
          </cell>
          <cell r="G13">
            <v>1</v>
          </cell>
          <cell r="H13">
            <v>-117.03517273565562</v>
          </cell>
          <cell r="I13">
            <v>1712.962962962963</v>
          </cell>
          <cell r="J13">
            <v>6845.3798054128965</v>
          </cell>
          <cell r="K13">
            <v>99.885991598791492</v>
          </cell>
        </row>
        <row r="14">
          <cell r="B14">
            <v>42.640143271122085</v>
          </cell>
          <cell r="C14">
            <v>940</v>
          </cell>
          <cell r="D14">
            <v>23.45207879911715</v>
          </cell>
          <cell r="E14">
            <v>23.45207879911715</v>
          </cell>
          <cell r="F14">
            <v>266.90415759823429</v>
          </cell>
          <cell r="G14">
            <v>1</v>
          </cell>
          <cell r="H14">
            <v>-121.64392290588052</v>
          </cell>
          <cell r="I14">
            <v>1818.181818181818</v>
          </cell>
          <cell r="J14">
            <v>7524.5167072045297</v>
          </cell>
          <cell r="K14">
            <v>104.19394753613838</v>
          </cell>
        </row>
        <row r="15">
          <cell r="B15">
            <v>36.004114991154779</v>
          </cell>
          <cell r="C15">
            <v>935</v>
          </cell>
          <cell r="D15">
            <v>27.003086243366084</v>
          </cell>
          <cell r="E15">
            <v>27.003086243366084</v>
          </cell>
          <cell r="F15">
            <v>345.67283915339874</v>
          </cell>
          <cell r="G15">
            <v>1</v>
          </cell>
          <cell r="H15">
            <v>-110.89711887119832</v>
          </cell>
          <cell r="I15">
            <v>1296.2962962962963</v>
          </cell>
          <cell r="J15">
            <v>7112.9857887475036</v>
          </cell>
          <cell r="K15">
            <v>97.617818940443158</v>
          </cell>
        </row>
        <row r="16">
          <cell r="B16">
            <v>45.812284729085114</v>
          </cell>
          <cell r="C16">
            <v>930</v>
          </cell>
          <cell r="D16">
            <v>20.615528128088304</v>
          </cell>
          <cell r="E16">
            <v>20.6155281280883</v>
          </cell>
          <cell r="F16">
            <v>211.2310562561766</v>
          </cell>
          <cell r="G16">
            <v>1</v>
          </cell>
          <cell r="H16">
            <v>-133.59987810014553</v>
          </cell>
          <cell r="I16">
            <v>2098.7654320987654</v>
          </cell>
          <cell r="J16">
            <v>9453.8656999786854</v>
          </cell>
          <cell r="K16">
            <v>115.41543477926051</v>
          </cell>
        </row>
        <row r="17">
          <cell r="B17">
            <v>36.187343222787298</v>
          </cell>
          <cell r="C17">
            <v>925</v>
          </cell>
          <cell r="D17">
            <v>25.331140255951102</v>
          </cell>
          <cell r="E17">
            <v>25.331140255951109</v>
          </cell>
          <cell r="F17">
            <v>307.3289471785688</v>
          </cell>
          <cell r="G17">
            <v>1</v>
          </cell>
          <cell r="H17">
            <v>-111.66040073128877</v>
          </cell>
          <cell r="I17">
            <v>1309.5238095238096</v>
          </cell>
          <cell r="J17">
            <v>7229.9498533767564</v>
          </cell>
          <cell r="K17">
            <v>98.344756265291153</v>
          </cell>
        </row>
        <row r="18">
          <cell r="B18">
            <v>42.16370213557839</v>
          </cell>
          <cell r="C18">
            <v>920</v>
          </cell>
          <cell r="D18">
            <v>21.081851067789195</v>
          </cell>
          <cell r="E18">
            <v>21.081851067789195</v>
          </cell>
          <cell r="F18">
            <v>219.94147991335615</v>
          </cell>
          <cell r="G18">
            <v>1</v>
          </cell>
          <cell r="H18">
            <v>-119.88295982671229</v>
          </cell>
          <cell r="I18">
            <v>1777.7777777777778</v>
          </cell>
          <cell r="J18">
            <v>7260.8129457020023</v>
          </cell>
          <cell r="K18">
            <v>102.54668190120618</v>
          </cell>
        </row>
        <row r="19">
          <cell r="B19">
            <v>46.398036356916847</v>
          </cell>
          <cell r="C19">
            <v>915</v>
          </cell>
          <cell r="D19">
            <v>18.559214542766739</v>
          </cell>
          <cell r="E19">
            <v>18.559214542766739</v>
          </cell>
          <cell r="F19">
            <v>174.89620686331125</v>
          </cell>
          <cell r="G19">
            <v>1</v>
          </cell>
          <cell r="H19">
            <v>-135.85162826938927</v>
          </cell>
          <cell r="I19">
            <v>2152.7777777777774</v>
          </cell>
          <cell r="J19">
            <v>9844.5537923332158</v>
          </cell>
          <cell r="K19">
            <v>117.53567654211625</v>
          </cell>
        </row>
        <row r="20">
          <cell r="B20">
            <v>37.267799624996492</v>
          </cell>
          <cell r="C20">
            <v>910</v>
          </cell>
          <cell r="D20">
            <v>22.360679774997898</v>
          </cell>
          <cell r="E20">
            <v>22.360679774997894</v>
          </cell>
          <cell r="F20">
            <v>244.72135954999578</v>
          </cell>
          <cell r="G20">
            <v>1</v>
          </cell>
          <cell r="H20">
            <v>-102.31337702777074</v>
          </cell>
          <cell r="I20">
            <v>1388.8888888888889</v>
          </cell>
          <cell r="J20">
            <v>4912.4715632712096</v>
          </cell>
          <cell r="K20">
            <v>86.201201505476547</v>
          </cell>
        </row>
        <row r="21">
          <cell r="B21">
            <v>32.773069341672503</v>
          </cell>
          <cell r="C21">
            <v>905</v>
          </cell>
          <cell r="D21">
            <v>24.579802006254376</v>
          </cell>
          <cell r="E21">
            <v>24.579802006254376</v>
          </cell>
          <cell r="F21">
            <v>290.82627067917542</v>
          </cell>
          <cell r="G21">
            <v>1</v>
          </cell>
          <cell r="H21">
            <v>-97.768360905567235</v>
          </cell>
          <cell r="I21">
            <v>1074.0740740740741</v>
          </cell>
          <cell r="J21">
            <v>5262.3560978649502</v>
          </cell>
          <cell r="K21">
            <v>85.155229851253438</v>
          </cell>
        </row>
        <row r="22">
          <cell r="B22">
            <v>39.440531887330771</v>
          </cell>
          <cell r="C22">
            <v>900</v>
          </cell>
          <cell r="D22">
            <v>19.720265943665385</v>
          </cell>
          <cell r="E22">
            <v>19.720265943665385</v>
          </cell>
          <cell r="F22">
            <v>194.99608744288633</v>
          </cell>
          <cell r="G22">
            <v>1</v>
          </cell>
          <cell r="H22">
            <v>-109.99217488577267</v>
          </cell>
          <cell r="I22">
            <v>1555.5555555555554</v>
          </cell>
          <cell r="J22">
            <v>5876.0563138801781</v>
          </cell>
          <cell r="K22">
            <v>93.323806895914643</v>
          </cell>
        </row>
        <row r="23">
          <cell r="B23">
            <v>36.927447293799815</v>
          </cell>
          <cell r="C23">
            <v>895</v>
          </cell>
          <cell r="D23">
            <v>20.310096011589902</v>
          </cell>
          <cell r="E23">
            <v>20.310096011589899</v>
          </cell>
          <cell r="F23">
            <v>205.62019202317981</v>
          </cell>
          <cell r="G23">
            <v>1</v>
          </cell>
          <cell r="H23">
            <v>-101.12762186032693</v>
          </cell>
          <cell r="I23">
            <v>1363.6363636363635</v>
          </cell>
          <cell r="J23">
            <v>4772.2504485798181</v>
          </cell>
          <cell r="K23">
            <v>85.104549372544142</v>
          </cell>
        </row>
        <row r="24">
          <cell r="B24">
            <v>40.061680838488769</v>
          </cell>
          <cell r="C24">
            <v>890</v>
          </cell>
          <cell r="D24">
            <v>18.02775637731995</v>
          </cell>
          <cell r="E24">
            <v>18.027756377319946</v>
          </cell>
          <cell r="F24">
            <v>166.05551275463989</v>
          </cell>
          <cell r="G24">
            <v>1</v>
          </cell>
          <cell r="H24">
            <v>-112.2221271090763</v>
          </cell>
          <cell r="I24">
            <v>1604.9382716049383</v>
          </cell>
          <cell r="J24">
            <v>6174.052726465924</v>
          </cell>
          <cell r="K24">
            <v>95.398633874124982</v>
          </cell>
        </row>
        <row r="25">
          <cell r="B25">
            <v>31.497039417435605</v>
          </cell>
          <cell r="C25">
            <v>885</v>
          </cell>
          <cell r="D25">
            <v>22.047927592204921</v>
          </cell>
          <cell r="E25">
            <v>22.047927592204921</v>
          </cell>
          <cell r="F25">
            <v>238.54029962885431</v>
          </cell>
          <cell r="G25">
            <v>1</v>
          </cell>
          <cell r="H25">
            <v>-92.755983596776005</v>
          </cell>
          <cell r="I25">
            <v>992.06349206349216</v>
          </cell>
          <cell r="J25">
            <v>4635.4185247514106</v>
          </cell>
          <cell r="K25">
            <v>80.419945784430766</v>
          </cell>
        </row>
        <row r="26">
          <cell r="B26">
            <v>36.514837167011073</v>
          </cell>
          <cell r="C26">
            <v>880</v>
          </cell>
          <cell r="D26">
            <v>18.25741858350554</v>
          </cell>
          <cell r="E26">
            <v>18.257418583505537</v>
          </cell>
          <cell r="F26">
            <v>169.84817050034442</v>
          </cell>
          <cell r="G26">
            <v>1</v>
          </cell>
          <cell r="H26">
            <v>-99.696341000688847</v>
          </cell>
          <cell r="I26">
            <v>1333.3333333333335</v>
          </cell>
          <cell r="J26">
            <v>4606.0270755922975</v>
          </cell>
          <cell r="K26">
            <v>83.782029239044846</v>
          </cell>
        </row>
        <row r="27">
          <cell r="B27">
            <v>39.96526269427266</v>
          </cell>
          <cell r="C27">
            <v>875</v>
          </cell>
          <cell r="D27">
            <v>15.986105077709066</v>
          </cell>
          <cell r="E27">
            <v>15.986105077709064</v>
          </cell>
          <cell r="F27">
            <v>134.19443237764037</v>
          </cell>
          <cell r="G27">
            <v>1</v>
          </cell>
          <cell r="H27">
            <v>-111.87496983298978</v>
          </cell>
          <cell r="I27">
            <v>1597.2222222222222</v>
          </cell>
          <cell r="J27">
            <v>6127.1199862434842</v>
          </cell>
          <cell r="K27">
            <v>95.075445984502394</v>
          </cell>
        </row>
        <row r="28">
          <cell r="B28">
            <v>30.662207033593326</v>
          </cell>
          <cell r="C28">
            <v>870</v>
          </cell>
          <cell r="D28">
            <v>19.930434571835665</v>
          </cell>
          <cell r="E28">
            <v>19.930434571835661</v>
          </cell>
          <cell r="F28">
            <v>198.74975803256021</v>
          </cell>
          <cell r="G28">
            <v>1</v>
          </cell>
          <cell r="H28">
            <v>-89.52954227231487</v>
          </cell>
          <cell r="I28">
            <v>940.17094017094007</v>
          </cell>
          <cell r="J28">
            <v>4254.8551788064542</v>
          </cell>
          <cell r="K28">
            <v>77.37939660850671</v>
          </cell>
        </row>
        <row r="29">
          <cell r="B29">
            <v>31.180478223116179</v>
          </cell>
          <cell r="C29">
            <v>865</v>
          </cell>
          <cell r="D29">
            <v>18.708286933869704</v>
          </cell>
          <cell r="E29">
            <v>18.708286933869708</v>
          </cell>
          <cell r="F29">
            <v>177.41657386773943</v>
          </cell>
          <cell r="G29">
            <v>1</v>
          </cell>
          <cell r="H29">
            <v>-81.805400890676864</v>
          </cell>
          <cell r="I29">
            <v>972.22222222222217</v>
          </cell>
          <cell r="J29">
            <v>2803.2347259954668</v>
          </cell>
          <cell r="K29">
            <v>67.375491788505599</v>
          </cell>
        </row>
        <row r="30">
          <cell r="B30">
            <v>31.782086308186411</v>
          </cell>
          <cell r="C30">
            <v>860</v>
          </cell>
          <cell r="D30">
            <v>17.480147469502526</v>
          </cell>
          <cell r="E30">
            <v>17.480147469502526</v>
          </cell>
          <cell r="F30">
            <v>157.18251716122728</v>
          </cell>
          <cell r="G30">
            <v>1</v>
          </cell>
          <cell r="H30">
            <v>-83.766192818393023</v>
          </cell>
          <cell r="I30">
            <v>1010.10101010101</v>
          </cell>
          <cell r="J30">
            <v>2976.3710188841583</v>
          </cell>
          <cell r="K30">
            <v>69.161160026708657</v>
          </cell>
        </row>
        <row r="31">
          <cell r="B31">
            <v>26.527414191807381</v>
          </cell>
          <cell r="C31">
            <v>855</v>
          </cell>
          <cell r="D31">
            <v>19.895560643855536</v>
          </cell>
          <cell r="E31">
            <v>19.895560643855536</v>
          </cell>
          <cell r="F31">
            <v>198.12445462104441</v>
          </cell>
          <cell r="G31">
            <v>1</v>
          </cell>
          <cell r="H31">
            <v>-74.165939494725876</v>
          </cell>
          <cell r="I31">
            <v>703.70370370370358</v>
          </cell>
          <cell r="J31">
            <v>2685.7717663205253</v>
          </cell>
          <cell r="K31">
            <v>62.995185815853318</v>
          </cell>
        </row>
        <row r="32">
          <cell r="B32">
            <v>33.333333333333336</v>
          </cell>
          <cell r="C32">
            <v>850</v>
          </cell>
          <cell r="D32">
            <v>14.999999999999998</v>
          </cell>
          <cell r="E32">
            <v>15.000000000000002</v>
          </cell>
          <cell r="F32">
            <v>120</v>
          </cell>
          <cell r="G32">
            <v>1</v>
          </cell>
          <cell r="H32">
            <v>-88.888888888888886</v>
          </cell>
          <cell r="I32">
            <v>1111.1111111111111</v>
          </cell>
          <cell r="J32">
            <v>3456.7901234567898</v>
          </cell>
          <cell r="K32">
            <v>73.841681234051009</v>
          </cell>
        </row>
        <row r="33">
          <cell r="B33">
            <v>25.97312408246599</v>
          </cell>
          <cell r="C33">
            <v>845</v>
          </cell>
          <cell r="D33">
            <v>18.181186857726189</v>
          </cell>
          <cell r="E33">
            <v>18.181186857726193</v>
          </cell>
          <cell r="F33">
            <v>168.58459593767461</v>
          </cell>
          <cell r="G33">
            <v>1</v>
          </cell>
          <cell r="H33">
            <v>-72.184343403027214</v>
          </cell>
          <cell r="I33">
            <v>674.60317460317469</v>
          </cell>
          <cell r="J33">
            <v>2512.1667341134598</v>
          </cell>
          <cell r="K33">
            <v>61.152931536928911</v>
          </cell>
        </row>
        <row r="34">
          <cell r="B34">
            <v>29.814239699997195</v>
          </cell>
          <cell r="C34">
            <v>840</v>
          </cell>
          <cell r="D34">
            <v>14.907119849998599</v>
          </cell>
          <cell r="E34">
            <v>14.907119849998598</v>
          </cell>
          <cell r="F34">
            <v>118.70312858888607</v>
          </cell>
          <cell r="G34">
            <v>1</v>
          </cell>
          <cell r="H34">
            <v>-77.406257177772147</v>
          </cell>
          <cell r="I34">
            <v>888.88888888888891</v>
          </cell>
          <cell r="J34">
            <v>2436.1730947158467</v>
          </cell>
          <cell r="K34">
            <v>63.381930700799074</v>
          </cell>
        </row>
        <row r="35">
          <cell r="B35">
            <v>32.274861218395145</v>
          </cell>
          <cell r="C35">
            <v>835</v>
          </cell>
          <cell r="D35">
            <v>12.909944487358056</v>
          </cell>
          <cell r="E35">
            <v>12.909944487358059</v>
          </cell>
          <cell r="F35">
            <v>92.486555641382793</v>
          </cell>
          <cell r="G35">
            <v>1</v>
          </cell>
          <cell r="H35">
            <v>-85.383055770123633</v>
          </cell>
          <cell r="I35">
            <v>1041.6666666666667</v>
          </cell>
          <cell r="J35">
            <v>3123.5995459773758</v>
          </cell>
          <cell r="K35">
            <v>70.636113881178204</v>
          </cell>
        </row>
        <row r="36">
          <cell r="B36">
            <v>25.458753860865777</v>
          </cell>
          <cell r="C36">
            <v>830</v>
          </cell>
          <cell r="D36">
            <v>15.275252316519467</v>
          </cell>
          <cell r="E36">
            <v>15.275252316519465</v>
          </cell>
          <cell r="F36">
            <v>123.88383796637227</v>
          </cell>
          <cell r="G36">
            <v>1</v>
          </cell>
          <cell r="H36">
            <v>-63.880470684694522</v>
          </cell>
          <cell r="I36">
            <v>648.14814814814815</v>
          </cell>
          <cell r="J36">
            <v>1488.1219423055236</v>
          </cell>
          <cell r="K36">
            <v>51.22832714989476</v>
          </cell>
        </row>
        <row r="37">
          <cell r="B37">
            <v>21.942686286812776</v>
          </cell>
          <cell r="C37">
            <v>825</v>
          </cell>
          <cell r="D37">
            <v>16.457014715109583</v>
          </cell>
          <cell r="E37">
            <v>16.457014715109583</v>
          </cell>
          <cell r="F37">
            <v>141.2473627635525</v>
          </cell>
          <cell r="G37">
            <v>1</v>
          </cell>
          <cell r="H37">
            <v>-58.329817018070003</v>
          </cell>
          <cell r="I37">
            <v>481.48148148148152</v>
          </cell>
          <cell r="J37">
            <v>1476.4416274356026</v>
          </cell>
          <cell r="K37">
            <v>48.377154782152068</v>
          </cell>
        </row>
        <row r="38">
          <cell r="B38">
            <v>25.819888974716115</v>
          </cell>
          <cell r="C38">
            <v>820</v>
          </cell>
          <cell r="D38">
            <v>12.909944487358057</v>
          </cell>
          <cell r="E38">
            <v>12.909944487358057</v>
          </cell>
          <cell r="F38">
            <v>92.486555641382793</v>
          </cell>
          <cell r="G38">
            <v>1</v>
          </cell>
          <cell r="H38">
            <v>-64.973111282765586</v>
          </cell>
          <cell r="I38">
            <v>666.66666666666674</v>
          </cell>
          <cell r="J38">
            <v>1554.8385230959739</v>
          </cell>
          <cell r="K38">
            <v>52.202276038416059</v>
          </cell>
        </row>
        <row r="39">
          <cell r="B39">
            <v>23.570226039551585</v>
          </cell>
          <cell r="C39">
            <v>815</v>
          </cell>
          <cell r="D39">
            <v>12.96362432175337</v>
          </cell>
          <cell r="E39">
            <v>12.963624321753374</v>
          </cell>
          <cell r="F39">
            <v>93.149470865728958</v>
          </cell>
          <cell r="G39">
            <v>1</v>
          </cell>
          <cell r="H39">
            <v>-58.25156319021427</v>
          </cell>
          <cell r="I39">
            <v>555.55555555555554</v>
          </cell>
          <cell r="J39">
            <v>1171.022391881304</v>
          </cell>
          <cell r="K39">
            <v>46.23588381485807</v>
          </cell>
        </row>
        <row r="40">
          <cell r="B40">
            <v>24.845199749997665</v>
          </cell>
          <cell r="C40">
            <v>810</v>
          </cell>
          <cell r="D40">
            <v>11.180339887498947</v>
          </cell>
          <cell r="E40">
            <v>11.180339887498949</v>
          </cell>
          <cell r="F40">
            <v>72.360679774997891</v>
          </cell>
          <cell r="G40">
            <v>1</v>
          </cell>
          <cell r="H40">
            <v>-62.036078512340993</v>
          </cell>
          <cell r="I40">
            <v>617.28395061728395</v>
          </cell>
          <cell r="J40">
            <v>1379.3392347202002</v>
          </cell>
          <cell r="K40">
            <v>49.587767543898622</v>
          </cell>
        </row>
        <row r="41">
          <cell r="B41">
            <v>19.416079083690583</v>
          </cell>
          <cell r="C41">
            <v>805</v>
          </cell>
          <cell r="D41">
            <v>13.591255358583407</v>
          </cell>
          <cell r="E41">
            <v>13.591255358583407</v>
          </cell>
          <cell r="F41">
            <v>101.07139960605571</v>
          </cell>
          <cell r="G41">
            <v>1</v>
          </cell>
          <cell r="H41">
            <v>-50.141681976904991</v>
          </cell>
          <cell r="I41">
            <v>376.98412698412699</v>
          </cell>
          <cell r="J41">
            <v>1006.2517635365707</v>
          </cell>
          <cell r="K41">
            <v>40.93157681262354</v>
          </cell>
        </row>
        <row r="42">
          <cell r="B42">
            <v>22.360679774997898</v>
          </cell>
          <cell r="C42">
            <v>800</v>
          </cell>
          <cell r="D42">
            <v>11.180339887498947</v>
          </cell>
          <cell r="E42">
            <v>11.180339887498949</v>
          </cell>
          <cell r="F42">
            <v>72.360679774997891</v>
          </cell>
          <cell r="G42">
            <v>1</v>
          </cell>
          <cell r="H42">
            <v>-54.721359549995782</v>
          </cell>
          <cell r="I42">
            <v>500</v>
          </cell>
          <cell r="J42">
            <v>994.42719099991473</v>
          </cell>
          <cell r="K42">
            <v>43.127949600493324</v>
          </cell>
        </row>
        <row r="43">
          <cell r="B43">
            <v>24.295632895188749</v>
          </cell>
          <cell r="C43">
            <v>795</v>
          </cell>
          <cell r="D43">
            <v>9.7182531580755018</v>
          </cell>
          <cell r="E43">
            <v>9.7182531580755001</v>
          </cell>
          <cell r="F43">
            <v>57.214284093928782</v>
          </cell>
          <cell r="G43">
            <v>1</v>
          </cell>
          <cell r="H43">
            <v>-60.396821345933063</v>
          </cell>
          <cell r="I43">
            <v>590.27777777777771</v>
          </cell>
          <cell r="J43">
            <v>1286.6649175814446</v>
          </cell>
          <cell r="K43">
            <v>48.133466552315255</v>
          </cell>
        </row>
        <row r="44">
          <cell r="B44">
            <v>18.49000654084097</v>
          </cell>
          <cell r="C44">
            <v>790</v>
          </cell>
          <cell r="D44">
            <v>12.018504251546632</v>
          </cell>
          <cell r="E44">
            <v>12.018504251546631</v>
          </cell>
          <cell r="F44">
            <v>81.814786280871047</v>
          </cell>
          <cell r="G44">
            <v>1</v>
          </cell>
          <cell r="H44">
            <v>-47.236423338092202</v>
          </cell>
          <cell r="I44">
            <v>341.88034188034186</v>
          </cell>
          <cell r="J44">
            <v>863.75832225409408</v>
          </cell>
          <cell r="K44">
            <v>38.313094471012349</v>
          </cell>
        </row>
        <row r="45">
          <cell r="B45">
            <v>18.633899812498246</v>
          </cell>
          <cell r="C45">
            <v>785</v>
          </cell>
          <cell r="D45">
            <v>11.180339887498949</v>
          </cell>
          <cell r="E45">
            <v>11.180339887498947</v>
          </cell>
          <cell r="F45">
            <v>72.360679774997891</v>
          </cell>
          <cell r="G45">
            <v>1</v>
          </cell>
          <cell r="H45">
            <v>-44.212244069440928</v>
          </cell>
          <cell r="I45">
            <v>347.22222222222223</v>
          </cell>
          <cell r="J45">
            <v>565.83363676692557</v>
          </cell>
          <cell r="K45">
            <v>33.999750967545438</v>
          </cell>
        </row>
        <row r="46">
          <cell r="B46">
            <v>18.802535827258872</v>
          </cell>
          <cell r="C46">
            <v>780</v>
          </cell>
          <cell r="D46">
            <v>10.34139470499238</v>
          </cell>
          <cell r="E46">
            <v>10.34139470499238</v>
          </cell>
          <cell r="F46">
            <v>63.460567187762543</v>
          </cell>
          <cell r="G46">
            <v>1</v>
          </cell>
          <cell r="H46">
            <v>-44.675778725224824</v>
          </cell>
          <cell r="I46">
            <v>353.53535353535347</v>
          </cell>
          <cell r="J46">
            <v>581.7837905638371</v>
          </cell>
          <cell r="K46">
            <v>34.397986693934385</v>
          </cell>
        </row>
        <row r="47">
          <cell r="B47">
            <v>15.515822270854379</v>
          </cell>
          <cell r="C47">
            <v>775</v>
          </cell>
          <cell r="D47">
            <v>11.636866703140786</v>
          </cell>
          <cell r="E47">
            <v>11.636866703140784</v>
          </cell>
          <cell r="F47">
            <v>77.440400072948236</v>
          </cell>
          <cell r="G47">
            <v>1</v>
          </cell>
          <cell r="H47">
            <v>-38.253866763930979</v>
          </cell>
          <cell r="I47">
            <v>240.74074074074076</v>
          </cell>
          <cell r="J47">
            <v>500.39535942962016</v>
          </cell>
          <cell r="K47">
            <v>30.311692648816297</v>
          </cell>
        </row>
        <row r="48">
          <cell r="B48">
            <v>19.245008972987527</v>
          </cell>
          <cell r="C48">
            <v>770</v>
          </cell>
          <cell r="D48">
            <v>8.6602540378443873</v>
          </cell>
          <cell r="E48">
            <v>8.6602540378443873</v>
          </cell>
          <cell r="F48">
            <v>47.320508075688778</v>
          </cell>
          <cell r="G48">
            <v>1</v>
          </cell>
          <cell r="H48">
            <v>-45.897425353382467</v>
          </cell>
          <cell r="I48">
            <v>370.37037037037038</v>
          </cell>
          <cell r="J48">
            <v>625.09217258783406</v>
          </cell>
          <cell r="K48">
            <v>35.449634368588931</v>
          </cell>
        </row>
        <row r="49">
          <cell r="B49">
            <v>14.773421007131972</v>
          </cell>
          <cell r="C49">
            <v>765</v>
          </cell>
          <cell r="D49">
            <v>10.34139470499238</v>
          </cell>
          <cell r="E49">
            <v>10.34139470499238</v>
          </cell>
          <cell r="F49">
            <v>63.460567187762535</v>
          </cell>
          <cell r="G49">
            <v>1</v>
          </cell>
          <cell r="H49">
            <v>-36.094461061882988</v>
          </cell>
          <cell r="I49">
            <v>218.25396825396825</v>
          </cell>
          <cell r="J49">
            <v>429.79424633191411</v>
          </cell>
          <cell r="K49">
            <v>28.412970330057547</v>
          </cell>
        </row>
        <row r="50">
          <cell r="B50">
            <v>16.666666666666668</v>
          </cell>
          <cell r="C50">
            <v>760</v>
          </cell>
          <cell r="D50">
            <v>8.3333333333333321</v>
          </cell>
          <cell r="E50">
            <v>8.3333333333333339</v>
          </cell>
          <cell r="F50">
            <v>44.44444444444445</v>
          </cell>
          <cell r="G50">
            <v>1</v>
          </cell>
          <cell r="H50">
            <v>-38.8888888888889</v>
          </cell>
          <cell r="I50">
            <v>277.77777777777777</v>
          </cell>
          <cell r="J50">
            <v>401.23456790123555</v>
          </cell>
          <cell r="K50">
            <v>29.459864654066656</v>
          </cell>
        </row>
        <row r="51">
          <cell r="B51">
            <v>17.677669529663689</v>
          </cell>
          <cell r="C51">
            <v>755</v>
          </cell>
          <cell r="D51">
            <v>7.0710678118654746</v>
          </cell>
          <cell r="E51">
            <v>7.0710678118654755</v>
          </cell>
          <cell r="F51">
            <v>34.142135623730951</v>
          </cell>
          <cell r="G51">
            <v>1</v>
          </cell>
          <cell r="H51">
            <v>-41.605339059327378</v>
          </cell>
          <cell r="I51">
            <v>312.5</v>
          </cell>
          <cell r="J51">
            <v>481.00423824159225</v>
          </cell>
          <cell r="K51">
            <v>31.768573941083574</v>
          </cell>
        </row>
        <row r="52">
          <cell r="B52">
            <v>13.608276348795433</v>
          </cell>
          <cell r="C52">
            <v>750</v>
          </cell>
          <cell r="D52">
            <v>8.1649658092772608</v>
          </cell>
          <cell r="E52">
            <v>8.164965809277259</v>
          </cell>
          <cell r="F52">
            <v>42.996598285221182</v>
          </cell>
          <cell r="G52">
            <v>1</v>
          </cell>
          <cell r="H52">
            <v>-30.920256401294562</v>
          </cell>
          <cell r="I52">
            <v>185.18518518518519</v>
          </cell>
          <cell r="J52">
            <v>215.32151518105661</v>
          </cell>
          <cell r="K52">
            <v>22.797047090430929</v>
          </cell>
        </row>
        <row r="53">
          <cell r="B53">
            <v>11.385500851066221</v>
          </cell>
          <cell r="C53">
            <v>745</v>
          </cell>
          <cell r="D53">
            <v>8.5391256382996641</v>
          </cell>
          <cell r="E53">
            <v>8.5391256382996659</v>
          </cell>
          <cell r="F53">
            <v>46.244917943265996</v>
          </cell>
          <cell r="G53">
            <v>1</v>
          </cell>
          <cell r="H53">
            <v>-26.659890591021327</v>
          </cell>
          <cell r="I53">
            <v>129.62962962962962</v>
          </cell>
          <cell r="J53">
            <v>192.23124780670901</v>
          </cell>
          <cell r="K53">
            <v>20.262319488503799</v>
          </cell>
        </row>
        <row r="54">
          <cell r="B54">
            <v>12.909944487358057</v>
          </cell>
          <cell r="C54">
            <v>740</v>
          </cell>
          <cell r="D54">
            <v>6.4549722436790287</v>
          </cell>
          <cell r="E54">
            <v>6.4549722436790287</v>
          </cell>
          <cell r="F54">
            <v>29.576611154024725</v>
          </cell>
          <cell r="G54">
            <v>1</v>
          </cell>
          <cell r="H54">
            <v>-29.15322230804945</v>
          </cell>
          <cell r="I54">
            <v>166.66666666666669</v>
          </cell>
          <cell r="J54">
            <v>183.24370427588542</v>
          </cell>
          <cell r="K54">
            <v>21.344988069428545</v>
          </cell>
        </row>
        <row r="55">
          <cell r="B55">
            <v>11.891767800211262</v>
          </cell>
          <cell r="C55">
            <v>735</v>
          </cell>
          <cell r="D55">
            <v>6.5404722901161954</v>
          </cell>
          <cell r="E55">
            <v>6.5404722901161945</v>
          </cell>
          <cell r="F55">
            <v>30.192055691343501</v>
          </cell>
          <cell r="G55">
            <v>1</v>
          </cell>
          <cell r="H55">
            <v>-26.611818428705355</v>
          </cell>
          <cell r="I55">
            <v>141.41414141414143</v>
          </cell>
          <cell r="J55">
            <v>142.53231442581625</v>
          </cell>
          <cell r="K55">
            <v>19.275254120324696</v>
          </cell>
        </row>
        <row r="56">
          <cell r="B56">
            <v>12.668615834434865</v>
          </cell>
          <cell r="C56">
            <v>730</v>
          </cell>
          <cell r="D56">
            <v>5.7008771254956896</v>
          </cell>
          <cell r="E56">
            <v>5.7008771254956896</v>
          </cell>
          <cell r="F56">
            <v>24.401754250991381</v>
          </cell>
          <cell r="G56">
            <v>1</v>
          </cell>
          <cell r="H56">
            <v>-28.54710821207961</v>
          </cell>
          <cell r="I56">
            <v>160.49382716049379</v>
          </cell>
          <cell r="J56">
            <v>172.962078630208</v>
          </cell>
          <cell r="K56">
            <v>20.849306508430882</v>
          </cell>
        </row>
        <row r="57">
          <cell r="B57">
            <v>9.7590007294853311</v>
          </cell>
          <cell r="C57">
            <v>725</v>
          </cell>
          <cell r="D57">
            <v>6.831300510639732</v>
          </cell>
          <cell r="E57">
            <v>6.8313005106397311</v>
          </cell>
          <cell r="F57">
            <v>32.329267687946128</v>
          </cell>
          <cell r="G57">
            <v>1</v>
          </cell>
          <cell r="H57">
            <v>-22.37514431611352</v>
          </cell>
          <cell r="I57">
            <v>95.238095238095227</v>
          </cell>
          <cell r="J57">
            <v>119.69470221452627</v>
          </cell>
          <cell r="K57">
            <v>16.657825859086682</v>
          </cell>
        </row>
        <row r="58">
          <cell r="B58">
            <v>11.055415967851333</v>
          </cell>
          <cell r="C58">
            <v>720</v>
          </cell>
          <cell r="D58">
            <v>5.5277079839256666</v>
          </cell>
          <cell r="E58">
            <v>5.5277079839256666</v>
          </cell>
          <cell r="F58">
            <v>23.277638190073557</v>
          </cell>
          <cell r="G58">
            <v>1</v>
          </cell>
          <cell r="H58">
            <v>-24.555276380147113</v>
          </cell>
          <cell r="I58">
            <v>122.22222222222223</v>
          </cell>
          <cell r="J58">
            <v>114.07270921652184</v>
          </cell>
          <cell r="K58">
            <v>17.617879505232494</v>
          </cell>
        </row>
        <row r="59">
          <cell r="B59">
            <v>11.785113019775793</v>
          </cell>
          <cell r="C59">
            <v>715</v>
          </cell>
          <cell r="D59">
            <v>4.714045207910317</v>
          </cell>
          <cell r="E59">
            <v>4.714045207910317</v>
          </cell>
          <cell r="F59">
            <v>18.316979304709523</v>
          </cell>
          <cell r="G59">
            <v>1</v>
          </cell>
          <cell r="H59">
            <v>-26.34800381732936</v>
          </cell>
          <cell r="I59">
            <v>138.88888888888889</v>
          </cell>
          <cell r="J59">
            <v>138.661749602447</v>
          </cell>
          <cell r="K59">
            <v>19.061738095061941</v>
          </cell>
        </row>
        <row r="60">
          <cell r="B60">
            <v>8.7705801930702911</v>
          </cell>
          <cell r="C60">
            <v>710</v>
          </cell>
          <cell r="D60">
            <v>5.7008771254956905</v>
          </cell>
          <cell r="E60">
            <v>5.7008771254956896</v>
          </cell>
          <cell r="F60">
            <v>24.401754250991381</v>
          </cell>
          <cell r="G60">
            <v>1</v>
          </cell>
          <cell r="H60">
            <v>-19.848852693832892</v>
          </cell>
          <cell r="I60">
            <v>76.92307692307692</v>
          </cell>
          <cell r="J60">
            <v>86.284645569169584</v>
          </cell>
          <cell r="K60">
            <v>14.568902785902051</v>
          </cell>
        </row>
        <row r="61">
          <cell r="B61">
            <v>8.6066296582387043</v>
          </cell>
          <cell r="C61">
            <v>705</v>
          </cell>
          <cell r="D61">
            <v>5.1639777949432224</v>
          </cell>
          <cell r="E61">
            <v>5.1639777949432224</v>
          </cell>
          <cell r="F61">
            <v>20.994622256553111</v>
          </cell>
          <cell r="G61">
            <v>1</v>
          </cell>
          <cell r="H61">
            <v>-18.69474079795889</v>
          </cell>
          <cell r="I61">
            <v>74.074074074074076</v>
          </cell>
          <cell r="J61">
            <v>53.197037206572247</v>
          </cell>
          <cell r="K61">
            <v>12.994185352009426</v>
          </cell>
        </row>
        <row r="62">
          <cell r="B62">
            <v>8.4087496518252181</v>
          </cell>
          <cell r="C62">
            <v>700</v>
          </cell>
          <cell r="D62">
            <v>4.624812308503869</v>
          </cell>
          <cell r="E62">
            <v>4.6248123085038699</v>
          </cell>
          <cell r="F62">
            <v>17.805180172563293</v>
          </cell>
          <cell r="G62">
            <v>1</v>
          </cell>
          <cell r="H62">
            <v>-18.231640717791844</v>
          </cell>
          <cell r="I62">
            <v>70.707070707070713</v>
          </cell>
          <cell r="J62">
            <v>49.564440434362666</v>
          </cell>
          <cell r="K62">
            <v>12.635921225148289</v>
          </cell>
        </row>
        <row r="63">
          <cell r="B63">
            <v>6.6666666666666661</v>
          </cell>
          <cell r="C63">
            <v>695</v>
          </cell>
          <cell r="D63">
            <v>5</v>
          </cell>
          <cell r="E63">
            <v>5</v>
          </cell>
          <cell r="F63">
            <v>20</v>
          </cell>
          <cell r="G63">
            <v>1</v>
          </cell>
          <cell r="H63">
            <v>-14.666666666666666</v>
          </cell>
          <cell r="I63">
            <v>44.444444444444436</v>
          </cell>
          <cell r="J63">
            <v>37.333333333333343</v>
          </cell>
          <cell r="K63">
            <v>10.388383796637227</v>
          </cell>
        </row>
        <row r="64">
          <cell r="B64">
            <v>7.8567420131838608</v>
          </cell>
          <cell r="C64">
            <v>690</v>
          </cell>
          <cell r="D64">
            <v>3.5355339059327382</v>
          </cell>
          <cell r="E64">
            <v>3.5355339059327373</v>
          </cell>
          <cell r="F64">
            <v>12.071067811865476</v>
          </cell>
          <cell r="G64">
            <v>1</v>
          </cell>
          <cell r="H64">
            <v>-16.94805192760229</v>
          </cell>
          <cell r="I64">
            <v>61.728395061728392</v>
          </cell>
          <cell r="J64">
            <v>40.322883893790106</v>
          </cell>
          <cell r="K64">
            <v>11.649041077693916</v>
          </cell>
        </row>
        <row r="65">
          <cell r="B65">
            <v>5.9761430466719681</v>
          </cell>
          <cell r="C65">
            <v>685</v>
          </cell>
          <cell r="D65">
            <v>4.1833001326703778</v>
          </cell>
          <cell r="E65">
            <v>4.1833001326703778</v>
          </cell>
          <cell r="F65">
            <v>15.366600265340757</v>
          </cell>
          <cell r="G65">
            <v>1</v>
          </cell>
          <cell r="H65">
            <v>-13.023714664772511</v>
          </cell>
          <cell r="I65">
            <v>35.714285714285715</v>
          </cell>
          <cell r="J65">
            <v>26.760000812267691</v>
          </cell>
          <cell r="K65">
            <v>9.0983608029168721</v>
          </cell>
        </row>
        <row r="66">
          <cell r="B66">
            <v>6.666666666666667</v>
          </cell>
          <cell r="C66">
            <v>680</v>
          </cell>
          <cell r="D66">
            <v>3.333333333333333</v>
          </cell>
          <cell r="E66">
            <v>3.3333333333333335</v>
          </cell>
          <cell r="F66">
            <v>11.111111111111111</v>
          </cell>
          <cell r="G66">
            <v>1</v>
          </cell>
          <cell r="H66">
            <v>-14.222222222222221</v>
          </cell>
          <cell r="I66">
            <v>44.444444444444443</v>
          </cell>
          <cell r="J66">
            <v>24.493827160493822</v>
          </cell>
          <cell r="K66">
            <v>9.585673050146676</v>
          </cell>
        </row>
        <row r="67">
          <cell r="B67">
            <v>6.9721668877839633</v>
          </cell>
          <cell r="C67">
            <v>675</v>
          </cell>
          <cell r="D67">
            <v>2.7888667551135851</v>
          </cell>
          <cell r="E67">
            <v>2.7888667551135855</v>
          </cell>
          <cell r="F67">
            <v>8.6888446213382817</v>
          </cell>
          <cell r="G67">
            <v>1</v>
          </cell>
          <cell r="H67">
            <v>-14.916555997790148</v>
          </cell>
          <cell r="I67">
            <v>48.611111111111114</v>
          </cell>
          <cell r="J67">
            <v>28.059198390764777</v>
          </cell>
          <cell r="K67">
            <v>10.106824694290719</v>
          </cell>
        </row>
        <row r="68">
          <cell r="B68">
            <v>5.0636968354183329</v>
          </cell>
          <cell r="C68">
            <v>670</v>
          </cell>
          <cell r="D68">
            <v>3.2914029430219163</v>
          </cell>
          <cell r="E68">
            <v>3.2914029430219167</v>
          </cell>
          <cell r="F68">
            <v>10.916139219377166</v>
          </cell>
          <cell r="G68">
            <v>1</v>
          </cell>
          <cell r="H68">
            <v>-10.896624440067436</v>
          </cell>
          <cell r="I68">
            <v>25.641025641025635</v>
          </cell>
          <cell r="J68">
            <v>16.172321623772419</v>
          </cell>
          <cell r="K68">
            <v>7.459053477864547</v>
          </cell>
        </row>
        <row r="69">
          <cell r="B69">
            <v>4.8112522432468818</v>
          </cell>
          <cell r="C69">
            <v>665</v>
          </cell>
          <cell r="D69">
            <v>2.8867513459481287</v>
          </cell>
          <cell r="E69">
            <v>2.8867513459481291</v>
          </cell>
          <cell r="F69">
            <v>9.1068360252295903</v>
          </cell>
          <cell r="G69">
            <v>1</v>
          </cell>
          <cell r="H69">
            <v>-10.085467449456726</v>
          </cell>
          <cell r="I69">
            <v>23.148148148148149</v>
          </cell>
          <cell r="J69">
            <v>9.1240610814585494</v>
          </cell>
          <cell r="K69">
            <v>6.5530367639773202</v>
          </cell>
        </row>
        <row r="70">
          <cell r="B70">
            <v>4.7673129462279613</v>
          </cell>
          <cell r="C70">
            <v>660</v>
          </cell>
          <cell r="D70">
            <v>2.6220221204253789</v>
          </cell>
          <cell r="E70">
            <v>2.6220221204253789</v>
          </cell>
          <cell r="F70">
            <v>7.9940442408507586</v>
          </cell>
          <cell r="G70">
            <v>1</v>
          </cell>
          <cell r="H70">
            <v>-9.9891713470013777</v>
          </cell>
          <cell r="I70">
            <v>22.727272727272727</v>
          </cell>
          <cell r="J70">
            <v>8.8744532906624158</v>
          </cell>
          <cell r="K70">
            <v>6.4840867049422934</v>
          </cell>
        </row>
      </sheetData>
      <sheetData sheetId="2">
        <row r="2">
          <cell r="B2">
            <v>3.2659863237109037</v>
          </cell>
        </row>
        <row r="3">
          <cell r="B3">
            <v>0.2672612419124244</v>
          </cell>
        </row>
        <row r="4">
          <cell r="B4">
            <v>3.6115755925730761</v>
          </cell>
        </row>
        <row r="5">
          <cell r="B5">
            <v>3.2659863237109046</v>
          </cell>
        </row>
        <row r="6">
          <cell r="B6">
            <v>4.0451991747794525</v>
          </cell>
        </row>
        <row r="7">
          <cell r="B7">
            <v>3.9015365325741302</v>
          </cell>
        </row>
        <row r="8">
          <cell r="B8">
            <v>4.3643578047198472</v>
          </cell>
        </row>
        <row r="9">
          <cell r="B9">
            <v>3.5416880166057321</v>
          </cell>
        </row>
        <row r="10">
          <cell r="B10">
            <v>4.2426406871192857</v>
          </cell>
        </row>
        <row r="11">
          <cell r="B11">
            <v>4.8038446141526139</v>
          </cell>
        </row>
        <row r="12">
          <cell r="B12">
            <v>3.8177085778546664</v>
          </cell>
        </row>
        <row r="13">
          <cell r="B13">
            <v>4.026936331284146</v>
          </cell>
        </row>
        <row r="14">
          <cell r="B14">
            <v>4.2640143271122088</v>
          </cell>
        </row>
        <row r="15">
          <cell r="B15">
            <v>3.7032803990902061</v>
          </cell>
        </row>
        <row r="16">
          <cell r="B16">
            <v>4.8507125007266589</v>
          </cell>
        </row>
        <row r="17">
          <cell r="B17">
            <v>3.9477101697586146</v>
          </cell>
        </row>
        <row r="18">
          <cell r="B18">
            <v>4.7434164902525691</v>
          </cell>
        </row>
        <row r="19">
          <cell r="B19">
            <v>5.3881590608032468</v>
          </cell>
        </row>
        <row r="20">
          <cell r="B20">
            <v>4.4721359549995787</v>
          </cell>
        </row>
        <row r="21">
          <cell r="B21">
            <v>4.0683810217248624</v>
          </cell>
        </row>
        <row r="22">
          <cell r="B22">
            <v>5.0709255283710988</v>
          </cell>
        </row>
        <row r="23">
          <cell r="B23">
            <v>4.9236596391733087</v>
          </cell>
        </row>
        <row r="24">
          <cell r="B24">
            <v>5.547001962252291</v>
          </cell>
        </row>
        <row r="25">
          <cell r="B25">
            <v>4.5355736761107268</v>
          </cell>
        </row>
        <row r="26">
          <cell r="B26">
            <v>5.4772255750516612</v>
          </cell>
        </row>
        <row r="27">
          <cell r="B27">
            <v>6.2554324217122419</v>
          </cell>
        </row>
        <row r="28">
          <cell r="B28">
            <v>5.0174520600425447</v>
          </cell>
        </row>
        <row r="29">
          <cell r="B29">
            <v>5.3452248382484884</v>
          </cell>
        </row>
        <row r="30">
          <cell r="B30">
            <v>5.7207755354735541</v>
          </cell>
        </row>
        <row r="31">
          <cell r="B31">
            <v>5.0262468995003458</v>
          </cell>
        </row>
        <row r="32">
          <cell r="B32">
            <v>6.666666666666667</v>
          </cell>
        </row>
        <row r="33">
          <cell r="B33">
            <v>5.5001909821692685</v>
          </cell>
        </row>
        <row r="34">
          <cell r="B34">
            <v>6.7082039324993685</v>
          </cell>
        </row>
        <row r="35">
          <cell r="B35">
            <v>7.745966692414834</v>
          </cell>
        </row>
        <row r="36">
          <cell r="B36">
            <v>6.5465367070797713</v>
          </cell>
        </row>
        <row r="37">
          <cell r="B37">
            <v>6.0764362025019993</v>
          </cell>
        </row>
        <row r="38">
          <cell r="B38">
            <v>7.745966692414834</v>
          </cell>
        </row>
        <row r="39">
          <cell r="B39">
            <v>7.7138921583987008</v>
          </cell>
        </row>
        <row r="40">
          <cell r="B40">
            <v>8.9442719099991592</v>
          </cell>
        </row>
        <row r="41">
          <cell r="B41">
            <v>7.3576720738195895</v>
          </cell>
        </row>
        <row r="42">
          <cell r="B42">
            <v>8.9442719099991592</v>
          </cell>
        </row>
        <row r="43">
          <cell r="B43">
            <v>10.289915108550529</v>
          </cell>
        </row>
        <row r="44">
          <cell r="B44">
            <v>8.3205029433784361</v>
          </cell>
        </row>
        <row r="45">
          <cell r="B45">
            <v>8.9442719099991574</v>
          </cell>
        </row>
        <row r="46">
          <cell r="B46">
            <v>9.6698755683045636</v>
          </cell>
        </row>
        <row r="47">
          <cell r="B47">
            <v>8.5933784884731939</v>
          </cell>
        </row>
        <row r="48">
          <cell r="B48">
            <v>11.547005383792516</v>
          </cell>
        </row>
        <row r="49">
          <cell r="B49">
            <v>9.6698755683045636</v>
          </cell>
        </row>
        <row r="50">
          <cell r="B50">
            <v>12.000000000000002</v>
          </cell>
        </row>
        <row r="51">
          <cell r="B51">
            <v>14.142135623730951</v>
          </cell>
        </row>
        <row r="52">
          <cell r="B52">
            <v>12.24744871391589</v>
          </cell>
        </row>
        <row r="53">
          <cell r="B53">
            <v>11.710800875382398</v>
          </cell>
        </row>
        <row r="54">
          <cell r="B54">
            <v>15.491933384829668</v>
          </cell>
        </row>
        <row r="55">
          <cell r="B55">
            <v>15.289415743128766</v>
          </cell>
        </row>
        <row r="56">
          <cell r="B56">
            <v>17.541160386140582</v>
          </cell>
        </row>
        <row r="57">
          <cell r="B57">
            <v>14.638501094227998</v>
          </cell>
        </row>
        <row r="58">
          <cell r="B58">
            <v>18.090680674665816</v>
          </cell>
        </row>
        <row r="59">
          <cell r="B59">
            <v>21.213203435596427</v>
          </cell>
        </row>
        <row r="60">
          <cell r="B60">
            <v>17.541160386140582</v>
          </cell>
        </row>
        <row r="61">
          <cell r="B61">
            <v>19.364916731037084</v>
          </cell>
        </row>
        <row r="62">
          <cell r="B62">
            <v>21.622499104693418</v>
          </cell>
        </row>
        <row r="63">
          <cell r="B63">
            <v>20</v>
          </cell>
        </row>
        <row r="64">
          <cell r="B64">
            <v>28.284271247461898</v>
          </cell>
        </row>
        <row r="65">
          <cell r="B65">
            <v>23.904572186687872</v>
          </cell>
        </row>
        <row r="66">
          <cell r="B66">
            <v>30.000000000000004</v>
          </cell>
        </row>
        <row r="67">
          <cell r="B67">
            <v>35.856858280031808</v>
          </cell>
        </row>
        <row r="68">
          <cell r="B68">
            <v>30.382181012509999</v>
          </cell>
        </row>
        <row r="69">
          <cell r="B69">
            <v>34.641016151377549</v>
          </cell>
        </row>
        <row r="70">
          <cell r="B70">
            <v>38.13850356982369</v>
          </cell>
        </row>
      </sheetData>
      <sheetData sheetId="3" refreshError="1"/>
    </sheetDataSet>
  </externalBook>
</externalLink>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MYLS" refreshedDate="45431.562681481482" createdVersion="8" refreshedVersion="8" minRefreshableVersion="3" recordCount="365" xr:uid="{D56E13D2-8C90-48B2-B4F7-9A2EBF08EA95}">
  <cacheSource type="worksheet">
    <worksheetSource ref="A1:I366" sheet="SalesData"/>
  </cacheSource>
  <cacheFields count="9">
    <cacheField name="Date" numFmtId="14">
      <sharedItems containsSemiMixedTypes="0" containsNonDate="0" containsDate="1" containsString="0" minDate="2022-01-01T00:00:00" maxDate="2023-01-01T00:00:00"/>
    </cacheField>
    <cacheField name="Product ID" numFmtId="0">
      <sharedItems count="20">
        <s v="Product1"/>
        <s v="Product2"/>
        <s v="Product3"/>
        <s v="Product4"/>
        <s v="Product5"/>
        <s v="Product6"/>
        <s v="Product7"/>
        <s v="Product8"/>
        <s v="Product9"/>
        <s v="Product10"/>
        <s v="Product11"/>
        <s v="Product12"/>
        <s v="Product13"/>
        <s v="Product14"/>
        <s v="Product15"/>
        <s v="Product16"/>
        <s v="Product17"/>
        <s v="Product18"/>
        <s v="Product19"/>
        <s v="Product20"/>
      </sharedItems>
    </cacheField>
    <cacheField name="Quantity Sold" numFmtId="1">
      <sharedItems containsSemiMixedTypes="0" containsString="0" containsNumber="1" containsInteger="1" minValue="5" maxValue="30"/>
    </cacheField>
    <cacheField name="Selling Price" numFmtId="169">
      <sharedItems containsSemiMixedTypes="0" containsString="0" containsNumber="1" containsInteger="1" minValue="3" maxValue="5000"/>
    </cacheField>
    <cacheField name="Purchasing Price" numFmtId="169">
      <sharedItems containsSemiMixedTypes="0" containsString="0" containsNumber="1" minValue="2.7" maxValue="4500"/>
    </cacheField>
    <cacheField name="Payment Mode" numFmtId="49">
      <sharedItems count="4">
        <s v="Credit Card"/>
        <s v="Debit Card"/>
        <s v="Cash"/>
        <s v="PayPal"/>
      </sharedItems>
    </cacheField>
    <cacheField name="Day" numFmtId="0">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Month" numFmtId="0">
      <sharedItems containsMixedTypes="1" containsNumber="1" containsInteger="1" minValue="1" maxValue="12" count="24">
        <s v="Jan"/>
        <s v="Feb"/>
        <s v="Mar"/>
        <s v="Apr"/>
        <s v="May"/>
        <s v="Jun"/>
        <s v="Jul"/>
        <s v="Aug"/>
        <s v="Sep"/>
        <s v="Oct"/>
        <s v="Nov"/>
        <s v="Dec"/>
        <n v="1" u="1"/>
        <n v="2" u="1"/>
        <n v="3" u="1"/>
        <n v="4" u="1"/>
        <n v="5" u="1"/>
        <n v="6" u="1"/>
        <n v="7" u="1"/>
        <n v="8" u="1"/>
        <n v="9" u="1"/>
        <n v="10" u="1"/>
        <n v="11" u="1"/>
        <n v="12" u="1"/>
      </sharedItems>
    </cacheField>
    <cacheField name="Year" numFmtId="0">
      <sharedItems containsSemiMixedTypes="0" containsString="0" containsNumber="1" containsInteger="1" minValue="2022" maxValue="2022"/>
    </cacheField>
  </cacheFields>
  <extLst>
    <ext xmlns:x14="http://schemas.microsoft.com/office/spreadsheetml/2009/9/main" uri="{725AE2AE-9491-48be-B2B4-4EB974FC3084}">
      <x14:pivotCacheDefinition pivotCacheId="13979674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5">
  <r>
    <d v="2022-01-01T00:00:00"/>
    <x v="0"/>
    <n v="10"/>
    <n v="3"/>
    <n v="2.7"/>
    <x v="0"/>
    <x v="0"/>
    <x v="0"/>
    <n v="2022"/>
  </r>
  <r>
    <d v="2022-01-02T00:00:00"/>
    <x v="1"/>
    <n v="15"/>
    <n v="45"/>
    <n v="40.5"/>
    <x v="1"/>
    <x v="1"/>
    <x v="0"/>
    <n v="2022"/>
  </r>
  <r>
    <d v="2022-01-03T00:00:00"/>
    <x v="2"/>
    <n v="20"/>
    <n v="90"/>
    <n v="81"/>
    <x v="0"/>
    <x v="2"/>
    <x v="0"/>
    <n v="2022"/>
  </r>
  <r>
    <d v="2022-01-04T00:00:00"/>
    <x v="3"/>
    <n v="25"/>
    <n v="35"/>
    <n v="31.5"/>
    <x v="1"/>
    <x v="3"/>
    <x v="0"/>
    <n v="2022"/>
  </r>
  <r>
    <d v="2022-01-05T00:00:00"/>
    <x v="4"/>
    <n v="30"/>
    <n v="145"/>
    <n v="130.5"/>
    <x v="2"/>
    <x v="4"/>
    <x v="0"/>
    <n v="2022"/>
  </r>
  <r>
    <d v="2022-01-06T00:00:00"/>
    <x v="5"/>
    <n v="10"/>
    <n v="125"/>
    <n v="112.5"/>
    <x v="0"/>
    <x v="5"/>
    <x v="0"/>
    <n v="2022"/>
  </r>
  <r>
    <d v="2022-01-07T00:00:00"/>
    <x v="6"/>
    <n v="5"/>
    <n v="56"/>
    <n v="50.4"/>
    <x v="3"/>
    <x v="6"/>
    <x v="0"/>
    <n v="2022"/>
  </r>
  <r>
    <d v="2022-01-08T00:00:00"/>
    <x v="7"/>
    <n v="20"/>
    <n v="34"/>
    <n v="30.6"/>
    <x v="2"/>
    <x v="7"/>
    <x v="0"/>
    <n v="2022"/>
  </r>
  <r>
    <d v="2022-01-09T00:00:00"/>
    <x v="8"/>
    <n v="15"/>
    <n v="87"/>
    <n v="78.3"/>
    <x v="1"/>
    <x v="8"/>
    <x v="0"/>
    <n v="2022"/>
  </r>
  <r>
    <d v="2022-01-10T00:00:00"/>
    <x v="9"/>
    <n v="10"/>
    <n v="120"/>
    <n v="108"/>
    <x v="2"/>
    <x v="9"/>
    <x v="0"/>
    <n v="2022"/>
  </r>
  <r>
    <d v="2022-01-11T00:00:00"/>
    <x v="10"/>
    <n v="25"/>
    <n v="148"/>
    <n v="133.19999999999999"/>
    <x v="0"/>
    <x v="10"/>
    <x v="0"/>
    <n v="2022"/>
  </r>
  <r>
    <d v="2022-01-12T00:00:00"/>
    <x v="11"/>
    <n v="30"/>
    <n v="300"/>
    <n v="270"/>
    <x v="3"/>
    <x v="11"/>
    <x v="0"/>
    <n v="2022"/>
  </r>
  <r>
    <d v="2022-01-13T00:00:00"/>
    <x v="12"/>
    <n v="10"/>
    <n v="320"/>
    <n v="288"/>
    <x v="2"/>
    <x v="12"/>
    <x v="0"/>
    <n v="2022"/>
  </r>
  <r>
    <d v="2022-01-14T00:00:00"/>
    <x v="13"/>
    <n v="20"/>
    <n v="530"/>
    <n v="477"/>
    <x v="1"/>
    <x v="13"/>
    <x v="0"/>
    <n v="2022"/>
  </r>
  <r>
    <d v="2022-01-15T00:00:00"/>
    <x v="14"/>
    <n v="5"/>
    <n v="5000"/>
    <n v="4500"/>
    <x v="2"/>
    <x v="14"/>
    <x v="0"/>
    <n v="2022"/>
  </r>
  <r>
    <d v="2022-01-16T00:00:00"/>
    <x v="15"/>
    <n v="15"/>
    <n v="650"/>
    <n v="585"/>
    <x v="0"/>
    <x v="15"/>
    <x v="0"/>
    <n v="2022"/>
  </r>
  <r>
    <d v="2022-01-17T00:00:00"/>
    <x v="16"/>
    <n v="20"/>
    <n v="640"/>
    <n v="576"/>
    <x v="1"/>
    <x v="16"/>
    <x v="0"/>
    <n v="2022"/>
  </r>
  <r>
    <d v="2022-01-18T00:00:00"/>
    <x v="17"/>
    <n v="30"/>
    <n v="360"/>
    <n v="324"/>
    <x v="2"/>
    <x v="17"/>
    <x v="0"/>
    <n v="2022"/>
  </r>
  <r>
    <d v="2022-01-19T00:00:00"/>
    <x v="18"/>
    <n v="10"/>
    <n v="540"/>
    <n v="486"/>
    <x v="0"/>
    <x v="18"/>
    <x v="0"/>
    <n v="2022"/>
  </r>
  <r>
    <d v="2022-01-20T00:00:00"/>
    <x v="19"/>
    <n v="5"/>
    <n v="400"/>
    <n v="360"/>
    <x v="3"/>
    <x v="19"/>
    <x v="0"/>
    <n v="2022"/>
  </r>
  <r>
    <d v="2022-01-21T00:00:00"/>
    <x v="0"/>
    <n v="10"/>
    <n v="3"/>
    <n v="2.7"/>
    <x v="2"/>
    <x v="20"/>
    <x v="0"/>
    <n v="2022"/>
  </r>
  <r>
    <d v="2022-01-22T00:00:00"/>
    <x v="1"/>
    <n v="15"/>
    <n v="45"/>
    <n v="40.5"/>
    <x v="1"/>
    <x v="21"/>
    <x v="0"/>
    <n v="2022"/>
  </r>
  <r>
    <d v="2022-01-23T00:00:00"/>
    <x v="2"/>
    <n v="20"/>
    <n v="90"/>
    <n v="81"/>
    <x v="2"/>
    <x v="22"/>
    <x v="0"/>
    <n v="2022"/>
  </r>
  <r>
    <d v="2022-01-24T00:00:00"/>
    <x v="3"/>
    <n v="25"/>
    <n v="35"/>
    <n v="31.5"/>
    <x v="0"/>
    <x v="23"/>
    <x v="0"/>
    <n v="2022"/>
  </r>
  <r>
    <d v="2022-01-25T00:00:00"/>
    <x v="4"/>
    <n v="30"/>
    <n v="145"/>
    <n v="130.5"/>
    <x v="3"/>
    <x v="24"/>
    <x v="0"/>
    <n v="2022"/>
  </r>
  <r>
    <d v="2022-01-26T00:00:00"/>
    <x v="5"/>
    <n v="10"/>
    <n v="125"/>
    <n v="112.5"/>
    <x v="2"/>
    <x v="25"/>
    <x v="0"/>
    <n v="2022"/>
  </r>
  <r>
    <d v="2022-01-27T00:00:00"/>
    <x v="6"/>
    <n v="5"/>
    <n v="56"/>
    <n v="50.4"/>
    <x v="1"/>
    <x v="26"/>
    <x v="0"/>
    <n v="2022"/>
  </r>
  <r>
    <d v="2022-01-28T00:00:00"/>
    <x v="7"/>
    <n v="20"/>
    <n v="34"/>
    <n v="30.6"/>
    <x v="2"/>
    <x v="27"/>
    <x v="0"/>
    <n v="2022"/>
  </r>
  <r>
    <d v="2022-01-29T00:00:00"/>
    <x v="8"/>
    <n v="15"/>
    <n v="87"/>
    <n v="78.3"/>
    <x v="0"/>
    <x v="28"/>
    <x v="0"/>
    <n v="2022"/>
  </r>
  <r>
    <d v="2022-01-30T00:00:00"/>
    <x v="9"/>
    <n v="10"/>
    <n v="120"/>
    <n v="108"/>
    <x v="3"/>
    <x v="29"/>
    <x v="0"/>
    <n v="2022"/>
  </r>
  <r>
    <d v="2022-01-31T00:00:00"/>
    <x v="10"/>
    <n v="25"/>
    <n v="148"/>
    <n v="133.19999999999999"/>
    <x v="2"/>
    <x v="30"/>
    <x v="0"/>
    <n v="2022"/>
  </r>
  <r>
    <d v="2022-02-01T00:00:00"/>
    <x v="11"/>
    <n v="30"/>
    <n v="300"/>
    <n v="270"/>
    <x v="1"/>
    <x v="0"/>
    <x v="1"/>
    <n v="2022"/>
  </r>
  <r>
    <d v="2022-02-02T00:00:00"/>
    <x v="12"/>
    <n v="10"/>
    <n v="320"/>
    <n v="288"/>
    <x v="2"/>
    <x v="1"/>
    <x v="1"/>
    <n v="2022"/>
  </r>
  <r>
    <d v="2022-02-03T00:00:00"/>
    <x v="13"/>
    <n v="20"/>
    <n v="530"/>
    <n v="477"/>
    <x v="0"/>
    <x v="2"/>
    <x v="1"/>
    <n v="2022"/>
  </r>
  <r>
    <d v="2022-02-04T00:00:00"/>
    <x v="14"/>
    <n v="5"/>
    <n v="5000"/>
    <n v="4500"/>
    <x v="3"/>
    <x v="3"/>
    <x v="1"/>
    <n v="2022"/>
  </r>
  <r>
    <d v="2022-02-05T00:00:00"/>
    <x v="15"/>
    <n v="15"/>
    <n v="650"/>
    <n v="585"/>
    <x v="2"/>
    <x v="4"/>
    <x v="1"/>
    <n v="2022"/>
  </r>
  <r>
    <d v="2022-02-06T00:00:00"/>
    <x v="16"/>
    <n v="20"/>
    <n v="640"/>
    <n v="576"/>
    <x v="0"/>
    <x v="5"/>
    <x v="1"/>
    <n v="2022"/>
  </r>
  <r>
    <d v="2022-02-07T00:00:00"/>
    <x v="17"/>
    <n v="30"/>
    <n v="360"/>
    <n v="324"/>
    <x v="3"/>
    <x v="6"/>
    <x v="1"/>
    <n v="2022"/>
  </r>
  <r>
    <d v="2022-02-08T00:00:00"/>
    <x v="18"/>
    <n v="10"/>
    <n v="540"/>
    <n v="486"/>
    <x v="1"/>
    <x v="7"/>
    <x v="1"/>
    <n v="2022"/>
  </r>
  <r>
    <d v="2022-02-09T00:00:00"/>
    <x v="19"/>
    <n v="5"/>
    <n v="400"/>
    <n v="360"/>
    <x v="0"/>
    <x v="8"/>
    <x v="1"/>
    <n v="2022"/>
  </r>
  <r>
    <d v="2022-02-10T00:00:00"/>
    <x v="0"/>
    <n v="10"/>
    <n v="3"/>
    <n v="2.7"/>
    <x v="1"/>
    <x v="9"/>
    <x v="1"/>
    <n v="2022"/>
  </r>
  <r>
    <d v="2022-02-11T00:00:00"/>
    <x v="1"/>
    <n v="15"/>
    <n v="45"/>
    <n v="40.5"/>
    <x v="2"/>
    <x v="10"/>
    <x v="1"/>
    <n v="2022"/>
  </r>
  <r>
    <d v="2022-02-12T00:00:00"/>
    <x v="2"/>
    <n v="20"/>
    <n v="90"/>
    <n v="81"/>
    <x v="0"/>
    <x v="11"/>
    <x v="1"/>
    <n v="2022"/>
  </r>
  <r>
    <d v="2022-02-13T00:00:00"/>
    <x v="3"/>
    <n v="25"/>
    <n v="35"/>
    <n v="31.5"/>
    <x v="3"/>
    <x v="12"/>
    <x v="1"/>
    <n v="2022"/>
  </r>
  <r>
    <d v="2022-02-14T00:00:00"/>
    <x v="4"/>
    <n v="30"/>
    <n v="145"/>
    <n v="130.5"/>
    <x v="2"/>
    <x v="13"/>
    <x v="1"/>
    <n v="2022"/>
  </r>
  <r>
    <d v="2022-02-15T00:00:00"/>
    <x v="5"/>
    <n v="10"/>
    <n v="125"/>
    <n v="112.5"/>
    <x v="1"/>
    <x v="14"/>
    <x v="1"/>
    <n v="2022"/>
  </r>
  <r>
    <d v="2022-02-16T00:00:00"/>
    <x v="6"/>
    <n v="5"/>
    <n v="56"/>
    <n v="50.4"/>
    <x v="1"/>
    <x v="15"/>
    <x v="1"/>
    <n v="2022"/>
  </r>
  <r>
    <d v="2022-02-17T00:00:00"/>
    <x v="7"/>
    <n v="20"/>
    <n v="34"/>
    <n v="30.6"/>
    <x v="2"/>
    <x v="16"/>
    <x v="1"/>
    <n v="2022"/>
  </r>
  <r>
    <d v="2022-02-18T00:00:00"/>
    <x v="8"/>
    <n v="15"/>
    <n v="87"/>
    <n v="78.3"/>
    <x v="0"/>
    <x v="17"/>
    <x v="1"/>
    <n v="2022"/>
  </r>
  <r>
    <d v="2022-02-19T00:00:00"/>
    <x v="9"/>
    <n v="10"/>
    <n v="120"/>
    <n v="108"/>
    <x v="3"/>
    <x v="18"/>
    <x v="1"/>
    <n v="2022"/>
  </r>
  <r>
    <d v="2022-02-20T00:00:00"/>
    <x v="10"/>
    <n v="25"/>
    <n v="148"/>
    <n v="133.19999999999999"/>
    <x v="2"/>
    <x v="19"/>
    <x v="1"/>
    <n v="2022"/>
  </r>
  <r>
    <d v="2022-02-21T00:00:00"/>
    <x v="11"/>
    <n v="30"/>
    <n v="300"/>
    <n v="270"/>
    <x v="2"/>
    <x v="20"/>
    <x v="1"/>
    <n v="2022"/>
  </r>
  <r>
    <d v="2022-02-22T00:00:00"/>
    <x v="12"/>
    <n v="10"/>
    <n v="320"/>
    <n v="288"/>
    <x v="0"/>
    <x v="21"/>
    <x v="1"/>
    <n v="2022"/>
  </r>
  <r>
    <d v="2022-02-23T00:00:00"/>
    <x v="13"/>
    <n v="20"/>
    <n v="530"/>
    <n v="477"/>
    <x v="1"/>
    <x v="22"/>
    <x v="1"/>
    <n v="2022"/>
  </r>
  <r>
    <d v="2022-02-24T00:00:00"/>
    <x v="14"/>
    <n v="5"/>
    <n v="5000"/>
    <n v="4500"/>
    <x v="2"/>
    <x v="23"/>
    <x v="1"/>
    <n v="2022"/>
  </r>
  <r>
    <d v="2022-02-25T00:00:00"/>
    <x v="15"/>
    <n v="15"/>
    <n v="650"/>
    <n v="585"/>
    <x v="0"/>
    <x v="24"/>
    <x v="1"/>
    <n v="2022"/>
  </r>
  <r>
    <d v="2022-02-26T00:00:00"/>
    <x v="16"/>
    <n v="20"/>
    <n v="640"/>
    <n v="576"/>
    <x v="3"/>
    <x v="25"/>
    <x v="1"/>
    <n v="2022"/>
  </r>
  <r>
    <d v="2022-02-27T00:00:00"/>
    <x v="17"/>
    <n v="30"/>
    <n v="360"/>
    <n v="324"/>
    <x v="2"/>
    <x v="26"/>
    <x v="1"/>
    <n v="2022"/>
  </r>
  <r>
    <d v="2022-02-28T00:00:00"/>
    <x v="18"/>
    <n v="10"/>
    <n v="540"/>
    <n v="486"/>
    <x v="0"/>
    <x v="27"/>
    <x v="1"/>
    <n v="2022"/>
  </r>
  <r>
    <d v="2022-03-01T00:00:00"/>
    <x v="19"/>
    <n v="5"/>
    <n v="400"/>
    <n v="360"/>
    <x v="1"/>
    <x v="0"/>
    <x v="2"/>
    <n v="2022"/>
  </r>
  <r>
    <d v="2022-03-02T00:00:00"/>
    <x v="0"/>
    <n v="10"/>
    <n v="3"/>
    <n v="2.7"/>
    <x v="2"/>
    <x v="1"/>
    <x v="2"/>
    <n v="2022"/>
  </r>
  <r>
    <d v="2022-03-03T00:00:00"/>
    <x v="1"/>
    <n v="15"/>
    <n v="45"/>
    <n v="40.5"/>
    <x v="0"/>
    <x v="2"/>
    <x v="2"/>
    <n v="2022"/>
  </r>
  <r>
    <d v="2022-03-04T00:00:00"/>
    <x v="2"/>
    <n v="20"/>
    <n v="90"/>
    <n v="81"/>
    <x v="3"/>
    <x v="3"/>
    <x v="2"/>
    <n v="2022"/>
  </r>
  <r>
    <d v="2022-03-05T00:00:00"/>
    <x v="3"/>
    <n v="25"/>
    <n v="35"/>
    <n v="31.5"/>
    <x v="2"/>
    <x v="4"/>
    <x v="2"/>
    <n v="2022"/>
  </r>
  <r>
    <d v="2022-03-06T00:00:00"/>
    <x v="4"/>
    <n v="30"/>
    <n v="145"/>
    <n v="130.5"/>
    <x v="1"/>
    <x v="5"/>
    <x v="2"/>
    <n v="2022"/>
  </r>
  <r>
    <d v="2022-03-07T00:00:00"/>
    <x v="5"/>
    <n v="10"/>
    <n v="125"/>
    <n v="112.5"/>
    <x v="0"/>
    <x v="6"/>
    <x v="2"/>
    <n v="2022"/>
  </r>
  <r>
    <d v="2022-03-08T00:00:00"/>
    <x v="6"/>
    <n v="5"/>
    <n v="56"/>
    <n v="50.4"/>
    <x v="2"/>
    <x v="7"/>
    <x v="2"/>
    <n v="2022"/>
  </r>
  <r>
    <d v="2022-03-09T00:00:00"/>
    <x v="7"/>
    <n v="20"/>
    <n v="34"/>
    <n v="30.6"/>
    <x v="2"/>
    <x v="8"/>
    <x v="2"/>
    <n v="2022"/>
  </r>
  <r>
    <d v="2022-03-10T00:00:00"/>
    <x v="8"/>
    <n v="15"/>
    <n v="87"/>
    <n v="78.3"/>
    <x v="0"/>
    <x v="9"/>
    <x v="2"/>
    <n v="2022"/>
  </r>
  <r>
    <d v="2022-03-11T00:00:00"/>
    <x v="9"/>
    <n v="10"/>
    <n v="120"/>
    <n v="108"/>
    <x v="1"/>
    <x v="10"/>
    <x v="2"/>
    <n v="2022"/>
  </r>
  <r>
    <d v="2022-03-12T00:00:00"/>
    <x v="10"/>
    <n v="25"/>
    <n v="148"/>
    <n v="133.19999999999999"/>
    <x v="2"/>
    <x v="11"/>
    <x v="2"/>
    <n v="2022"/>
  </r>
  <r>
    <d v="2022-03-13T00:00:00"/>
    <x v="11"/>
    <n v="30"/>
    <n v="300"/>
    <n v="270"/>
    <x v="0"/>
    <x v="12"/>
    <x v="2"/>
    <n v="2022"/>
  </r>
  <r>
    <d v="2022-03-14T00:00:00"/>
    <x v="12"/>
    <n v="10"/>
    <n v="320"/>
    <n v="288"/>
    <x v="3"/>
    <x v="13"/>
    <x v="2"/>
    <n v="2022"/>
  </r>
  <r>
    <d v="2022-03-15T00:00:00"/>
    <x v="13"/>
    <n v="20"/>
    <n v="530"/>
    <n v="477"/>
    <x v="2"/>
    <x v="14"/>
    <x v="2"/>
    <n v="2022"/>
  </r>
  <r>
    <d v="2022-03-16T00:00:00"/>
    <x v="14"/>
    <n v="5"/>
    <n v="5000"/>
    <n v="4500"/>
    <x v="1"/>
    <x v="15"/>
    <x v="2"/>
    <n v="2022"/>
  </r>
  <r>
    <d v="2022-03-17T00:00:00"/>
    <x v="15"/>
    <n v="15"/>
    <n v="650"/>
    <n v="585"/>
    <x v="1"/>
    <x v="16"/>
    <x v="2"/>
    <n v="2022"/>
  </r>
  <r>
    <d v="2022-03-18T00:00:00"/>
    <x v="16"/>
    <n v="20"/>
    <n v="640"/>
    <n v="576"/>
    <x v="2"/>
    <x v="17"/>
    <x v="2"/>
    <n v="2022"/>
  </r>
  <r>
    <d v="2022-03-19T00:00:00"/>
    <x v="17"/>
    <n v="30"/>
    <n v="360"/>
    <n v="324"/>
    <x v="0"/>
    <x v="18"/>
    <x v="2"/>
    <n v="2022"/>
  </r>
  <r>
    <d v="2022-03-20T00:00:00"/>
    <x v="18"/>
    <n v="10"/>
    <n v="540"/>
    <n v="486"/>
    <x v="3"/>
    <x v="19"/>
    <x v="2"/>
    <n v="2022"/>
  </r>
  <r>
    <d v="2022-03-21T00:00:00"/>
    <x v="19"/>
    <n v="5"/>
    <n v="400"/>
    <n v="360"/>
    <x v="2"/>
    <x v="20"/>
    <x v="2"/>
    <n v="2022"/>
  </r>
  <r>
    <d v="2022-03-22T00:00:00"/>
    <x v="0"/>
    <n v="10"/>
    <n v="3"/>
    <n v="2.7"/>
    <x v="1"/>
    <x v="21"/>
    <x v="2"/>
    <n v="2022"/>
  </r>
  <r>
    <d v="2022-03-23T00:00:00"/>
    <x v="1"/>
    <n v="15"/>
    <n v="45"/>
    <n v="40.5"/>
    <x v="1"/>
    <x v="22"/>
    <x v="2"/>
    <n v="2022"/>
  </r>
  <r>
    <d v="2022-03-24T00:00:00"/>
    <x v="2"/>
    <n v="20"/>
    <n v="90"/>
    <n v="81"/>
    <x v="2"/>
    <x v="23"/>
    <x v="2"/>
    <n v="2022"/>
  </r>
  <r>
    <d v="2022-03-25T00:00:00"/>
    <x v="3"/>
    <n v="25"/>
    <n v="35"/>
    <n v="31.5"/>
    <x v="0"/>
    <x v="24"/>
    <x v="2"/>
    <n v="2022"/>
  </r>
  <r>
    <d v="2022-03-26T00:00:00"/>
    <x v="4"/>
    <n v="30"/>
    <n v="145"/>
    <n v="130.5"/>
    <x v="3"/>
    <x v="25"/>
    <x v="2"/>
    <n v="2022"/>
  </r>
  <r>
    <d v="2022-03-27T00:00:00"/>
    <x v="5"/>
    <n v="10"/>
    <n v="125"/>
    <n v="112.5"/>
    <x v="2"/>
    <x v="26"/>
    <x v="2"/>
    <n v="2022"/>
  </r>
  <r>
    <d v="2022-03-28T00:00:00"/>
    <x v="6"/>
    <n v="5"/>
    <n v="56"/>
    <n v="50.4"/>
    <x v="0"/>
    <x v="27"/>
    <x v="2"/>
    <n v="2022"/>
  </r>
  <r>
    <d v="2022-03-29T00:00:00"/>
    <x v="7"/>
    <n v="20"/>
    <n v="34"/>
    <n v="30.6"/>
    <x v="2"/>
    <x v="28"/>
    <x v="2"/>
    <n v="2022"/>
  </r>
  <r>
    <d v="2022-03-30T00:00:00"/>
    <x v="8"/>
    <n v="15"/>
    <n v="87"/>
    <n v="78.3"/>
    <x v="1"/>
    <x v="29"/>
    <x v="2"/>
    <n v="2022"/>
  </r>
  <r>
    <d v="2022-03-31T00:00:00"/>
    <x v="9"/>
    <n v="10"/>
    <n v="120"/>
    <n v="108"/>
    <x v="2"/>
    <x v="30"/>
    <x v="2"/>
    <n v="2022"/>
  </r>
  <r>
    <d v="2022-04-01T00:00:00"/>
    <x v="10"/>
    <n v="25"/>
    <n v="148"/>
    <n v="133.19999999999999"/>
    <x v="0"/>
    <x v="0"/>
    <x v="3"/>
    <n v="2022"/>
  </r>
  <r>
    <d v="2022-04-02T00:00:00"/>
    <x v="11"/>
    <n v="30"/>
    <n v="300"/>
    <n v="270"/>
    <x v="3"/>
    <x v="1"/>
    <x v="3"/>
    <n v="2022"/>
  </r>
  <r>
    <d v="2022-04-03T00:00:00"/>
    <x v="12"/>
    <n v="10"/>
    <n v="320"/>
    <n v="288"/>
    <x v="2"/>
    <x v="2"/>
    <x v="3"/>
    <n v="2022"/>
  </r>
  <r>
    <d v="2022-04-04T00:00:00"/>
    <x v="13"/>
    <n v="20"/>
    <n v="530"/>
    <n v="477"/>
    <x v="0"/>
    <x v="3"/>
    <x v="3"/>
    <n v="2022"/>
  </r>
  <r>
    <d v="2022-04-05T00:00:00"/>
    <x v="14"/>
    <n v="5"/>
    <n v="5000"/>
    <n v="4500"/>
    <x v="3"/>
    <x v="4"/>
    <x v="3"/>
    <n v="2022"/>
  </r>
  <r>
    <d v="2022-04-06T00:00:00"/>
    <x v="15"/>
    <n v="15"/>
    <n v="650"/>
    <n v="585"/>
    <x v="1"/>
    <x v="5"/>
    <x v="3"/>
    <n v="2022"/>
  </r>
  <r>
    <d v="2022-04-07T00:00:00"/>
    <x v="16"/>
    <n v="20"/>
    <n v="640"/>
    <n v="576"/>
    <x v="1"/>
    <x v="6"/>
    <x v="3"/>
    <n v="2022"/>
  </r>
  <r>
    <d v="2022-04-08T00:00:00"/>
    <x v="17"/>
    <n v="30"/>
    <n v="360"/>
    <n v="324"/>
    <x v="2"/>
    <x v="7"/>
    <x v="3"/>
    <n v="2022"/>
  </r>
  <r>
    <d v="2022-04-09T00:00:00"/>
    <x v="18"/>
    <n v="10"/>
    <n v="540"/>
    <n v="486"/>
    <x v="0"/>
    <x v="8"/>
    <x v="3"/>
    <n v="2022"/>
  </r>
  <r>
    <d v="2022-04-10T00:00:00"/>
    <x v="19"/>
    <n v="5"/>
    <n v="400"/>
    <n v="360"/>
    <x v="3"/>
    <x v="9"/>
    <x v="3"/>
    <n v="2022"/>
  </r>
  <r>
    <d v="2022-04-11T00:00:00"/>
    <x v="0"/>
    <n v="10"/>
    <n v="3"/>
    <n v="2.7"/>
    <x v="2"/>
    <x v="10"/>
    <x v="3"/>
    <n v="2022"/>
  </r>
  <r>
    <d v="2022-04-12T00:00:00"/>
    <x v="1"/>
    <n v="15"/>
    <n v="45"/>
    <n v="40.5"/>
    <x v="0"/>
    <x v="11"/>
    <x v="3"/>
    <n v="2022"/>
  </r>
  <r>
    <d v="2022-04-13T00:00:00"/>
    <x v="2"/>
    <n v="20"/>
    <n v="90"/>
    <n v="81"/>
    <x v="3"/>
    <x v="12"/>
    <x v="3"/>
    <n v="2022"/>
  </r>
  <r>
    <d v="2022-04-14T00:00:00"/>
    <x v="3"/>
    <n v="25"/>
    <n v="35"/>
    <n v="31.5"/>
    <x v="1"/>
    <x v="13"/>
    <x v="3"/>
    <n v="2022"/>
  </r>
  <r>
    <d v="2022-04-15T00:00:00"/>
    <x v="4"/>
    <n v="30"/>
    <n v="145"/>
    <n v="130.5"/>
    <x v="2"/>
    <x v="14"/>
    <x v="3"/>
    <n v="2022"/>
  </r>
  <r>
    <d v="2022-04-16T00:00:00"/>
    <x v="5"/>
    <n v="10"/>
    <n v="125"/>
    <n v="112.5"/>
    <x v="0"/>
    <x v="15"/>
    <x v="3"/>
    <n v="2022"/>
  </r>
  <r>
    <d v="2022-04-17T00:00:00"/>
    <x v="6"/>
    <n v="5"/>
    <n v="56"/>
    <n v="50.4"/>
    <x v="3"/>
    <x v="16"/>
    <x v="3"/>
    <n v="2022"/>
  </r>
  <r>
    <d v="2022-04-18T00:00:00"/>
    <x v="7"/>
    <n v="20"/>
    <n v="34"/>
    <n v="30.6"/>
    <x v="0"/>
    <x v="17"/>
    <x v="3"/>
    <n v="2022"/>
  </r>
  <r>
    <d v="2022-04-19T00:00:00"/>
    <x v="8"/>
    <n v="15"/>
    <n v="87"/>
    <n v="78.3"/>
    <x v="3"/>
    <x v="18"/>
    <x v="3"/>
    <n v="2022"/>
  </r>
  <r>
    <d v="2022-04-20T00:00:00"/>
    <x v="9"/>
    <n v="10"/>
    <n v="120"/>
    <n v="108"/>
    <x v="1"/>
    <x v="19"/>
    <x v="3"/>
    <n v="2022"/>
  </r>
  <r>
    <d v="2022-04-21T00:00:00"/>
    <x v="10"/>
    <n v="25"/>
    <n v="148"/>
    <n v="133.19999999999999"/>
    <x v="2"/>
    <x v="20"/>
    <x v="3"/>
    <n v="2022"/>
  </r>
  <r>
    <d v="2022-04-22T00:00:00"/>
    <x v="11"/>
    <n v="30"/>
    <n v="300"/>
    <n v="270"/>
    <x v="0"/>
    <x v="21"/>
    <x v="3"/>
    <n v="2022"/>
  </r>
  <r>
    <d v="2022-04-23T00:00:00"/>
    <x v="12"/>
    <n v="10"/>
    <n v="320"/>
    <n v="288"/>
    <x v="0"/>
    <x v="22"/>
    <x v="3"/>
    <n v="2022"/>
  </r>
  <r>
    <d v="2022-04-24T00:00:00"/>
    <x v="13"/>
    <n v="20"/>
    <n v="530"/>
    <n v="477"/>
    <x v="2"/>
    <x v="23"/>
    <x v="3"/>
    <n v="2022"/>
  </r>
  <r>
    <d v="2022-04-25T00:00:00"/>
    <x v="14"/>
    <n v="5"/>
    <n v="5000"/>
    <n v="4500"/>
    <x v="0"/>
    <x v="24"/>
    <x v="3"/>
    <n v="2022"/>
  </r>
  <r>
    <d v="2022-04-26T00:00:00"/>
    <x v="15"/>
    <n v="15"/>
    <n v="650"/>
    <n v="585"/>
    <x v="3"/>
    <x v="25"/>
    <x v="3"/>
    <n v="2022"/>
  </r>
  <r>
    <d v="2022-04-27T00:00:00"/>
    <x v="16"/>
    <n v="20"/>
    <n v="640"/>
    <n v="576"/>
    <x v="1"/>
    <x v="26"/>
    <x v="3"/>
    <n v="2022"/>
  </r>
  <r>
    <d v="2022-04-28T00:00:00"/>
    <x v="17"/>
    <n v="30"/>
    <n v="360"/>
    <n v="324"/>
    <x v="2"/>
    <x v="27"/>
    <x v="3"/>
    <n v="2022"/>
  </r>
  <r>
    <d v="2022-04-29T00:00:00"/>
    <x v="18"/>
    <n v="10"/>
    <n v="540"/>
    <n v="486"/>
    <x v="0"/>
    <x v="28"/>
    <x v="3"/>
    <n v="2022"/>
  </r>
  <r>
    <d v="2022-04-30T00:00:00"/>
    <x v="19"/>
    <n v="5"/>
    <n v="400"/>
    <n v="360"/>
    <x v="1"/>
    <x v="29"/>
    <x v="3"/>
    <n v="2022"/>
  </r>
  <r>
    <d v="2022-05-01T00:00:00"/>
    <x v="0"/>
    <n v="10"/>
    <n v="3"/>
    <n v="2.7"/>
    <x v="0"/>
    <x v="0"/>
    <x v="4"/>
    <n v="2022"/>
  </r>
  <r>
    <d v="2022-05-02T00:00:00"/>
    <x v="1"/>
    <n v="15"/>
    <n v="45"/>
    <n v="40.5"/>
    <x v="2"/>
    <x v="1"/>
    <x v="4"/>
    <n v="2022"/>
  </r>
  <r>
    <d v="2022-05-03T00:00:00"/>
    <x v="2"/>
    <n v="20"/>
    <n v="90"/>
    <n v="81"/>
    <x v="0"/>
    <x v="2"/>
    <x v="4"/>
    <n v="2022"/>
  </r>
  <r>
    <d v="2022-05-04T00:00:00"/>
    <x v="3"/>
    <n v="25"/>
    <n v="35"/>
    <n v="31.5"/>
    <x v="0"/>
    <x v="3"/>
    <x v="4"/>
    <n v="2022"/>
  </r>
  <r>
    <d v="2022-05-05T00:00:00"/>
    <x v="4"/>
    <n v="30"/>
    <n v="145"/>
    <n v="130.5"/>
    <x v="2"/>
    <x v="4"/>
    <x v="4"/>
    <n v="2022"/>
  </r>
  <r>
    <d v="2022-05-06T00:00:00"/>
    <x v="5"/>
    <n v="10"/>
    <n v="125"/>
    <n v="112.5"/>
    <x v="0"/>
    <x v="5"/>
    <x v="4"/>
    <n v="2022"/>
  </r>
  <r>
    <d v="2022-05-07T00:00:00"/>
    <x v="6"/>
    <n v="5"/>
    <n v="56"/>
    <n v="50.4"/>
    <x v="3"/>
    <x v="6"/>
    <x v="4"/>
    <n v="2022"/>
  </r>
  <r>
    <d v="2022-05-08T00:00:00"/>
    <x v="7"/>
    <n v="20"/>
    <n v="34"/>
    <n v="30.6"/>
    <x v="1"/>
    <x v="7"/>
    <x v="4"/>
    <n v="2022"/>
  </r>
  <r>
    <d v="2022-05-09T00:00:00"/>
    <x v="8"/>
    <n v="15"/>
    <n v="87"/>
    <n v="78.3"/>
    <x v="0"/>
    <x v="8"/>
    <x v="4"/>
    <n v="2022"/>
  </r>
  <r>
    <d v="2022-05-10T00:00:00"/>
    <x v="9"/>
    <n v="10"/>
    <n v="120"/>
    <n v="108"/>
    <x v="2"/>
    <x v="9"/>
    <x v="4"/>
    <n v="2022"/>
  </r>
  <r>
    <d v="2022-05-11T00:00:00"/>
    <x v="10"/>
    <n v="25"/>
    <n v="148"/>
    <n v="133.19999999999999"/>
    <x v="0"/>
    <x v="10"/>
    <x v="4"/>
    <n v="2022"/>
  </r>
  <r>
    <d v="2022-05-12T00:00:00"/>
    <x v="11"/>
    <n v="30"/>
    <n v="300"/>
    <n v="270"/>
    <x v="0"/>
    <x v="11"/>
    <x v="4"/>
    <n v="2022"/>
  </r>
  <r>
    <d v="2022-05-13T00:00:00"/>
    <x v="12"/>
    <n v="10"/>
    <n v="320"/>
    <n v="288"/>
    <x v="2"/>
    <x v="12"/>
    <x v="4"/>
    <n v="2022"/>
  </r>
  <r>
    <d v="2022-05-14T00:00:00"/>
    <x v="13"/>
    <n v="20"/>
    <n v="530"/>
    <n v="477"/>
    <x v="0"/>
    <x v="13"/>
    <x v="4"/>
    <n v="2022"/>
  </r>
  <r>
    <d v="2022-05-15T00:00:00"/>
    <x v="14"/>
    <n v="5"/>
    <n v="5000"/>
    <n v="4500"/>
    <x v="3"/>
    <x v="14"/>
    <x v="4"/>
    <n v="2022"/>
  </r>
  <r>
    <d v="2022-05-16T00:00:00"/>
    <x v="15"/>
    <n v="15"/>
    <n v="650"/>
    <n v="585"/>
    <x v="1"/>
    <x v="15"/>
    <x v="4"/>
    <n v="2022"/>
  </r>
  <r>
    <d v="2022-05-17T00:00:00"/>
    <x v="16"/>
    <n v="20"/>
    <n v="640"/>
    <n v="576"/>
    <x v="1"/>
    <x v="16"/>
    <x v="4"/>
    <n v="2022"/>
  </r>
  <r>
    <d v="2022-05-18T00:00:00"/>
    <x v="17"/>
    <n v="30"/>
    <n v="360"/>
    <n v="324"/>
    <x v="0"/>
    <x v="17"/>
    <x v="4"/>
    <n v="2022"/>
  </r>
  <r>
    <d v="2022-05-19T00:00:00"/>
    <x v="18"/>
    <n v="10"/>
    <n v="540"/>
    <n v="486"/>
    <x v="2"/>
    <x v="18"/>
    <x v="4"/>
    <n v="2022"/>
  </r>
  <r>
    <d v="2022-05-20T00:00:00"/>
    <x v="19"/>
    <n v="5"/>
    <n v="400"/>
    <n v="360"/>
    <x v="0"/>
    <x v="19"/>
    <x v="4"/>
    <n v="2022"/>
  </r>
  <r>
    <d v="2022-05-21T00:00:00"/>
    <x v="0"/>
    <n v="10"/>
    <n v="3"/>
    <n v="2.7"/>
    <x v="0"/>
    <x v="20"/>
    <x v="4"/>
    <n v="2022"/>
  </r>
  <r>
    <d v="2022-05-22T00:00:00"/>
    <x v="1"/>
    <n v="15"/>
    <n v="45"/>
    <n v="40.5"/>
    <x v="2"/>
    <x v="21"/>
    <x v="4"/>
    <n v="2022"/>
  </r>
  <r>
    <d v="2022-05-23T00:00:00"/>
    <x v="2"/>
    <n v="20"/>
    <n v="90"/>
    <n v="81"/>
    <x v="0"/>
    <x v="22"/>
    <x v="4"/>
    <n v="2022"/>
  </r>
  <r>
    <d v="2022-05-24T00:00:00"/>
    <x v="3"/>
    <n v="25"/>
    <n v="35"/>
    <n v="31.5"/>
    <x v="3"/>
    <x v="23"/>
    <x v="4"/>
    <n v="2022"/>
  </r>
  <r>
    <d v="2022-05-25T00:00:00"/>
    <x v="4"/>
    <n v="30"/>
    <n v="145"/>
    <n v="130.5"/>
    <x v="1"/>
    <x v="24"/>
    <x v="4"/>
    <n v="2022"/>
  </r>
  <r>
    <d v="2022-05-26T00:00:00"/>
    <x v="5"/>
    <n v="10"/>
    <n v="125"/>
    <n v="112.5"/>
    <x v="1"/>
    <x v="25"/>
    <x v="4"/>
    <n v="2022"/>
  </r>
  <r>
    <d v="2022-05-27T00:00:00"/>
    <x v="6"/>
    <n v="5"/>
    <n v="56"/>
    <n v="50.4"/>
    <x v="0"/>
    <x v="26"/>
    <x v="4"/>
    <n v="2022"/>
  </r>
  <r>
    <d v="2022-05-28T00:00:00"/>
    <x v="7"/>
    <n v="20"/>
    <n v="34"/>
    <n v="30.6"/>
    <x v="2"/>
    <x v="27"/>
    <x v="4"/>
    <n v="2022"/>
  </r>
  <r>
    <d v="2022-05-29T00:00:00"/>
    <x v="8"/>
    <n v="15"/>
    <n v="87"/>
    <n v="78.3"/>
    <x v="0"/>
    <x v="28"/>
    <x v="4"/>
    <n v="2022"/>
  </r>
  <r>
    <d v="2022-05-30T00:00:00"/>
    <x v="9"/>
    <n v="10"/>
    <n v="120"/>
    <n v="108"/>
    <x v="0"/>
    <x v="29"/>
    <x v="4"/>
    <n v="2022"/>
  </r>
  <r>
    <d v="2022-05-31T00:00:00"/>
    <x v="10"/>
    <n v="25"/>
    <n v="148"/>
    <n v="133.19999999999999"/>
    <x v="2"/>
    <x v="30"/>
    <x v="4"/>
    <n v="2022"/>
  </r>
  <r>
    <d v="2022-06-01T00:00:00"/>
    <x v="11"/>
    <n v="30"/>
    <n v="300"/>
    <n v="270"/>
    <x v="0"/>
    <x v="0"/>
    <x v="5"/>
    <n v="2022"/>
  </r>
  <r>
    <d v="2022-06-02T00:00:00"/>
    <x v="12"/>
    <n v="10"/>
    <n v="320"/>
    <n v="288"/>
    <x v="3"/>
    <x v="1"/>
    <x v="5"/>
    <n v="2022"/>
  </r>
  <r>
    <d v="2022-06-03T00:00:00"/>
    <x v="13"/>
    <n v="20"/>
    <n v="530"/>
    <n v="477"/>
    <x v="1"/>
    <x v="2"/>
    <x v="5"/>
    <n v="2022"/>
  </r>
  <r>
    <d v="2022-06-04T00:00:00"/>
    <x v="14"/>
    <n v="5"/>
    <n v="5000"/>
    <n v="4500"/>
    <x v="1"/>
    <x v="3"/>
    <x v="5"/>
    <n v="2022"/>
  </r>
  <r>
    <d v="2022-06-05T00:00:00"/>
    <x v="15"/>
    <n v="15"/>
    <n v="650"/>
    <n v="585"/>
    <x v="0"/>
    <x v="4"/>
    <x v="5"/>
    <n v="2022"/>
  </r>
  <r>
    <d v="2022-06-06T00:00:00"/>
    <x v="16"/>
    <n v="20"/>
    <n v="640"/>
    <n v="576"/>
    <x v="2"/>
    <x v="5"/>
    <x v="5"/>
    <n v="2022"/>
  </r>
  <r>
    <d v="2022-06-07T00:00:00"/>
    <x v="17"/>
    <n v="30"/>
    <n v="360"/>
    <n v="324"/>
    <x v="0"/>
    <x v="6"/>
    <x v="5"/>
    <n v="2022"/>
  </r>
  <r>
    <d v="2022-06-08T00:00:00"/>
    <x v="18"/>
    <n v="10"/>
    <n v="540"/>
    <n v="486"/>
    <x v="0"/>
    <x v="7"/>
    <x v="5"/>
    <n v="2022"/>
  </r>
  <r>
    <d v="2022-06-09T00:00:00"/>
    <x v="19"/>
    <n v="5"/>
    <n v="400"/>
    <n v="360"/>
    <x v="2"/>
    <x v="8"/>
    <x v="5"/>
    <n v="2022"/>
  </r>
  <r>
    <d v="2022-06-10T00:00:00"/>
    <x v="0"/>
    <n v="10"/>
    <n v="3"/>
    <n v="2.7"/>
    <x v="0"/>
    <x v="9"/>
    <x v="5"/>
    <n v="2022"/>
  </r>
  <r>
    <d v="2022-06-11T00:00:00"/>
    <x v="1"/>
    <n v="15"/>
    <n v="45"/>
    <n v="40.5"/>
    <x v="3"/>
    <x v="10"/>
    <x v="5"/>
    <n v="2022"/>
  </r>
  <r>
    <d v="2022-06-12T00:00:00"/>
    <x v="2"/>
    <n v="20"/>
    <n v="90"/>
    <n v="81"/>
    <x v="1"/>
    <x v="11"/>
    <x v="5"/>
    <n v="2022"/>
  </r>
  <r>
    <d v="2022-06-13T00:00:00"/>
    <x v="3"/>
    <n v="25"/>
    <n v="35"/>
    <n v="31.5"/>
    <x v="1"/>
    <x v="12"/>
    <x v="5"/>
    <n v="2022"/>
  </r>
  <r>
    <d v="2022-06-14T00:00:00"/>
    <x v="4"/>
    <n v="30"/>
    <n v="145"/>
    <n v="130.5"/>
    <x v="0"/>
    <x v="13"/>
    <x v="5"/>
    <n v="2022"/>
  </r>
  <r>
    <d v="2022-06-15T00:00:00"/>
    <x v="5"/>
    <n v="10"/>
    <n v="125"/>
    <n v="112.5"/>
    <x v="2"/>
    <x v="14"/>
    <x v="5"/>
    <n v="2022"/>
  </r>
  <r>
    <d v="2022-06-16T00:00:00"/>
    <x v="6"/>
    <n v="5"/>
    <n v="56"/>
    <n v="50.4"/>
    <x v="0"/>
    <x v="15"/>
    <x v="5"/>
    <n v="2022"/>
  </r>
  <r>
    <d v="2022-06-17T00:00:00"/>
    <x v="7"/>
    <n v="20"/>
    <n v="34"/>
    <n v="30.6"/>
    <x v="0"/>
    <x v="16"/>
    <x v="5"/>
    <n v="2022"/>
  </r>
  <r>
    <d v="2022-06-18T00:00:00"/>
    <x v="8"/>
    <n v="15"/>
    <n v="87"/>
    <n v="78.3"/>
    <x v="2"/>
    <x v="17"/>
    <x v="5"/>
    <n v="2022"/>
  </r>
  <r>
    <d v="2022-06-19T00:00:00"/>
    <x v="9"/>
    <n v="10"/>
    <n v="120"/>
    <n v="108"/>
    <x v="0"/>
    <x v="18"/>
    <x v="5"/>
    <n v="2022"/>
  </r>
  <r>
    <d v="2022-06-20T00:00:00"/>
    <x v="10"/>
    <n v="25"/>
    <n v="148"/>
    <n v="133.19999999999999"/>
    <x v="3"/>
    <x v="19"/>
    <x v="5"/>
    <n v="2022"/>
  </r>
  <r>
    <d v="2022-06-21T00:00:00"/>
    <x v="11"/>
    <n v="30"/>
    <n v="300"/>
    <n v="270"/>
    <x v="2"/>
    <x v="20"/>
    <x v="5"/>
    <n v="2022"/>
  </r>
  <r>
    <d v="2022-06-22T00:00:00"/>
    <x v="12"/>
    <n v="10"/>
    <n v="320"/>
    <n v="288"/>
    <x v="0"/>
    <x v="21"/>
    <x v="5"/>
    <n v="2022"/>
  </r>
  <r>
    <d v="2022-06-23T00:00:00"/>
    <x v="13"/>
    <n v="20"/>
    <n v="530"/>
    <n v="477"/>
    <x v="0"/>
    <x v="22"/>
    <x v="5"/>
    <n v="2022"/>
  </r>
  <r>
    <d v="2022-06-24T00:00:00"/>
    <x v="14"/>
    <n v="5"/>
    <n v="5000"/>
    <n v="4500"/>
    <x v="2"/>
    <x v="23"/>
    <x v="5"/>
    <n v="2022"/>
  </r>
  <r>
    <d v="2022-06-25T00:00:00"/>
    <x v="15"/>
    <n v="15"/>
    <n v="650"/>
    <n v="585"/>
    <x v="0"/>
    <x v="24"/>
    <x v="5"/>
    <n v="2022"/>
  </r>
  <r>
    <d v="2022-06-26T00:00:00"/>
    <x v="16"/>
    <n v="20"/>
    <n v="640"/>
    <n v="576"/>
    <x v="3"/>
    <x v="25"/>
    <x v="5"/>
    <n v="2022"/>
  </r>
  <r>
    <d v="2022-06-27T00:00:00"/>
    <x v="17"/>
    <n v="30"/>
    <n v="360"/>
    <n v="324"/>
    <x v="2"/>
    <x v="26"/>
    <x v="5"/>
    <n v="2022"/>
  </r>
  <r>
    <d v="2022-06-28T00:00:00"/>
    <x v="18"/>
    <n v="10"/>
    <n v="540"/>
    <n v="486"/>
    <x v="0"/>
    <x v="27"/>
    <x v="5"/>
    <n v="2022"/>
  </r>
  <r>
    <d v="2022-06-29T00:00:00"/>
    <x v="19"/>
    <n v="5"/>
    <n v="400"/>
    <n v="360"/>
    <x v="0"/>
    <x v="28"/>
    <x v="5"/>
    <n v="2022"/>
  </r>
  <r>
    <d v="2022-06-30T00:00:00"/>
    <x v="0"/>
    <n v="10"/>
    <n v="3"/>
    <n v="2.7"/>
    <x v="2"/>
    <x v="29"/>
    <x v="5"/>
    <n v="2022"/>
  </r>
  <r>
    <d v="2022-07-01T00:00:00"/>
    <x v="1"/>
    <n v="15"/>
    <n v="45"/>
    <n v="40.5"/>
    <x v="0"/>
    <x v="0"/>
    <x v="6"/>
    <n v="2022"/>
  </r>
  <r>
    <d v="2022-07-02T00:00:00"/>
    <x v="2"/>
    <n v="20"/>
    <n v="90"/>
    <n v="81"/>
    <x v="3"/>
    <x v="1"/>
    <x v="6"/>
    <n v="2022"/>
  </r>
  <r>
    <d v="2022-07-03T00:00:00"/>
    <x v="3"/>
    <n v="25"/>
    <n v="35"/>
    <n v="31.5"/>
    <x v="2"/>
    <x v="2"/>
    <x v="6"/>
    <n v="2022"/>
  </r>
  <r>
    <d v="2022-07-04T00:00:00"/>
    <x v="4"/>
    <n v="30"/>
    <n v="145"/>
    <n v="130.5"/>
    <x v="0"/>
    <x v="3"/>
    <x v="6"/>
    <n v="2022"/>
  </r>
  <r>
    <d v="2022-07-05T00:00:00"/>
    <x v="5"/>
    <n v="10"/>
    <n v="125"/>
    <n v="112.5"/>
    <x v="0"/>
    <x v="4"/>
    <x v="6"/>
    <n v="2022"/>
  </r>
  <r>
    <d v="2022-07-06T00:00:00"/>
    <x v="6"/>
    <n v="5"/>
    <n v="56"/>
    <n v="50.4"/>
    <x v="2"/>
    <x v="5"/>
    <x v="6"/>
    <n v="2022"/>
  </r>
  <r>
    <d v="2022-07-07T00:00:00"/>
    <x v="7"/>
    <n v="20"/>
    <n v="34"/>
    <n v="30.6"/>
    <x v="0"/>
    <x v="6"/>
    <x v="6"/>
    <n v="2022"/>
  </r>
  <r>
    <d v="2022-07-08T00:00:00"/>
    <x v="8"/>
    <n v="15"/>
    <n v="87"/>
    <n v="78.3"/>
    <x v="3"/>
    <x v="7"/>
    <x v="6"/>
    <n v="2022"/>
  </r>
  <r>
    <d v="2022-07-09T00:00:00"/>
    <x v="9"/>
    <n v="10"/>
    <n v="120"/>
    <n v="108"/>
    <x v="2"/>
    <x v="8"/>
    <x v="6"/>
    <n v="2022"/>
  </r>
  <r>
    <d v="2022-07-10T00:00:00"/>
    <x v="10"/>
    <n v="25"/>
    <n v="148"/>
    <n v="133.19999999999999"/>
    <x v="0"/>
    <x v="9"/>
    <x v="6"/>
    <n v="2022"/>
  </r>
  <r>
    <d v="2022-07-11T00:00:00"/>
    <x v="11"/>
    <n v="30"/>
    <n v="300"/>
    <n v="270"/>
    <x v="0"/>
    <x v="10"/>
    <x v="6"/>
    <n v="2022"/>
  </r>
  <r>
    <d v="2022-07-12T00:00:00"/>
    <x v="12"/>
    <n v="10"/>
    <n v="320"/>
    <n v="288"/>
    <x v="2"/>
    <x v="11"/>
    <x v="6"/>
    <n v="2022"/>
  </r>
  <r>
    <d v="2022-07-13T00:00:00"/>
    <x v="13"/>
    <n v="20"/>
    <n v="530"/>
    <n v="477"/>
    <x v="0"/>
    <x v="12"/>
    <x v="6"/>
    <n v="2022"/>
  </r>
  <r>
    <d v="2022-07-14T00:00:00"/>
    <x v="14"/>
    <n v="5"/>
    <n v="5000"/>
    <n v="4500"/>
    <x v="3"/>
    <x v="13"/>
    <x v="6"/>
    <n v="2022"/>
  </r>
  <r>
    <d v="2022-07-15T00:00:00"/>
    <x v="15"/>
    <n v="15"/>
    <n v="650"/>
    <n v="585"/>
    <x v="2"/>
    <x v="14"/>
    <x v="6"/>
    <n v="2022"/>
  </r>
  <r>
    <d v="2022-07-16T00:00:00"/>
    <x v="16"/>
    <n v="20"/>
    <n v="640"/>
    <n v="576"/>
    <x v="0"/>
    <x v="15"/>
    <x v="6"/>
    <n v="2022"/>
  </r>
  <r>
    <d v="2022-07-17T00:00:00"/>
    <x v="17"/>
    <n v="30"/>
    <n v="360"/>
    <n v="324"/>
    <x v="0"/>
    <x v="16"/>
    <x v="6"/>
    <n v="2022"/>
  </r>
  <r>
    <d v="2022-07-18T00:00:00"/>
    <x v="18"/>
    <n v="10"/>
    <n v="540"/>
    <n v="486"/>
    <x v="2"/>
    <x v="17"/>
    <x v="6"/>
    <n v="2022"/>
  </r>
  <r>
    <d v="2022-07-19T00:00:00"/>
    <x v="19"/>
    <n v="5"/>
    <n v="400"/>
    <n v="360"/>
    <x v="0"/>
    <x v="18"/>
    <x v="6"/>
    <n v="2022"/>
  </r>
  <r>
    <d v="2022-07-20T00:00:00"/>
    <x v="0"/>
    <n v="10"/>
    <n v="3"/>
    <n v="2.7"/>
    <x v="3"/>
    <x v="19"/>
    <x v="6"/>
    <n v="2022"/>
  </r>
  <r>
    <d v="2022-07-21T00:00:00"/>
    <x v="1"/>
    <n v="15"/>
    <n v="45"/>
    <n v="40.5"/>
    <x v="2"/>
    <x v="20"/>
    <x v="6"/>
    <n v="2022"/>
  </r>
  <r>
    <d v="2022-07-22T00:00:00"/>
    <x v="2"/>
    <n v="20"/>
    <n v="90"/>
    <n v="81"/>
    <x v="0"/>
    <x v="21"/>
    <x v="6"/>
    <n v="2022"/>
  </r>
  <r>
    <d v="2022-07-23T00:00:00"/>
    <x v="3"/>
    <n v="25"/>
    <n v="35"/>
    <n v="31.5"/>
    <x v="0"/>
    <x v="22"/>
    <x v="6"/>
    <n v="2022"/>
  </r>
  <r>
    <d v="2022-07-24T00:00:00"/>
    <x v="4"/>
    <n v="30"/>
    <n v="145"/>
    <n v="130.5"/>
    <x v="2"/>
    <x v="23"/>
    <x v="6"/>
    <n v="2022"/>
  </r>
  <r>
    <d v="2022-07-25T00:00:00"/>
    <x v="5"/>
    <n v="10"/>
    <n v="125"/>
    <n v="112.5"/>
    <x v="0"/>
    <x v="24"/>
    <x v="6"/>
    <n v="2022"/>
  </r>
  <r>
    <d v="2022-07-26T00:00:00"/>
    <x v="6"/>
    <n v="5"/>
    <n v="56"/>
    <n v="50.4"/>
    <x v="3"/>
    <x v="25"/>
    <x v="6"/>
    <n v="2022"/>
  </r>
  <r>
    <d v="2022-07-27T00:00:00"/>
    <x v="7"/>
    <n v="20"/>
    <n v="34"/>
    <n v="30.6"/>
    <x v="2"/>
    <x v="26"/>
    <x v="6"/>
    <n v="2022"/>
  </r>
  <r>
    <d v="2022-07-28T00:00:00"/>
    <x v="8"/>
    <n v="15"/>
    <n v="87"/>
    <n v="78.3"/>
    <x v="0"/>
    <x v="27"/>
    <x v="6"/>
    <n v="2022"/>
  </r>
  <r>
    <d v="2022-07-29T00:00:00"/>
    <x v="9"/>
    <n v="10"/>
    <n v="120"/>
    <n v="108"/>
    <x v="0"/>
    <x v="28"/>
    <x v="6"/>
    <n v="2022"/>
  </r>
  <r>
    <d v="2022-07-30T00:00:00"/>
    <x v="10"/>
    <n v="25"/>
    <n v="148"/>
    <n v="133.19999999999999"/>
    <x v="2"/>
    <x v="29"/>
    <x v="6"/>
    <n v="2022"/>
  </r>
  <r>
    <d v="2022-07-31T00:00:00"/>
    <x v="11"/>
    <n v="30"/>
    <n v="300"/>
    <n v="270"/>
    <x v="0"/>
    <x v="30"/>
    <x v="6"/>
    <n v="2022"/>
  </r>
  <r>
    <d v="2022-08-01T00:00:00"/>
    <x v="12"/>
    <n v="10"/>
    <n v="320"/>
    <n v="288"/>
    <x v="3"/>
    <x v="0"/>
    <x v="7"/>
    <n v="2022"/>
  </r>
  <r>
    <d v="2022-08-02T00:00:00"/>
    <x v="13"/>
    <n v="20"/>
    <n v="530"/>
    <n v="477"/>
    <x v="2"/>
    <x v="1"/>
    <x v="7"/>
    <n v="2022"/>
  </r>
  <r>
    <d v="2022-08-03T00:00:00"/>
    <x v="14"/>
    <n v="5"/>
    <n v="5000"/>
    <n v="4500"/>
    <x v="0"/>
    <x v="2"/>
    <x v="7"/>
    <n v="2022"/>
  </r>
  <r>
    <d v="2022-08-04T00:00:00"/>
    <x v="15"/>
    <n v="15"/>
    <n v="650"/>
    <n v="585"/>
    <x v="0"/>
    <x v="3"/>
    <x v="7"/>
    <n v="2022"/>
  </r>
  <r>
    <d v="2022-08-05T00:00:00"/>
    <x v="16"/>
    <n v="20"/>
    <n v="640"/>
    <n v="576"/>
    <x v="2"/>
    <x v="4"/>
    <x v="7"/>
    <n v="2022"/>
  </r>
  <r>
    <d v="2022-08-06T00:00:00"/>
    <x v="17"/>
    <n v="30"/>
    <n v="360"/>
    <n v="324"/>
    <x v="0"/>
    <x v="5"/>
    <x v="7"/>
    <n v="2022"/>
  </r>
  <r>
    <d v="2022-08-07T00:00:00"/>
    <x v="18"/>
    <n v="10"/>
    <n v="540"/>
    <n v="486"/>
    <x v="3"/>
    <x v="6"/>
    <x v="7"/>
    <n v="2022"/>
  </r>
  <r>
    <d v="2022-08-08T00:00:00"/>
    <x v="19"/>
    <n v="5"/>
    <n v="400"/>
    <n v="360"/>
    <x v="3"/>
    <x v="7"/>
    <x v="7"/>
    <n v="2022"/>
  </r>
  <r>
    <d v="2022-08-09T00:00:00"/>
    <x v="0"/>
    <n v="10"/>
    <n v="3"/>
    <n v="2.7"/>
    <x v="1"/>
    <x v="8"/>
    <x v="7"/>
    <n v="2022"/>
  </r>
  <r>
    <d v="2022-08-10T00:00:00"/>
    <x v="1"/>
    <n v="15"/>
    <n v="45"/>
    <n v="40.5"/>
    <x v="0"/>
    <x v="9"/>
    <x v="7"/>
    <n v="2022"/>
  </r>
  <r>
    <d v="2022-08-11T00:00:00"/>
    <x v="2"/>
    <n v="20"/>
    <n v="90"/>
    <n v="81"/>
    <x v="2"/>
    <x v="10"/>
    <x v="7"/>
    <n v="2022"/>
  </r>
  <r>
    <d v="2022-08-12T00:00:00"/>
    <x v="3"/>
    <n v="25"/>
    <n v="35"/>
    <n v="31.5"/>
    <x v="0"/>
    <x v="11"/>
    <x v="7"/>
    <n v="2022"/>
  </r>
  <r>
    <d v="2022-08-13T00:00:00"/>
    <x v="4"/>
    <n v="30"/>
    <n v="145"/>
    <n v="130.5"/>
    <x v="3"/>
    <x v="12"/>
    <x v="7"/>
    <n v="2022"/>
  </r>
  <r>
    <d v="2022-08-14T00:00:00"/>
    <x v="5"/>
    <n v="10"/>
    <n v="125"/>
    <n v="112.5"/>
    <x v="3"/>
    <x v="13"/>
    <x v="7"/>
    <n v="2022"/>
  </r>
  <r>
    <d v="2022-08-15T00:00:00"/>
    <x v="6"/>
    <n v="5"/>
    <n v="56"/>
    <n v="50.4"/>
    <x v="1"/>
    <x v="14"/>
    <x v="7"/>
    <n v="2022"/>
  </r>
  <r>
    <d v="2022-08-16T00:00:00"/>
    <x v="7"/>
    <n v="20"/>
    <n v="34"/>
    <n v="30.6"/>
    <x v="0"/>
    <x v="15"/>
    <x v="7"/>
    <n v="2022"/>
  </r>
  <r>
    <d v="2022-08-17T00:00:00"/>
    <x v="8"/>
    <n v="15"/>
    <n v="87"/>
    <n v="78.3"/>
    <x v="2"/>
    <x v="16"/>
    <x v="7"/>
    <n v="2022"/>
  </r>
  <r>
    <d v="2022-08-18T00:00:00"/>
    <x v="9"/>
    <n v="10"/>
    <n v="120"/>
    <n v="108"/>
    <x v="0"/>
    <x v="17"/>
    <x v="7"/>
    <n v="2022"/>
  </r>
  <r>
    <d v="2022-08-19T00:00:00"/>
    <x v="10"/>
    <n v="25"/>
    <n v="148"/>
    <n v="133.19999999999999"/>
    <x v="3"/>
    <x v="18"/>
    <x v="7"/>
    <n v="2022"/>
  </r>
  <r>
    <d v="2022-08-20T00:00:00"/>
    <x v="11"/>
    <n v="30"/>
    <n v="300"/>
    <n v="270"/>
    <x v="3"/>
    <x v="19"/>
    <x v="7"/>
    <n v="2022"/>
  </r>
  <r>
    <d v="2022-08-21T00:00:00"/>
    <x v="12"/>
    <n v="10"/>
    <n v="320"/>
    <n v="288"/>
    <x v="1"/>
    <x v="20"/>
    <x v="7"/>
    <n v="2022"/>
  </r>
  <r>
    <d v="2022-08-22T00:00:00"/>
    <x v="13"/>
    <n v="20"/>
    <n v="530"/>
    <n v="477"/>
    <x v="0"/>
    <x v="21"/>
    <x v="7"/>
    <n v="2022"/>
  </r>
  <r>
    <d v="2022-08-23T00:00:00"/>
    <x v="14"/>
    <n v="5"/>
    <n v="5000"/>
    <n v="4500"/>
    <x v="3"/>
    <x v="22"/>
    <x v="7"/>
    <n v="2022"/>
  </r>
  <r>
    <d v="2022-08-24T00:00:00"/>
    <x v="15"/>
    <n v="15"/>
    <n v="650"/>
    <n v="585"/>
    <x v="1"/>
    <x v="23"/>
    <x v="7"/>
    <n v="2022"/>
  </r>
  <r>
    <d v="2022-08-25T00:00:00"/>
    <x v="16"/>
    <n v="20"/>
    <n v="640"/>
    <n v="576"/>
    <x v="2"/>
    <x v="24"/>
    <x v="7"/>
    <n v="2022"/>
  </r>
  <r>
    <d v="2022-08-26T00:00:00"/>
    <x v="17"/>
    <n v="30"/>
    <n v="360"/>
    <n v="324"/>
    <x v="0"/>
    <x v="25"/>
    <x v="7"/>
    <n v="2022"/>
  </r>
  <r>
    <d v="2022-08-27T00:00:00"/>
    <x v="18"/>
    <n v="10"/>
    <n v="540"/>
    <n v="486"/>
    <x v="3"/>
    <x v="26"/>
    <x v="7"/>
    <n v="2022"/>
  </r>
  <r>
    <d v="2022-08-28T00:00:00"/>
    <x v="19"/>
    <n v="5"/>
    <n v="400"/>
    <n v="360"/>
    <x v="3"/>
    <x v="27"/>
    <x v="7"/>
    <n v="2022"/>
  </r>
  <r>
    <d v="2022-08-29T00:00:00"/>
    <x v="0"/>
    <n v="10"/>
    <n v="3"/>
    <n v="2.7"/>
    <x v="1"/>
    <x v="28"/>
    <x v="7"/>
    <n v="2022"/>
  </r>
  <r>
    <d v="2022-08-30T00:00:00"/>
    <x v="1"/>
    <n v="15"/>
    <n v="45"/>
    <n v="40.5"/>
    <x v="0"/>
    <x v="29"/>
    <x v="7"/>
    <n v="2022"/>
  </r>
  <r>
    <d v="2022-08-31T00:00:00"/>
    <x v="2"/>
    <n v="20"/>
    <n v="90"/>
    <n v="81"/>
    <x v="2"/>
    <x v="30"/>
    <x v="7"/>
    <n v="2022"/>
  </r>
  <r>
    <d v="2022-09-01T00:00:00"/>
    <x v="3"/>
    <n v="25"/>
    <n v="35"/>
    <n v="31.5"/>
    <x v="0"/>
    <x v="0"/>
    <x v="8"/>
    <n v="2022"/>
  </r>
  <r>
    <d v="2022-09-02T00:00:00"/>
    <x v="4"/>
    <n v="30"/>
    <n v="145"/>
    <n v="130.5"/>
    <x v="3"/>
    <x v="1"/>
    <x v="8"/>
    <n v="2022"/>
  </r>
  <r>
    <d v="2022-09-03T00:00:00"/>
    <x v="5"/>
    <n v="10"/>
    <n v="125"/>
    <n v="112.5"/>
    <x v="1"/>
    <x v="2"/>
    <x v="8"/>
    <n v="2022"/>
  </r>
  <r>
    <d v="2022-09-04T00:00:00"/>
    <x v="6"/>
    <n v="5"/>
    <n v="56"/>
    <n v="50.4"/>
    <x v="0"/>
    <x v="3"/>
    <x v="8"/>
    <n v="2022"/>
  </r>
  <r>
    <d v="2022-09-05T00:00:00"/>
    <x v="7"/>
    <n v="20"/>
    <n v="34"/>
    <n v="30.6"/>
    <x v="2"/>
    <x v="4"/>
    <x v="8"/>
    <n v="2022"/>
  </r>
  <r>
    <d v="2022-09-06T00:00:00"/>
    <x v="8"/>
    <n v="15"/>
    <n v="87"/>
    <n v="78.3"/>
    <x v="0"/>
    <x v="5"/>
    <x v="8"/>
    <n v="2022"/>
  </r>
  <r>
    <d v="2022-09-07T00:00:00"/>
    <x v="9"/>
    <n v="10"/>
    <n v="120"/>
    <n v="108"/>
    <x v="3"/>
    <x v="6"/>
    <x v="8"/>
    <n v="2022"/>
  </r>
  <r>
    <d v="2022-09-08T00:00:00"/>
    <x v="10"/>
    <n v="25"/>
    <n v="148"/>
    <n v="133.19999999999999"/>
    <x v="3"/>
    <x v="7"/>
    <x v="8"/>
    <n v="2022"/>
  </r>
  <r>
    <d v="2022-09-09T00:00:00"/>
    <x v="11"/>
    <n v="30"/>
    <n v="300"/>
    <n v="270"/>
    <x v="1"/>
    <x v="8"/>
    <x v="8"/>
    <n v="2022"/>
  </r>
  <r>
    <d v="2022-09-10T00:00:00"/>
    <x v="12"/>
    <n v="10"/>
    <n v="320"/>
    <n v="288"/>
    <x v="0"/>
    <x v="9"/>
    <x v="8"/>
    <n v="2022"/>
  </r>
  <r>
    <d v="2022-09-11T00:00:00"/>
    <x v="13"/>
    <n v="20"/>
    <n v="530"/>
    <n v="477"/>
    <x v="0"/>
    <x v="10"/>
    <x v="8"/>
    <n v="2022"/>
  </r>
  <r>
    <d v="2022-09-12T00:00:00"/>
    <x v="14"/>
    <n v="5"/>
    <n v="5000"/>
    <n v="4500"/>
    <x v="3"/>
    <x v="11"/>
    <x v="8"/>
    <n v="2022"/>
  </r>
  <r>
    <d v="2022-09-13T00:00:00"/>
    <x v="15"/>
    <n v="15"/>
    <n v="650"/>
    <n v="585"/>
    <x v="1"/>
    <x v="12"/>
    <x v="8"/>
    <n v="2022"/>
  </r>
  <r>
    <d v="2022-09-14T00:00:00"/>
    <x v="16"/>
    <n v="20"/>
    <n v="640"/>
    <n v="576"/>
    <x v="0"/>
    <x v="13"/>
    <x v="8"/>
    <n v="2022"/>
  </r>
  <r>
    <d v="2022-09-15T00:00:00"/>
    <x v="17"/>
    <n v="30"/>
    <n v="360"/>
    <n v="324"/>
    <x v="2"/>
    <x v="14"/>
    <x v="8"/>
    <n v="2022"/>
  </r>
  <r>
    <d v="2022-09-16T00:00:00"/>
    <x v="18"/>
    <n v="10"/>
    <n v="540"/>
    <n v="486"/>
    <x v="0"/>
    <x v="15"/>
    <x v="8"/>
    <n v="2022"/>
  </r>
  <r>
    <d v="2022-09-17T00:00:00"/>
    <x v="19"/>
    <n v="5"/>
    <n v="400"/>
    <n v="360"/>
    <x v="3"/>
    <x v="16"/>
    <x v="8"/>
    <n v="2022"/>
  </r>
  <r>
    <d v="2022-09-18T00:00:00"/>
    <x v="0"/>
    <n v="10"/>
    <n v="3"/>
    <n v="2.7"/>
    <x v="1"/>
    <x v="17"/>
    <x v="8"/>
    <n v="2022"/>
  </r>
  <r>
    <d v="2022-09-19T00:00:00"/>
    <x v="1"/>
    <n v="15"/>
    <n v="45"/>
    <n v="40.5"/>
    <x v="2"/>
    <x v="18"/>
    <x v="8"/>
    <n v="2022"/>
  </r>
  <r>
    <d v="2022-09-20T00:00:00"/>
    <x v="2"/>
    <n v="20"/>
    <n v="90"/>
    <n v="81"/>
    <x v="0"/>
    <x v="19"/>
    <x v="8"/>
    <n v="2022"/>
  </r>
  <r>
    <d v="2022-09-21T00:00:00"/>
    <x v="3"/>
    <n v="25"/>
    <n v="35"/>
    <n v="31.5"/>
    <x v="3"/>
    <x v="20"/>
    <x v="8"/>
    <n v="2022"/>
  </r>
  <r>
    <d v="2022-09-22T00:00:00"/>
    <x v="4"/>
    <n v="30"/>
    <n v="145"/>
    <n v="130.5"/>
    <x v="3"/>
    <x v="21"/>
    <x v="8"/>
    <n v="2022"/>
  </r>
  <r>
    <d v="2022-09-23T00:00:00"/>
    <x v="5"/>
    <n v="10"/>
    <n v="125"/>
    <n v="112.5"/>
    <x v="1"/>
    <x v="22"/>
    <x v="8"/>
    <n v="2022"/>
  </r>
  <r>
    <d v="2022-09-24T00:00:00"/>
    <x v="6"/>
    <n v="5"/>
    <n v="56"/>
    <n v="50.4"/>
    <x v="0"/>
    <x v="23"/>
    <x v="8"/>
    <n v="2022"/>
  </r>
  <r>
    <d v="2022-09-25T00:00:00"/>
    <x v="7"/>
    <n v="20"/>
    <n v="34"/>
    <n v="30.6"/>
    <x v="2"/>
    <x v="24"/>
    <x v="8"/>
    <n v="2022"/>
  </r>
  <r>
    <d v="2022-09-26T00:00:00"/>
    <x v="8"/>
    <n v="15"/>
    <n v="87"/>
    <n v="78.3"/>
    <x v="0"/>
    <x v="25"/>
    <x v="8"/>
    <n v="2022"/>
  </r>
  <r>
    <d v="2022-09-27T00:00:00"/>
    <x v="9"/>
    <n v="10"/>
    <n v="120"/>
    <n v="108"/>
    <x v="3"/>
    <x v="26"/>
    <x v="8"/>
    <n v="2022"/>
  </r>
  <r>
    <d v="2022-09-28T00:00:00"/>
    <x v="10"/>
    <n v="25"/>
    <n v="148"/>
    <n v="133.19999999999999"/>
    <x v="1"/>
    <x v="27"/>
    <x v="8"/>
    <n v="2022"/>
  </r>
  <r>
    <d v="2022-09-29T00:00:00"/>
    <x v="11"/>
    <n v="30"/>
    <n v="300"/>
    <n v="270"/>
    <x v="2"/>
    <x v="28"/>
    <x v="8"/>
    <n v="2022"/>
  </r>
  <r>
    <d v="2022-09-30T00:00:00"/>
    <x v="12"/>
    <n v="10"/>
    <n v="320"/>
    <n v="288"/>
    <x v="0"/>
    <x v="29"/>
    <x v="8"/>
    <n v="2022"/>
  </r>
  <r>
    <d v="2022-10-01T00:00:00"/>
    <x v="13"/>
    <n v="20"/>
    <n v="530"/>
    <n v="477"/>
    <x v="3"/>
    <x v="0"/>
    <x v="9"/>
    <n v="2022"/>
  </r>
  <r>
    <d v="2022-10-02T00:00:00"/>
    <x v="14"/>
    <n v="5"/>
    <n v="5000"/>
    <n v="4500"/>
    <x v="3"/>
    <x v="1"/>
    <x v="9"/>
    <n v="2022"/>
  </r>
  <r>
    <d v="2022-10-03T00:00:00"/>
    <x v="15"/>
    <n v="15"/>
    <n v="650"/>
    <n v="585"/>
    <x v="1"/>
    <x v="2"/>
    <x v="9"/>
    <n v="2022"/>
  </r>
  <r>
    <d v="2022-10-04T00:00:00"/>
    <x v="16"/>
    <n v="20"/>
    <n v="640"/>
    <n v="576"/>
    <x v="0"/>
    <x v="3"/>
    <x v="9"/>
    <n v="2022"/>
  </r>
  <r>
    <d v="2022-10-05T00:00:00"/>
    <x v="17"/>
    <n v="30"/>
    <n v="360"/>
    <n v="324"/>
    <x v="2"/>
    <x v="4"/>
    <x v="9"/>
    <n v="2022"/>
  </r>
  <r>
    <d v="2022-10-06T00:00:00"/>
    <x v="18"/>
    <n v="10"/>
    <n v="540"/>
    <n v="486"/>
    <x v="0"/>
    <x v="5"/>
    <x v="9"/>
    <n v="2022"/>
  </r>
  <r>
    <d v="2022-10-07T00:00:00"/>
    <x v="19"/>
    <n v="5"/>
    <n v="400"/>
    <n v="360"/>
    <x v="3"/>
    <x v="6"/>
    <x v="9"/>
    <n v="2022"/>
  </r>
  <r>
    <d v="2022-10-08T00:00:00"/>
    <x v="0"/>
    <n v="10"/>
    <n v="3"/>
    <n v="2.7"/>
    <x v="2"/>
    <x v="7"/>
    <x v="9"/>
    <n v="2022"/>
  </r>
  <r>
    <d v="2022-10-09T00:00:00"/>
    <x v="1"/>
    <n v="15"/>
    <n v="45"/>
    <n v="40.5"/>
    <x v="0"/>
    <x v="8"/>
    <x v="9"/>
    <n v="2022"/>
  </r>
  <r>
    <d v="2022-10-10T00:00:00"/>
    <x v="2"/>
    <n v="20"/>
    <n v="90"/>
    <n v="81"/>
    <x v="3"/>
    <x v="9"/>
    <x v="9"/>
    <n v="2022"/>
  </r>
  <r>
    <d v="2022-10-11T00:00:00"/>
    <x v="3"/>
    <n v="25"/>
    <n v="35"/>
    <n v="31.5"/>
    <x v="3"/>
    <x v="10"/>
    <x v="9"/>
    <n v="2022"/>
  </r>
  <r>
    <d v="2022-10-12T00:00:00"/>
    <x v="4"/>
    <n v="30"/>
    <n v="145"/>
    <n v="130.5"/>
    <x v="1"/>
    <x v="11"/>
    <x v="9"/>
    <n v="2022"/>
  </r>
  <r>
    <d v="2022-10-13T00:00:00"/>
    <x v="5"/>
    <n v="10"/>
    <n v="125"/>
    <n v="112.5"/>
    <x v="0"/>
    <x v="12"/>
    <x v="9"/>
    <n v="2022"/>
  </r>
  <r>
    <d v="2022-10-14T00:00:00"/>
    <x v="6"/>
    <n v="5"/>
    <n v="56"/>
    <n v="50.4"/>
    <x v="0"/>
    <x v="13"/>
    <x v="9"/>
    <n v="2022"/>
  </r>
  <r>
    <d v="2022-10-15T00:00:00"/>
    <x v="7"/>
    <n v="20"/>
    <n v="34"/>
    <n v="30.6"/>
    <x v="2"/>
    <x v="14"/>
    <x v="9"/>
    <n v="2022"/>
  </r>
  <r>
    <d v="2022-10-16T00:00:00"/>
    <x v="8"/>
    <n v="15"/>
    <n v="87"/>
    <n v="78.3"/>
    <x v="0"/>
    <x v="15"/>
    <x v="9"/>
    <n v="2022"/>
  </r>
  <r>
    <d v="2022-10-17T00:00:00"/>
    <x v="9"/>
    <n v="10"/>
    <n v="120"/>
    <n v="108"/>
    <x v="3"/>
    <x v="16"/>
    <x v="9"/>
    <n v="2022"/>
  </r>
  <r>
    <d v="2022-10-18T00:00:00"/>
    <x v="10"/>
    <n v="25"/>
    <n v="148"/>
    <n v="133.19999999999999"/>
    <x v="1"/>
    <x v="17"/>
    <x v="9"/>
    <n v="2022"/>
  </r>
  <r>
    <d v="2022-10-19T00:00:00"/>
    <x v="11"/>
    <n v="30"/>
    <n v="300"/>
    <n v="270"/>
    <x v="1"/>
    <x v="18"/>
    <x v="9"/>
    <n v="2022"/>
  </r>
  <r>
    <d v="2022-10-20T00:00:00"/>
    <x v="12"/>
    <n v="10"/>
    <n v="320"/>
    <n v="288"/>
    <x v="0"/>
    <x v="19"/>
    <x v="9"/>
    <n v="2022"/>
  </r>
  <r>
    <d v="2022-10-21T00:00:00"/>
    <x v="13"/>
    <n v="20"/>
    <n v="530"/>
    <n v="477"/>
    <x v="0"/>
    <x v="20"/>
    <x v="9"/>
    <n v="2022"/>
  </r>
  <r>
    <d v="2022-10-22T00:00:00"/>
    <x v="14"/>
    <n v="5"/>
    <n v="5000"/>
    <n v="4500"/>
    <x v="2"/>
    <x v="21"/>
    <x v="9"/>
    <n v="2022"/>
  </r>
  <r>
    <d v="2022-10-23T00:00:00"/>
    <x v="15"/>
    <n v="15"/>
    <n v="650"/>
    <n v="585"/>
    <x v="0"/>
    <x v="22"/>
    <x v="9"/>
    <n v="2022"/>
  </r>
  <r>
    <d v="2022-10-24T00:00:00"/>
    <x v="16"/>
    <n v="20"/>
    <n v="640"/>
    <n v="576"/>
    <x v="3"/>
    <x v="23"/>
    <x v="9"/>
    <n v="2022"/>
  </r>
  <r>
    <d v="2022-10-25T00:00:00"/>
    <x v="17"/>
    <n v="30"/>
    <n v="360"/>
    <n v="324"/>
    <x v="1"/>
    <x v="24"/>
    <x v="9"/>
    <n v="2022"/>
  </r>
  <r>
    <d v="2022-10-26T00:00:00"/>
    <x v="18"/>
    <n v="10"/>
    <n v="540"/>
    <n v="486"/>
    <x v="0"/>
    <x v="25"/>
    <x v="9"/>
    <n v="2022"/>
  </r>
  <r>
    <d v="2022-10-27T00:00:00"/>
    <x v="19"/>
    <n v="5"/>
    <n v="400"/>
    <n v="360"/>
    <x v="3"/>
    <x v="26"/>
    <x v="9"/>
    <n v="2022"/>
  </r>
  <r>
    <d v="2022-10-28T00:00:00"/>
    <x v="0"/>
    <n v="10"/>
    <n v="3"/>
    <n v="2.7"/>
    <x v="1"/>
    <x v="27"/>
    <x v="9"/>
    <n v="2022"/>
  </r>
  <r>
    <d v="2022-10-29T00:00:00"/>
    <x v="1"/>
    <n v="15"/>
    <n v="45"/>
    <n v="40.5"/>
    <x v="0"/>
    <x v="28"/>
    <x v="9"/>
    <n v="2022"/>
  </r>
  <r>
    <d v="2022-10-30T00:00:00"/>
    <x v="2"/>
    <n v="20"/>
    <n v="90"/>
    <n v="81"/>
    <x v="2"/>
    <x v="29"/>
    <x v="9"/>
    <n v="2022"/>
  </r>
  <r>
    <d v="2022-10-31T00:00:00"/>
    <x v="3"/>
    <n v="25"/>
    <n v="35"/>
    <n v="31.5"/>
    <x v="1"/>
    <x v="30"/>
    <x v="9"/>
    <n v="2022"/>
  </r>
  <r>
    <d v="2022-11-01T00:00:00"/>
    <x v="4"/>
    <n v="30"/>
    <n v="145"/>
    <n v="130.5"/>
    <x v="0"/>
    <x v="0"/>
    <x v="10"/>
    <n v="2022"/>
  </r>
  <r>
    <d v="2022-11-02T00:00:00"/>
    <x v="5"/>
    <n v="10"/>
    <n v="125"/>
    <n v="112.5"/>
    <x v="0"/>
    <x v="1"/>
    <x v="10"/>
    <n v="2022"/>
  </r>
  <r>
    <d v="2022-11-03T00:00:00"/>
    <x v="6"/>
    <n v="5"/>
    <n v="56"/>
    <n v="50.4"/>
    <x v="2"/>
    <x v="2"/>
    <x v="10"/>
    <n v="2022"/>
  </r>
  <r>
    <d v="2022-11-04T00:00:00"/>
    <x v="7"/>
    <n v="20"/>
    <n v="34"/>
    <n v="30.6"/>
    <x v="0"/>
    <x v="3"/>
    <x v="10"/>
    <n v="2022"/>
  </r>
  <r>
    <d v="2022-11-05T00:00:00"/>
    <x v="8"/>
    <n v="15"/>
    <n v="87"/>
    <n v="78.3"/>
    <x v="3"/>
    <x v="4"/>
    <x v="10"/>
    <n v="2022"/>
  </r>
  <r>
    <d v="2022-11-06T00:00:00"/>
    <x v="9"/>
    <n v="10"/>
    <n v="120"/>
    <n v="108"/>
    <x v="1"/>
    <x v="5"/>
    <x v="10"/>
    <n v="2022"/>
  </r>
  <r>
    <d v="2022-11-07T00:00:00"/>
    <x v="10"/>
    <n v="25"/>
    <n v="148"/>
    <n v="133.19999999999999"/>
    <x v="1"/>
    <x v="6"/>
    <x v="10"/>
    <n v="2022"/>
  </r>
  <r>
    <d v="2022-11-08T00:00:00"/>
    <x v="11"/>
    <n v="30"/>
    <n v="300"/>
    <n v="270"/>
    <x v="0"/>
    <x v="7"/>
    <x v="10"/>
    <n v="2022"/>
  </r>
  <r>
    <d v="2022-11-09T00:00:00"/>
    <x v="12"/>
    <n v="10"/>
    <n v="320"/>
    <n v="288"/>
    <x v="1"/>
    <x v="8"/>
    <x v="10"/>
    <n v="2022"/>
  </r>
  <r>
    <d v="2022-11-10T00:00:00"/>
    <x v="13"/>
    <n v="20"/>
    <n v="530"/>
    <n v="477"/>
    <x v="0"/>
    <x v="9"/>
    <x v="10"/>
    <n v="2022"/>
  </r>
  <r>
    <d v="2022-11-11T00:00:00"/>
    <x v="14"/>
    <n v="5"/>
    <n v="5000"/>
    <n v="4500"/>
    <x v="0"/>
    <x v="10"/>
    <x v="10"/>
    <n v="2022"/>
  </r>
  <r>
    <d v="2022-11-12T00:00:00"/>
    <x v="15"/>
    <n v="15"/>
    <n v="650"/>
    <n v="585"/>
    <x v="2"/>
    <x v="11"/>
    <x v="10"/>
    <n v="2022"/>
  </r>
  <r>
    <d v="2022-11-13T00:00:00"/>
    <x v="16"/>
    <n v="20"/>
    <n v="640"/>
    <n v="576"/>
    <x v="0"/>
    <x v="12"/>
    <x v="10"/>
    <n v="2022"/>
  </r>
  <r>
    <d v="2022-11-14T00:00:00"/>
    <x v="17"/>
    <n v="30"/>
    <n v="360"/>
    <n v="324"/>
    <x v="3"/>
    <x v="13"/>
    <x v="10"/>
    <n v="2022"/>
  </r>
  <r>
    <d v="2022-11-15T00:00:00"/>
    <x v="18"/>
    <n v="10"/>
    <n v="540"/>
    <n v="486"/>
    <x v="1"/>
    <x v="14"/>
    <x v="10"/>
    <n v="2022"/>
  </r>
  <r>
    <d v="2022-11-16T00:00:00"/>
    <x v="19"/>
    <n v="5"/>
    <n v="400"/>
    <n v="360"/>
    <x v="3"/>
    <x v="15"/>
    <x v="10"/>
    <n v="2022"/>
  </r>
  <r>
    <d v="2022-11-17T00:00:00"/>
    <x v="0"/>
    <n v="10"/>
    <n v="3"/>
    <n v="2.7"/>
    <x v="1"/>
    <x v="16"/>
    <x v="10"/>
    <n v="2022"/>
  </r>
  <r>
    <d v="2022-11-18T00:00:00"/>
    <x v="1"/>
    <n v="15"/>
    <n v="45"/>
    <n v="40.5"/>
    <x v="1"/>
    <x v="17"/>
    <x v="10"/>
    <n v="2022"/>
  </r>
  <r>
    <d v="2022-11-19T00:00:00"/>
    <x v="2"/>
    <n v="20"/>
    <n v="90"/>
    <n v="81"/>
    <x v="0"/>
    <x v="18"/>
    <x v="10"/>
    <n v="2022"/>
  </r>
  <r>
    <d v="2022-11-20T00:00:00"/>
    <x v="3"/>
    <n v="25"/>
    <n v="35"/>
    <n v="31.5"/>
    <x v="0"/>
    <x v="19"/>
    <x v="10"/>
    <n v="2022"/>
  </r>
  <r>
    <d v="2022-11-21T00:00:00"/>
    <x v="4"/>
    <n v="30"/>
    <n v="145"/>
    <n v="130.5"/>
    <x v="2"/>
    <x v="20"/>
    <x v="10"/>
    <n v="2022"/>
  </r>
  <r>
    <d v="2022-11-22T00:00:00"/>
    <x v="5"/>
    <n v="10"/>
    <n v="125"/>
    <n v="112.5"/>
    <x v="0"/>
    <x v="21"/>
    <x v="10"/>
    <n v="2022"/>
  </r>
  <r>
    <d v="2022-11-23T00:00:00"/>
    <x v="6"/>
    <n v="5"/>
    <n v="56"/>
    <n v="50.4"/>
    <x v="3"/>
    <x v="22"/>
    <x v="10"/>
    <n v="2022"/>
  </r>
  <r>
    <d v="2022-11-24T00:00:00"/>
    <x v="7"/>
    <n v="20"/>
    <n v="34"/>
    <n v="30.6"/>
    <x v="1"/>
    <x v="23"/>
    <x v="10"/>
    <n v="2022"/>
  </r>
  <r>
    <d v="2022-11-25T00:00:00"/>
    <x v="8"/>
    <n v="15"/>
    <n v="87"/>
    <n v="78.3"/>
    <x v="0"/>
    <x v="24"/>
    <x v="10"/>
    <n v="2022"/>
  </r>
  <r>
    <d v="2022-11-26T00:00:00"/>
    <x v="9"/>
    <n v="10"/>
    <n v="120"/>
    <n v="108"/>
    <x v="3"/>
    <x v="25"/>
    <x v="10"/>
    <n v="2022"/>
  </r>
  <r>
    <d v="2022-11-27T00:00:00"/>
    <x v="10"/>
    <n v="25"/>
    <n v="148"/>
    <n v="133.19999999999999"/>
    <x v="1"/>
    <x v="26"/>
    <x v="10"/>
    <n v="2022"/>
  </r>
  <r>
    <d v="2022-11-28T00:00:00"/>
    <x v="11"/>
    <n v="30"/>
    <n v="300"/>
    <n v="270"/>
    <x v="0"/>
    <x v="27"/>
    <x v="10"/>
    <n v="2022"/>
  </r>
  <r>
    <d v="2022-11-29T00:00:00"/>
    <x v="12"/>
    <n v="10"/>
    <n v="320"/>
    <n v="288"/>
    <x v="0"/>
    <x v="28"/>
    <x v="10"/>
    <n v="2022"/>
  </r>
  <r>
    <d v="2022-11-30T00:00:00"/>
    <x v="13"/>
    <n v="20"/>
    <n v="530"/>
    <n v="477"/>
    <x v="2"/>
    <x v="29"/>
    <x v="10"/>
    <n v="2022"/>
  </r>
  <r>
    <d v="2022-12-01T00:00:00"/>
    <x v="14"/>
    <n v="5"/>
    <n v="5000"/>
    <n v="4500"/>
    <x v="0"/>
    <x v="0"/>
    <x v="11"/>
    <n v="2022"/>
  </r>
  <r>
    <d v="2022-12-02T00:00:00"/>
    <x v="15"/>
    <n v="15"/>
    <n v="650"/>
    <n v="585"/>
    <x v="3"/>
    <x v="1"/>
    <x v="11"/>
    <n v="2022"/>
  </r>
  <r>
    <d v="2022-12-03T00:00:00"/>
    <x v="16"/>
    <n v="20"/>
    <n v="640"/>
    <n v="576"/>
    <x v="1"/>
    <x v="2"/>
    <x v="11"/>
    <n v="2022"/>
  </r>
  <r>
    <d v="2022-12-04T00:00:00"/>
    <x v="17"/>
    <n v="30"/>
    <n v="360"/>
    <n v="324"/>
    <x v="2"/>
    <x v="3"/>
    <x v="11"/>
    <n v="2022"/>
  </r>
  <r>
    <d v="2022-12-05T00:00:00"/>
    <x v="18"/>
    <n v="10"/>
    <n v="540"/>
    <n v="486"/>
    <x v="0"/>
    <x v="4"/>
    <x v="11"/>
    <n v="2022"/>
  </r>
  <r>
    <d v="2022-12-06T00:00:00"/>
    <x v="19"/>
    <n v="5"/>
    <n v="400"/>
    <n v="360"/>
    <x v="3"/>
    <x v="5"/>
    <x v="11"/>
    <n v="2022"/>
  </r>
  <r>
    <d v="2022-12-07T00:00:00"/>
    <x v="0"/>
    <n v="10"/>
    <n v="3"/>
    <n v="2.7"/>
    <x v="1"/>
    <x v="6"/>
    <x v="11"/>
    <n v="2022"/>
  </r>
  <r>
    <d v="2022-12-08T00:00:00"/>
    <x v="1"/>
    <n v="15"/>
    <n v="45"/>
    <n v="40.5"/>
    <x v="0"/>
    <x v="7"/>
    <x v="11"/>
    <n v="2022"/>
  </r>
  <r>
    <d v="2022-12-09T00:00:00"/>
    <x v="2"/>
    <n v="20"/>
    <n v="90"/>
    <n v="81"/>
    <x v="0"/>
    <x v="8"/>
    <x v="11"/>
    <n v="2022"/>
  </r>
  <r>
    <d v="2022-12-10T00:00:00"/>
    <x v="3"/>
    <n v="25"/>
    <n v="35"/>
    <n v="31.5"/>
    <x v="2"/>
    <x v="9"/>
    <x v="11"/>
    <n v="2022"/>
  </r>
  <r>
    <d v="2022-12-11T00:00:00"/>
    <x v="4"/>
    <n v="30"/>
    <n v="145"/>
    <n v="130.5"/>
    <x v="0"/>
    <x v="10"/>
    <x v="11"/>
    <n v="2022"/>
  </r>
  <r>
    <d v="2022-12-12T00:00:00"/>
    <x v="5"/>
    <n v="10"/>
    <n v="125"/>
    <n v="112.5"/>
    <x v="3"/>
    <x v="11"/>
    <x v="11"/>
    <n v="2022"/>
  </r>
  <r>
    <d v="2022-12-13T00:00:00"/>
    <x v="6"/>
    <n v="5"/>
    <n v="56"/>
    <n v="50.4"/>
    <x v="1"/>
    <x v="12"/>
    <x v="11"/>
    <n v="2022"/>
  </r>
  <r>
    <d v="2022-12-14T00:00:00"/>
    <x v="7"/>
    <n v="20"/>
    <n v="34"/>
    <n v="30.6"/>
    <x v="2"/>
    <x v="13"/>
    <x v="11"/>
    <n v="2022"/>
  </r>
  <r>
    <d v="2022-12-15T00:00:00"/>
    <x v="8"/>
    <n v="15"/>
    <n v="87"/>
    <n v="78.3"/>
    <x v="0"/>
    <x v="14"/>
    <x v="11"/>
    <n v="2022"/>
  </r>
  <r>
    <d v="2022-12-16T00:00:00"/>
    <x v="9"/>
    <n v="10"/>
    <n v="120"/>
    <n v="108"/>
    <x v="3"/>
    <x v="15"/>
    <x v="11"/>
    <n v="2022"/>
  </r>
  <r>
    <d v="2022-12-17T00:00:00"/>
    <x v="10"/>
    <n v="25"/>
    <n v="148"/>
    <n v="133.19999999999999"/>
    <x v="1"/>
    <x v="16"/>
    <x v="11"/>
    <n v="2022"/>
  </r>
  <r>
    <d v="2022-12-18T00:00:00"/>
    <x v="11"/>
    <n v="30"/>
    <n v="300"/>
    <n v="270"/>
    <x v="1"/>
    <x v="17"/>
    <x v="11"/>
    <n v="2022"/>
  </r>
  <r>
    <d v="2022-12-19T00:00:00"/>
    <x v="12"/>
    <n v="10"/>
    <n v="320"/>
    <n v="288"/>
    <x v="0"/>
    <x v="18"/>
    <x v="11"/>
    <n v="2022"/>
  </r>
  <r>
    <d v="2022-12-20T00:00:00"/>
    <x v="13"/>
    <n v="20"/>
    <n v="530"/>
    <n v="477"/>
    <x v="0"/>
    <x v="19"/>
    <x v="11"/>
    <n v="2022"/>
  </r>
  <r>
    <d v="2022-12-21T00:00:00"/>
    <x v="14"/>
    <n v="5"/>
    <n v="5000"/>
    <n v="4500"/>
    <x v="2"/>
    <x v="20"/>
    <x v="11"/>
    <n v="2022"/>
  </r>
  <r>
    <d v="2022-12-22T00:00:00"/>
    <x v="15"/>
    <n v="15"/>
    <n v="650"/>
    <n v="585"/>
    <x v="0"/>
    <x v="21"/>
    <x v="11"/>
    <n v="2022"/>
  </r>
  <r>
    <d v="2022-12-23T00:00:00"/>
    <x v="16"/>
    <n v="20"/>
    <n v="640"/>
    <n v="576"/>
    <x v="3"/>
    <x v="22"/>
    <x v="11"/>
    <n v="2022"/>
  </r>
  <r>
    <d v="2022-12-24T00:00:00"/>
    <x v="17"/>
    <n v="30"/>
    <n v="360"/>
    <n v="324"/>
    <x v="1"/>
    <x v="23"/>
    <x v="11"/>
    <n v="2022"/>
  </r>
  <r>
    <d v="2022-12-25T00:00:00"/>
    <x v="18"/>
    <n v="10"/>
    <n v="540"/>
    <n v="486"/>
    <x v="1"/>
    <x v="24"/>
    <x v="11"/>
    <n v="2022"/>
  </r>
  <r>
    <d v="2022-12-26T00:00:00"/>
    <x v="19"/>
    <n v="5"/>
    <n v="400"/>
    <n v="360"/>
    <x v="0"/>
    <x v="25"/>
    <x v="11"/>
    <n v="2022"/>
  </r>
  <r>
    <d v="2022-12-27T00:00:00"/>
    <x v="0"/>
    <n v="10"/>
    <n v="3"/>
    <n v="2.7"/>
    <x v="0"/>
    <x v="26"/>
    <x v="11"/>
    <n v="2022"/>
  </r>
  <r>
    <d v="2022-12-28T00:00:00"/>
    <x v="1"/>
    <n v="15"/>
    <n v="45"/>
    <n v="40.5"/>
    <x v="2"/>
    <x v="27"/>
    <x v="11"/>
    <n v="2022"/>
  </r>
  <r>
    <d v="2022-12-29T00:00:00"/>
    <x v="2"/>
    <n v="20"/>
    <n v="90"/>
    <n v="81"/>
    <x v="0"/>
    <x v="28"/>
    <x v="11"/>
    <n v="2022"/>
  </r>
  <r>
    <d v="2022-12-30T00:00:00"/>
    <x v="3"/>
    <n v="25"/>
    <n v="35"/>
    <n v="31.5"/>
    <x v="3"/>
    <x v="29"/>
    <x v="11"/>
    <n v="2022"/>
  </r>
  <r>
    <d v="2022-12-31T00:00:00"/>
    <x v="4"/>
    <n v="30"/>
    <n v="145"/>
    <n v="130.5"/>
    <x v="1"/>
    <x v="30"/>
    <x v="11"/>
    <n v="20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BF7D0D-F4CF-47A0-A715-56997D931AA6}" name="DA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Day">
  <location ref="A3:C34" firstHeaderRow="0" firstDataRow="1" firstDataCol="1"/>
  <pivotFields count="9">
    <pivotField numFmtId="14" showAll="0"/>
    <pivotField showAll="0"/>
    <pivotField dataField="1" numFmtId="1" showAll="0"/>
    <pivotField dataField="1" numFmtId="169" showAll="0"/>
    <pivotField numFmtId="169" showAll="0"/>
    <pivotField showAll="0">
      <items count="5">
        <item x="2"/>
        <item x="0"/>
        <item x="1"/>
        <item x="3"/>
        <item t="default"/>
      </items>
    </pivotField>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s>
  <rowFields count="1">
    <field x="6"/>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Fields count="1">
    <field x="-2"/>
  </colFields>
  <colItems count="2">
    <i>
      <x/>
    </i>
    <i i="1">
      <x v="1"/>
    </i>
  </colItems>
  <dataFields count="2">
    <dataField name="Sum of Quantity Sold" fld="2" baseField="0" baseItem="0"/>
    <dataField name="Sum of Selling Price" fld="3" baseField="0" baseItem="0"/>
  </dataFields>
  <chartFormats count="2">
    <chartFormat chart="6" format="9"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28CEC2-1483-4D8C-A2FD-2F9BF64D7508}" name="Produc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Product Id">
  <location ref="K10:L30" firstHeaderRow="1" firstDataRow="1" firstDataCol="1"/>
  <pivotFields count="9">
    <pivotField numFmtId="14" showAll="0"/>
    <pivotField axis="axisRow" showAll="0">
      <items count="21">
        <item x="0"/>
        <item x="9"/>
        <item x="10"/>
        <item x="11"/>
        <item x="12"/>
        <item x="13"/>
        <item x="14"/>
        <item x="15"/>
        <item x="16"/>
        <item x="17"/>
        <item x="18"/>
        <item x="1"/>
        <item x="19"/>
        <item x="2"/>
        <item x="3"/>
        <item x="4"/>
        <item x="5"/>
        <item x="6"/>
        <item x="7"/>
        <item x="8"/>
        <item t="default"/>
      </items>
    </pivotField>
    <pivotField numFmtId="1" showAll="0"/>
    <pivotField dataField="1" numFmtId="169" showAll="0"/>
    <pivotField numFmtId="169" showAll="0"/>
    <pivotField showAll="0">
      <items count="5">
        <item x="2"/>
        <item x="0"/>
        <item x="1"/>
        <item x="3"/>
        <item t="default"/>
      </items>
    </pivotField>
    <pivotField showAll="0"/>
    <pivotField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howAll="0"/>
  </pivotFields>
  <rowFields count="1">
    <field x="1"/>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Sum of Selling Price" fld="3" baseField="0" baseItem="0"/>
  </dataField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128693-C7DA-4FE4-9429-0433C3AEAEFC}" name="Paye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Payment Mode">
  <location ref="H10:I14" firstHeaderRow="1" firstDataRow="1" firstDataCol="1"/>
  <pivotFields count="9">
    <pivotField numFmtId="14" showAll="0"/>
    <pivotField showAll="0"/>
    <pivotField numFmtId="1" showAll="0"/>
    <pivotField dataField="1" numFmtId="169" showAll="0"/>
    <pivotField numFmtId="169" showAll="0"/>
    <pivotField axis="axisRow" showAll="0">
      <items count="5">
        <item x="2"/>
        <item x="0"/>
        <item x="1"/>
        <item x="3"/>
        <item t="default"/>
      </items>
    </pivotField>
    <pivotField showAll="0"/>
    <pivotField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howAll="0"/>
  </pivotFields>
  <rowFields count="1">
    <field x="5"/>
  </rowFields>
  <rowItems count="4">
    <i>
      <x/>
    </i>
    <i>
      <x v="1"/>
    </i>
    <i>
      <x v="2"/>
    </i>
    <i>
      <x v="3"/>
    </i>
  </rowItems>
  <colItems count="1">
    <i/>
  </colItems>
  <dataFields count="1">
    <dataField name="Sum of Selling Price" fld="3" baseField="0" baseItem="0"/>
  </dataFields>
  <chartFormats count="5">
    <chartFormat chart="7" format="16" series="1">
      <pivotArea type="data" outline="0" fieldPosition="0">
        <references count="1">
          <reference field="4294967294" count="1" selected="0">
            <x v="0"/>
          </reference>
        </references>
      </pivotArea>
    </chartFormat>
    <chartFormat chart="7" format="17">
      <pivotArea type="data" outline="0" fieldPosition="0">
        <references count="2">
          <reference field="4294967294" count="1" selected="0">
            <x v="0"/>
          </reference>
          <reference field="5" count="1" selected="0">
            <x v="0"/>
          </reference>
        </references>
      </pivotArea>
    </chartFormat>
    <chartFormat chart="7" format="18">
      <pivotArea type="data" outline="0" fieldPosition="0">
        <references count="2">
          <reference field="4294967294" count="1" selected="0">
            <x v="0"/>
          </reference>
          <reference field="5" count="1" selected="0">
            <x v="1"/>
          </reference>
        </references>
      </pivotArea>
    </chartFormat>
    <chartFormat chart="7" format="19">
      <pivotArea type="data" outline="0" fieldPosition="0">
        <references count="2">
          <reference field="4294967294" count="1" selected="0">
            <x v="0"/>
          </reference>
          <reference field="5" count="1" selected="0">
            <x v="2"/>
          </reference>
        </references>
      </pivotArea>
    </chartFormat>
    <chartFormat chart="7" format="20">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0F4324-61A0-4C4E-84A5-BDF061C7C2A8}" name="Month"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Month">
  <location ref="E9:F21" firstHeaderRow="1" firstDataRow="1" firstDataCol="1"/>
  <pivotFields count="9">
    <pivotField numFmtId="14" showAll="0"/>
    <pivotField showAll="0"/>
    <pivotField numFmtId="1" showAll="0"/>
    <pivotField dataField="1" numFmtId="169" showAll="0"/>
    <pivotField numFmtId="169" showAll="0"/>
    <pivotField showAll="0">
      <items count="5">
        <item x="2"/>
        <item x="0"/>
        <item x="1"/>
        <item x="3"/>
        <item t="default"/>
      </items>
    </pivotField>
    <pivotField showAll="0"/>
    <pivotField axis="axisRow"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howAll="0"/>
  </pivotFields>
  <rowFields count="1">
    <field x="7"/>
  </rowFields>
  <rowItems count="12">
    <i>
      <x v="12"/>
    </i>
    <i>
      <x v="13"/>
    </i>
    <i>
      <x v="14"/>
    </i>
    <i>
      <x v="15"/>
    </i>
    <i>
      <x v="16"/>
    </i>
    <i>
      <x v="17"/>
    </i>
    <i>
      <x v="18"/>
    </i>
    <i>
      <x v="19"/>
    </i>
    <i>
      <x v="20"/>
    </i>
    <i>
      <x v="21"/>
    </i>
    <i>
      <x v="22"/>
    </i>
    <i>
      <x v="23"/>
    </i>
  </rowItems>
  <colItems count="1">
    <i/>
  </colItems>
  <dataFields count="1">
    <dataField name="Sum of Selling Price" fld="3" baseField="0" baseItem="0"/>
  </dataFields>
  <chartFormats count="1">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347854D-A56C-4279-A9B0-3A63170D7F62}" name="Profi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E3:F4" firstHeaderRow="0" firstDataRow="1" firstDataCol="0"/>
  <pivotFields count="9">
    <pivotField numFmtId="14" showAll="0"/>
    <pivotField showAll="0"/>
    <pivotField numFmtId="1" showAll="0"/>
    <pivotField dataField="1" numFmtId="169" showAll="0"/>
    <pivotField dataField="1" numFmtId="169" showAll="0"/>
    <pivotField showAll="0">
      <items count="5">
        <item x="2"/>
        <item x="0"/>
        <item x="1"/>
        <item x="3"/>
        <item t="default"/>
      </items>
    </pivotField>
    <pivotField showAll="0"/>
    <pivotField showAll="0">
      <items count="25">
        <item m="1" x="12"/>
        <item m="1" x="13"/>
        <item m="1" x="14"/>
        <item m="1" x="15"/>
        <item m="1" x="16"/>
        <item m="1" x="17"/>
        <item m="1" x="18"/>
        <item m="1" x="19"/>
        <item m="1" x="20"/>
        <item m="1" x="21"/>
        <item m="1" x="22"/>
        <item m="1" x="23"/>
        <item x="0"/>
        <item x="1"/>
        <item x="2"/>
        <item x="3"/>
        <item x="4"/>
        <item x="5"/>
        <item x="6"/>
        <item x="7"/>
        <item x="8"/>
        <item x="9"/>
        <item x="10"/>
        <item x="11"/>
        <item t="default"/>
      </items>
    </pivotField>
    <pivotField showAll="0"/>
  </pivotFields>
  <rowItems count="1">
    <i/>
  </rowItems>
  <colFields count="1">
    <field x="-2"/>
  </colFields>
  <colItems count="2">
    <i>
      <x/>
    </i>
    <i i="1">
      <x v="1"/>
    </i>
  </colItems>
  <dataFields count="2">
    <dataField name="Sum of Selling Price" fld="3" baseField="0" baseItem="0"/>
    <dataField name="Sum of Purchasing Pric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B1326C46-C93E-4829-8C1E-691380899E04}" sourceName="Payment Mode">
  <pivotTables>
    <pivotTable tabId="13" name="DAY"/>
    <pivotTable tabId="13" name="Month"/>
    <pivotTable tabId="13" name="Product"/>
    <pivotTable tabId="13" name="Profit"/>
  </pivotTables>
  <data>
    <tabular pivotCacheId="1397967426">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33FF0A5-5E48-487E-B787-B7134BD7BBD9}" sourceName="Month">
  <pivotTables>
    <pivotTable tabId="13" name="Product"/>
    <pivotTable tabId="13" name="Profit"/>
    <pivotTable tabId="13" name="Payement Mode"/>
  </pivotTables>
  <data>
    <tabular pivotCacheId="1397967426">
      <items count="24">
        <i x="0" s="1"/>
        <i x="1" s="1"/>
        <i x="2" s="1"/>
        <i x="3" s="1"/>
        <i x="4" s="1"/>
        <i x="5" s="1"/>
        <i x="6" s="1"/>
        <i x="7" s="1"/>
        <i x="8" s="1"/>
        <i x="9" s="1"/>
        <i x="10" s="1"/>
        <i x="11" s="1"/>
        <i x="12" s="1" nd="1"/>
        <i x="13" s="1" nd="1"/>
        <i x="14" s="1" nd="1"/>
        <i x="15" s="1" nd="1"/>
        <i x="16" s="1" nd="1"/>
        <i x="17" s="1" nd="1"/>
        <i x="18" s="1" nd="1"/>
        <i x="19" s="1" nd="1"/>
        <i x="20" s="1" nd="1"/>
        <i x="21" s="1" nd="1"/>
        <i x="22" s="1" nd="1"/>
        <i x="2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1" xr10:uid="{44DB66DD-740E-483E-A75B-8DFFBA4A4F24}" cache="Slicer_Payment_Mode" caption="Payment Mode" columnCount="4" style="SlicerStyleLight1 2 2 2 2 2 2 2" rowHeight="241300"/>
  <slicer name="Month 1" xr10:uid="{CED41CD7-F147-4803-92EA-6444934C5FE6}" cache="Slicer_Month" caption="Month" style="SlicerStyleLight1 2 2 2 2 2 2 2" rowHeight="241300"/>
</slicer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2C878-2E71-403B-A86D-81CED2723BF8}">
  <dimension ref="A1:H21"/>
  <sheetViews>
    <sheetView showGridLines="0" zoomScaleNormal="100" workbookViewId="0">
      <pane ySplit="1" topLeftCell="A2" activePane="bottomLeft" state="frozen"/>
      <selection pane="bottomLeft" sqref="A1:A1048576"/>
    </sheetView>
  </sheetViews>
  <sheetFormatPr defaultRowHeight="14.5" x14ac:dyDescent="0.35"/>
  <cols>
    <col min="1" max="1" width="9.7265625" style="15" customWidth="1"/>
    <col min="2" max="2" width="12.7265625" style="15" bestFit="1" customWidth="1"/>
    <col min="3" max="3" width="12.1796875" style="15" bestFit="1" customWidth="1"/>
    <col min="4" max="4" width="10.36328125" style="15" bestFit="1" customWidth="1"/>
    <col min="5" max="5" width="10.08984375" style="25" bestFit="1" customWidth="1"/>
    <col min="6" max="7" width="9.90625" style="15" customWidth="1"/>
    <col min="8" max="8" width="7.90625" style="15" bestFit="1" customWidth="1"/>
  </cols>
  <sheetData>
    <row r="1" spans="1:8" ht="52.5" customHeight="1" thickBot="1" x14ac:dyDescent="0.4">
      <c r="A1" s="12" t="s">
        <v>0</v>
      </c>
      <c r="B1" s="12" t="s">
        <v>43</v>
      </c>
      <c r="C1" s="12" t="s">
        <v>44</v>
      </c>
      <c r="D1" s="12" t="s">
        <v>45</v>
      </c>
      <c r="E1" s="34" t="s">
        <v>46</v>
      </c>
      <c r="F1" s="12" t="s">
        <v>47</v>
      </c>
      <c r="G1" s="12" t="s">
        <v>48</v>
      </c>
      <c r="H1" s="12" t="s">
        <v>49</v>
      </c>
    </row>
    <row r="2" spans="1:8" ht="18" customHeight="1" thickBot="1" x14ac:dyDescent="0.4">
      <c r="A2" s="16" t="s">
        <v>23</v>
      </c>
      <c r="B2" s="17">
        <v>157</v>
      </c>
      <c r="C2" s="18">
        <v>0.02</v>
      </c>
      <c r="D2" s="19">
        <v>20</v>
      </c>
      <c r="E2" s="26">
        <v>2</v>
      </c>
      <c r="F2" s="20">
        <v>3</v>
      </c>
      <c r="G2" s="18">
        <f t="shared" ref="G2:G21" si="0">F2-F2*10%</f>
        <v>2.7</v>
      </c>
      <c r="H2" s="17">
        <v>1000</v>
      </c>
    </row>
    <row r="3" spans="1:8" ht="15" thickBot="1" x14ac:dyDescent="0.4">
      <c r="A3" s="16" t="s">
        <v>24</v>
      </c>
      <c r="B3" s="17">
        <v>100</v>
      </c>
      <c r="C3" s="18">
        <v>0.45</v>
      </c>
      <c r="D3" s="19">
        <v>12</v>
      </c>
      <c r="E3" s="26">
        <v>2</v>
      </c>
      <c r="F3" s="20">
        <v>45</v>
      </c>
      <c r="G3" s="18">
        <f t="shared" si="0"/>
        <v>40.5</v>
      </c>
      <c r="H3" s="17">
        <v>1500</v>
      </c>
    </row>
    <row r="4" spans="1:8" ht="15" thickBot="1" x14ac:dyDescent="0.4">
      <c r="A4" s="16" t="s">
        <v>25</v>
      </c>
      <c r="B4" s="17">
        <v>300</v>
      </c>
      <c r="C4" s="18">
        <v>0.55000000000000004</v>
      </c>
      <c r="D4" s="19">
        <v>8</v>
      </c>
      <c r="E4" s="26">
        <v>2</v>
      </c>
      <c r="F4" s="20">
        <v>90</v>
      </c>
      <c r="G4" s="18">
        <f t="shared" si="0"/>
        <v>81</v>
      </c>
      <c r="H4" s="17">
        <v>3000</v>
      </c>
    </row>
    <row r="5" spans="1:8" ht="15" thickBot="1" x14ac:dyDescent="0.4">
      <c r="A5" s="16" t="s">
        <v>26</v>
      </c>
      <c r="B5" s="17">
        <v>300</v>
      </c>
      <c r="C5" s="18">
        <v>0.4</v>
      </c>
      <c r="D5" s="19">
        <v>15</v>
      </c>
      <c r="E5" s="26">
        <v>2</v>
      </c>
      <c r="F5" s="20">
        <v>35</v>
      </c>
      <c r="G5" s="18">
        <f t="shared" si="0"/>
        <v>31.5</v>
      </c>
      <c r="H5" s="17">
        <v>2500</v>
      </c>
    </row>
    <row r="6" spans="1:8" ht="15" thickBot="1" x14ac:dyDescent="0.4">
      <c r="A6" s="16" t="s">
        <v>27</v>
      </c>
      <c r="B6" s="17">
        <v>240</v>
      </c>
      <c r="C6" s="18">
        <v>0.6</v>
      </c>
      <c r="D6" s="19">
        <v>10</v>
      </c>
      <c r="E6" s="26">
        <v>2</v>
      </c>
      <c r="F6" s="20">
        <v>145</v>
      </c>
      <c r="G6" s="18">
        <f t="shared" si="0"/>
        <v>130.5</v>
      </c>
      <c r="H6" s="17">
        <v>1500</v>
      </c>
    </row>
    <row r="7" spans="1:8" ht="15" thickBot="1" x14ac:dyDescent="0.4">
      <c r="A7" s="16" t="s">
        <v>28</v>
      </c>
      <c r="B7" s="17">
        <v>300</v>
      </c>
      <c r="C7" s="18">
        <v>0.48</v>
      </c>
      <c r="D7" s="19">
        <v>11</v>
      </c>
      <c r="E7" s="26">
        <v>2</v>
      </c>
      <c r="F7" s="20">
        <v>125</v>
      </c>
      <c r="G7" s="18">
        <f t="shared" si="0"/>
        <v>112.5</v>
      </c>
      <c r="H7" s="17">
        <v>3000</v>
      </c>
    </row>
    <row r="8" spans="1:8" ht="15" thickBot="1" x14ac:dyDescent="0.4">
      <c r="A8" s="16" t="s">
        <v>29</v>
      </c>
      <c r="B8" s="17">
        <v>145</v>
      </c>
      <c r="C8" s="18">
        <v>0.35</v>
      </c>
      <c r="D8" s="19">
        <v>14</v>
      </c>
      <c r="E8" s="26">
        <v>1.2</v>
      </c>
      <c r="F8" s="20">
        <v>56</v>
      </c>
      <c r="G8" s="18">
        <f t="shared" si="0"/>
        <v>50.4</v>
      </c>
      <c r="H8" s="17">
        <v>4500</v>
      </c>
    </row>
    <row r="9" spans="1:8" ht="15" thickBot="1" x14ac:dyDescent="0.4">
      <c r="A9" s="16" t="s">
        <v>30</v>
      </c>
      <c r="B9" s="17">
        <v>300</v>
      </c>
      <c r="C9" s="18">
        <v>0.57999999999999996</v>
      </c>
      <c r="D9" s="19">
        <v>9</v>
      </c>
      <c r="E9" s="26">
        <v>2.5</v>
      </c>
      <c r="F9" s="20">
        <v>34</v>
      </c>
      <c r="G9" s="18">
        <f t="shared" si="0"/>
        <v>30.6</v>
      </c>
      <c r="H9" s="17">
        <v>5200</v>
      </c>
    </row>
    <row r="10" spans="1:8" ht="15" thickBot="1" x14ac:dyDescent="0.4">
      <c r="A10" s="16" t="s">
        <v>31</v>
      </c>
      <c r="B10" s="17">
        <v>324</v>
      </c>
      <c r="C10" s="18">
        <v>0.42</v>
      </c>
      <c r="D10" s="19">
        <v>12</v>
      </c>
      <c r="E10" s="26">
        <v>1.5</v>
      </c>
      <c r="F10" s="20">
        <v>87</v>
      </c>
      <c r="G10" s="18">
        <f t="shared" si="0"/>
        <v>78.3</v>
      </c>
      <c r="H10" s="17">
        <v>3000</v>
      </c>
    </row>
    <row r="11" spans="1:8" ht="15" thickBot="1" x14ac:dyDescent="0.4">
      <c r="A11" s="16" t="s">
        <v>32</v>
      </c>
      <c r="B11" s="17">
        <v>345</v>
      </c>
      <c r="C11" s="18">
        <v>0.52</v>
      </c>
      <c r="D11" s="19">
        <v>11</v>
      </c>
      <c r="E11" s="26">
        <v>2</v>
      </c>
      <c r="F11" s="20">
        <v>120</v>
      </c>
      <c r="G11" s="18">
        <f t="shared" si="0"/>
        <v>108</v>
      </c>
      <c r="H11" s="17">
        <v>1000</v>
      </c>
    </row>
    <row r="12" spans="1:8" ht="15" thickBot="1" x14ac:dyDescent="0.4">
      <c r="A12" s="16" t="s">
        <v>33</v>
      </c>
      <c r="B12" s="17">
        <v>435</v>
      </c>
      <c r="C12" s="18">
        <v>0.46</v>
      </c>
      <c r="D12" s="19">
        <v>10</v>
      </c>
      <c r="E12" s="26">
        <v>1.3</v>
      </c>
      <c r="F12" s="20">
        <v>148</v>
      </c>
      <c r="G12" s="18">
        <f t="shared" si="0"/>
        <v>133.19999999999999</v>
      </c>
      <c r="H12" s="17">
        <v>42000</v>
      </c>
    </row>
    <row r="13" spans="1:8" ht="15" thickBot="1" x14ac:dyDescent="0.4">
      <c r="A13" s="16" t="s">
        <v>34</v>
      </c>
      <c r="B13" s="17">
        <v>176</v>
      </c>
      <c r="C13" s="18">
        <v>0.55000000000000004</v>
      </c>
      <c r="D13" s="19">
        <v>8</v>
      </c>
      <c r="E13" s="26">
        <v>2</v>
      </c>
      <c r="F13" s="20">
        <v>300</v>
      </c>
      <c r="G13" s="18">
        <f t="shared" si="0"/>
        <v>270</v>
      </c>
      <c r="H13" s="17">
        <v>3200</v>
      </c>
    </row>
    <row r="14" spans="1:8" ht="15" thickBot="1" x14ac:dyDescent="0.4">
      <c r="A14" s="16" t="s">
        <v>35</v>
      </c>
      <c r="B14" s="17">
        <v>250</v>
      </c>
      <c r="C14" s="18">
        <v>0.38</v>
      </c>
      <c r="D14" s="19">
        <v>13</v>
      </c>
      <c r="E14" s="26">
        <v>1.5</v>
      </c>
      <c r="F14" s="20">
        <v>320</v>
      </c>
      <c r="G14" s="18">
        <f t="shared" si="0"/>
        <v>288</v>
      </c>
      <c r="H14" s="17">
        <v>2000</v>
      </c>
    </row>
    <row r="15" spans="1:8" ht="15" thickBot="1" x14ac:dyDescent="0.4">
      <c r="A15" s="16" t="s">
        <v>36</v>
      </c>
      <c r="B15" s="17">
        <v>345</v>
      </c>
      <c r="C15" s="18">
        <v>0.48</v>
      </c>
      <c r="D15" s="19">
        <v>12</v>
      </c>
      <c r="E15" s="26">
        <v>1.3</v>
      </c>
      <c r="F15" s="20">
        <v>530</v>
      </c>
      <c r="G15" s="18">
        <f t="shared" si="0"/>
        <v>477</v>
      </c>
      <c r="H15" s="17">
        <v>2500</v>
      </c>
    </row>
    <row r="16" spans="1:8" ht="15" thickBot="1" x14ac:dyDescent="0.4">
      <c r="A16" s="16" t="s">
        <v>37</v>
      </c>
      <c r="B16" s="17">
        <v>243</v>
      </c>
      <c r="C16" s="18">
        <v>0.42</v>
      </c>
      <c r="D16" s="19">
        <v>11</v>
      </c>
      <c r="E16" s="26">
        <v>2</v>
      </c>
      <c r="F16" s="20">
        <v>5000</v>
      </c>
      <c r="G16" s="18">
        <f t="shared" si="0"/>
        <v>4500</v>
      </c>
      <c r="H16" s="17">
        <v>10</v>
      </c>
    </row>
    <row r="17" spans="1:8" ht="15" thickBot="1" x14ac:dyDescent="0.4">
      <c r="A17" s="16" t="s">
        <v>38</v>
      </c>
      <c r="B17" s="17">
        <v>278</v>
      </c>
      <c r="C17" s="18">
        <v>0.56999999999999995</v>
      </c>
      <c r="D17" s="19">
        <v>9</v>
      </c>
      <c r="E17" s="26">
        <v>1.2</v>
      </c>
      <c r="F17" s="20">
        <v>650</v>
      </c>
      <c r="G17" s="18">
        <f t="shared" si="0"/>
        <v>585</v>
      </c>
      <c r="H17" s="17">
        <v>3500</v>
      </c>
    </row>
    <row r="18" spans="1:8" ht="15" thickBot="1" x14ac:dyDescent="0.4">
      <c r="A18" s="16" t="s">
        <v>39</v>
      </c>
      <c r="B18" s="17">
        <v>390</v>
      </c>
      <c r="C18" s="18">
        <v>0.39</v>
      </c>
      <c r="D18" s="19">
        <v>15</v>
      </c>
      <c r="E18" s="26">
        <v>2</v>
      </c>
      <c r="F18" s="20">
        <v>640</v>
      </c>
      <c r="G18" s="18">
        <f t="shared" si="0"/>
        <v>576</v>
      </c>
      <c r="H18" s="17" t="s">
        <v>174</v>
      </c>
    </row>
    <row r="19" spans="1:8" ht="15" thickBot="1" x14ac:dyDescent="0.4">
      <c r="A19" s="16" t="s">
        <v>40</v>
      </c>
      <c r="B19" s="17">
        <v>350</v>
      </c>
      <c r="C19" s="18">
        <v>0.51</v>
      </c>
      <c r="D19" s="19">
        <v>10</v>
      </c>
      <c r="E19" s="26">
        <v>2</v>
      </c>
      <c r="F19" s="20">
        <v>360</v>
      </c>
      <c r="G19" s="18">
        <f t="shared" si="0"/>
        <v>324</v>
      </c>
      <c r="H19" s="17">
        <v>400</v>
      </c>
    </row>
    <row r="20" spans="1:8" ht="15" thickBot="1" x14ac:dyDescent="0.4">
      <c r="A20" s="16" t="s">
        <v>41</v>
      </c>
      <c r="B20" s="17">
        <v>450</v>
      </c>
      <c r="C20" s="18">
        <v>0.45</v>
      </c>
      <c r="D20" s="19">
        <v>11</v>
      </c>
      <c r="E20" s="26">
        <v>1.2</v>
      </c>
      <c r="F20" s="20">
        <v>540</v>
      </c>
      <c r="G20" s="18">
        <f t="shared" si="0"/>
        <v>486</v>
      </c>
      <c r="H20" s="17">
        <v>250</v>
      </c>
    </row>
    <row r="21" spans="1:8" ht="15" thickBot="1" x14ac:dyDescent="0.4">
      <c r="A21" s="16" t="s">
        <v>42</v>
      </c>
      <c r="B21" s="17">
        <v>256</v>
      </c>
      <c r="C21" s="18">
        <v>0.6</v>
      </c>
      <c r="D21" s="19">
        <v>8</v>
      </c>
      <c r="E21" s="26">
        <v>2</v>
      </c>
      <c r="F21" s="20">
        <v>400</v>
      </c>
      <c r="G21" s="18">
        <f t="shared" si="0"/>
        <v>360</v>
      </c>
      <c r="H21" s="17">
        <v>3000</v>
      </c>
    </row>
  </sheetData>
  <dataConsolidate/>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7B392-1F71-467A-90BF-5FC5F570AAD3}">
  <dimension ref="A1:F21"/>
  <sheetViews>
    <sheetView workbookViewId="0">
      <selection activeCell="C2" sqref="C2"/>
    </sheetView>
  </sheetViews>
  <sheetFormatPr defaultRowHeight="14.5" x14ac:dyDescent="0.35"/>
  <cols>
    <col min="1" max="1" width="9.7265625" style="15" customWidth="1"/>
    <col min="2" max="3" width="10.54296875" style="15" customWidth="1"/>
    <col min="4" max="5" width="12.36328125" style="15" customWidth="1"/>
    <col min="6" max="6" width="14.6328125" style="15" bestFit="1" customWidth="1"/>
  </cols>
  <sheetData>
    <row r="1" spans="1:6" ht="93" thickBot="1" x14ac:dyDescent="0.4">
      <c r="A1" s="12" t="s">
        <v>0</v>
      </c>
      <c r="B1" s="12" t="s">
        <v>50</v>
      </c>
      <c r="C1" s="12" t="s">
        <v>206</v>
      </c>
      <c r="D1" s="12" t="s">
        <v>51</v>
      </c>
      <c r="E1" s="12" t="s">
        <v>207</v>
      </c>
      <c r="F1" s="12" t="s">
        <v>52</v>
      </c>
    </row>
    <row r="2" spans="1:6" ht="15" thickBot="1" x14ac:dyDescent="0.4">
      <c r="A2" s="16" t="s">
        <v>23</v>
      </c>
      <c r="B2" s="21" cm="1">
        <f t="array" ref="B2:B21">SQRT((2*D*unit_k)/unit_h)</f>
        <v>560.35702904487596</v>
      </c>
      <c r="C2" s="21" cm="1">
        <f t="array" ref="C2:C21">D/y_</f>
        <v>0.28017851452243803</v>
      </c>
      <c r="D2" s="21" cm="1">
        <f t="array" ref="D2:D21">unit_k*Length_of_Supply_Cycle__t_d</f>
        <v>5.6035702904487605</v>
      </c>
      <c r="E2" s="21" cm="1">
        <f t="array" ref="E2:E21">y_/2</f>
        <v>280.17851452243798</v>
      </c>
      <c r="F2" s="21" cm="1">
        <f t="array" ref="F2:F21">unit_h*Average_Inventory__Qbar</f>
        <v>5.6035702904487596</v>
      </c>
    </row>
    <row r="3" spans="1:6" ht="15" thickBot="1" x14ac:dyDescent="0.4">
      <c r="A3" s="16" t="s">
        <v>24</v>
      </c>
      <c r="B3" s="21">
        <v>73.029674334022147</v>
      </c>
      <c r="C3" s="21">
        <v>1.3693063937629153</v>
      </c>
      <c r="D3" s="21">
        <v>16.431676725154983</v>
      </c>
      <c r="E3" s="21">
        <v>36.514837167011073</v>
      </c>
      <c r="F3" s="21">
        <v>16.431676725154983</v>
      </c>
    </row>
    <row r="4" spans="1:6" ht="15" thickBot="1" x14ac:dyDescent="0.4">
      <c r="A4" s="16" t="s">
        <v>25</v>
      </c>
      <c r="B4" s="21">
        <v>93.419873299382743</v>
      </c>
      <c r="C4" s="21">
        <v>3.2113081446662828</v>
      </c>
      <c r="D4" s="21">
        <v>25.690465157330262</v>
      </c>
      <c r="E4" s="21">
        <v>46.709936649691372</v>
      </c>
      <c r="F4" s="21">
        <v>25.690465157330255</v>
      </c>
    </row>
    <row r="5" spans="1:6" ht="15" thickBot="1" x14ac:dyDescent="0.4">
      <c r="A5" s="16" t="s">
        <v>26</v>
      </c>
      <c r="B5" s="21">
        <v>150</v>
      </c>
      <c r="C5" s="21">
        <v>2</v>
      </c>
      <c r="D5" s="21">
        <v>30</v>
      </c>
      <c r="E5" s="21">
        <v>75</v>
      </c>
      <c r="F5" s="21">
        <v>30</v>
      </c>
    </row>
    <row r="6" spans="1:6" ht="15" thickBot="1" x14ac:dyDescent="0.4">
      <c r="A6" s="16" t="s">
        <v>27</v>
      </c>
      <c r="B6" s="21">
        <v>89.442719099991592</v>
      </c>
      <c r="C6" s="21">
        <v>2.6832815729997477</v>
      </c>
      <c r="D6" s="21">
        <v>26.832815729997478</v>
      </c>
      <c r="E6" s="21">
        <v>44.721359549995796</v>
      </c>
      <c r="F6" s="21">
        <v>26.832815729997478</v>
      </c>
    </row>
    <row r="7" spans="1:6" ht="15" thickBot="1" x14ac:dyDescent="0.4">
      <c r="A7" s="16" t="s">
        <v>28</v>
      </c>
      <c r="B7" s="21">
        <v>117.26039399558574</v>
      </c>
      <c r="C7" s="21">
        <v>2.5584085962673253</v>
      </c>
      <c r="D7" s="21">
        <v>28.142494558940577</v>
      </c>
      <c r="E7" s="21">
        <v>58.630196997792872</v>
      </c>
      <c r="F7" s="21">
        <v>28.142494558940577</v>
      </c>
    </row>
    <row r="8" spans="1:6" ht="15" thickBot="1" x14ac:dyDescent="0.4">
      <c r="A8" s="16" t="s">
        <v>29</v>
      </c>
      <c r="B8" s="21">
        <v>107.70329614269008</v>
      </c>
      <c r="C8" s="21">
        <v>1.3462912017836259</v>
      </c>
      <c r="D8" s="21">
        <v>18.848076824970764</v>
      </c>
      <c r="E8" s="21">
        <v>53.851648071345039</v>
      </c>
      <c r="F8" s="21">
        <v>18.848076824970761</v>
      </c>
    </row>
    <row r="9" spans="1:6" ht="15" thickBot="1" x14ac:dyDescent="0.4">
      <c r="A9" s="16" t="s">
        <v>30</v>
      </c>
      <c r="B9" s="21">
        <v>96.490128135401548</v>
      </c>
      <c r="C9" s="21">
        <v>3.1091263510296048</v>
      </c>
      <c r="D9" s="21">
        <v>27.982137159266443</v>
      </c>
      <c r="E9" s="21">
        <v>48.245064067700774</v>
      </c>
      <c r="F9" s="21">
        <v>27.982137159266447</v>
      </c>
    </row>
    <row r="10" spans="1:6" ht="15" thickBot="1" x14ac:dyDescent="0.4">
      <c r="A10" s="16" t="s">
        <v>31</v>
      </c>
      <c r="B10" s="21">
        <v>136.0672102833218</v>
      </c>
      <c r="C10" s="21">
        <v>2.3811761799581315</v>
      </c>
      <c r="D10" s="21">
        <v>28.574114159497576</v>
      </c>
      <c r="E10" s="21">
        <v>68.0336051416609</v>
      </c>
      <c r="F10" s="21">
        <v>28.574114159497576</v>
      </c>
    </row>
    <row r="11" spans="1:6" ht="15" thickBot="1" x14ac:dyDescent="0.4">
      <c r="A11" s="16" t="s">
        <v>32</v>
      </c>
      <c r="B11" s="21">
        <v>120.81454318977433</v>
      </c>
      <c r="C11" s="21">
        <v>2.8556164753946658</v>
      </c>
      <c r="D11" s="21">
        <v>31.411781229341322</v>
      </c>
      <c r="E11" s="21">
        <v>60.407271594887163</v>
      </c>
      <c r="F11" s="21">
        <v>31.411781229341326</v>
      </c>
    </row>
    <row r="12" spans="1:6" ht="15" thickBot="1" x14ac:dyDescent="0.4">
      <c r="A12" s="16" t="s">
        <v>33</v>
      </c>
      <c r="B12" s="21">
        <v>137.52470133856269</v>
      </c>
      <c r="C12" s="21">
        <v>3.1630681307869422</v>
      </c>
      <c r="D12" s="21">
        <v>31.630681307869423</v>
      </c>
      <c r="E12" s="21">
        <v>68.762350669281346</v>
      </c>
      <c r="F12" s="21">
        <v>31.63068130786942</v>
      </c>
    </row>
    <row r="13" spans="1:6" ht="15" thickBot="1" x14ac:dyDescent="0.4">
      <c r="A13" s="16" t="s">
        <v>34</v>
      </c>
      <c r="B13" s="21">
        <v>71.554175279993274</v>
      </c>
      <c r="C13" s="21">
        <v>2.4596747752497685</v>
      </c>
      <c r="D13" s="21">
        <v>19.677398201998148</v>
      </c>
      <c r="E13" s="21">
        <v>35.777087639996637</v>
      </c>
      <c r="F13" s="21">
        <v>19.677398201998152</v>
      </c>
    </row>
    <row r="14" spans="1:6" ht="15" thickBot="1" x14ac:dyDescent="0.4">
      <c r="A14" s="16" t="s">
        <v>35</v>
      </c>
      <c r="B14" s="21">
        <v>130.78709094514923</v>
      </c>
      <c r="C14" s="21">
        <v>1.9115036368906426</v>
      </c>
      <c r="D14" s="21">
        <v>24.849547279578353</v>
      </c>
      <c r="E14" s="21">
        <v>65.393545472574615</v>
      </c>
      <c r="F14" s="21">
        <v>24.849547279578353</v>
      </c>
    </row>
    <row r="15" spans="1:6" ht="15" thickBot="1" x14ac:dyDescent="0.4">
      <c r="A15" s="16" t="s">
        <v>36</v>
      </c>
      <c r="B15" s="21">
        <v>131.33925536563697</v>
      </c>
      <c r="C15" s="21">
        <v>2.6267851073127395</v>
      </c>
      <c r="D15" s="21">
        <v>31.521421287752872</v>
      </c>
      <c r="E15" s="21">
        <v>65.669627682818486</v>
      </c>
      <c r="F15" s="21">
        <v>31.521421287752872</v>
      </c>
    </row>
    <row r="16" spans="1:6" ht="15" thickBot="1" x14ac:dyDescent="0.4">
      <c r="A16" s="16" t="s">
        <v>37</v>
      </c>
      <c r="B16" s="21">
        <v>112.82097069504157</v>
      </c>
      <c r="C16" s="21">
        <v>2.1538548950871572</v>
      </c>
      <c r="D16" s="21">
        <v>23.692403845958729</v>
      </c>
      <c r="E16" s="21">
        <v>56.410485347520783</v>
      </c>
      <c r="F16" s="21">
        <v>23.692403845958729</v>
      </c>
    </row>
    <row r="17" spans="1:6" ht="15" thickBot="1" x14ac:dyDescent="0.4">
      <c r="A17" s="16" t="s">
        <v>38</v>
      </c>
      <c r="B17" s="21">
        <v>93.696037100941751</v>
      </c>
      <c r="C17" s="21">
        <v>2.9670411748631551</v>
      </c>
      <c r="D17" s="21">
        <v>26.703370573768396</v>
      </c>
      <c r="E17" s="21">
        <v>46.848018550470876</v>
      </c>
      <c r="F17" s="21">
        <v>26.703370573768396</v>
      </c>
    </row>
    <row r="18" spans="1:6" ht="15" thickBot="1" x14ac:dyDescent="0.4">
      <c r="A18" s="16" t="s">
        <v>39</v>
      </c>
      <c r="B18" s="21">
        <v>173.20508075688772</v>
      </c>
      <c r="C18" s="21">
        <v>2.2516660498395407</v>
      </c>
      <c r="D18" s="21">
        <v>33.774990747593108</v>
      </c>
      <c r="E18" s="21">
        <v>86.602540378443862</v>
      </c>
      <c r="F18" s="21">
        <v>33.774990747593108</v>
      </c>
    </row>
    <row r="19" spans="1:6" ht="15" thickBot="1" x14ac:dyDescent="0.4">
      <c r="A19" s="16" t="s">
        <v>40</v>
      </c>
      <c r="B19" s="21">
        <v>117.15583722580122</v>
      </c>
      <c r="C19" s="21">
        <v>2.9874738492579311</v>
      </c>
      <c r="D19" s="21">
        <v>29.874738492579311</v>
      </c>
      <c r="E19" s="21">
        <v>58.577918612900611</v>
      </c>
      <c r="F19" s="21">
        <v>29.874738492579311</v>
      </c>
    </row>
    <row r="20" spans="1:6" ht="15" thickBot="1" x14ac:dyDescent="0.4">
      <c r="A20" s="16" t="s">
        <v>41</v>
      </c>
      <c r="B20" s="21">
        <v>148.32396974191326</v>
      </c>
      <c r="C20" s="21">
        <v>3.0338993810845896</v>
      </c>
      <c r="D20" s="21">
        <v>33.372893191930487</v>
      </c>
      <c r="E20" s="21">
        <v>74.16198487095663</v>
      </c>
      <c r="F20" s="21">
        <v>33.372893191930487</v>
      </c>
    </row>
    <row r="21" spans="1:6" ht="15" thickBot="1" x14ac:dyDescent="0.4">
      <c r="A21" s="16" t="s">
        <v>42</v>
      </c>
      <c r="B21" s="21">
        <v>82.623644719091558</v>
      </c>
      <c r="C21" s="21">
        <v>3.0983866769659336</v>
      </c>
      <c r="D21" s="21">
        <v>24.787093415727469</v>
      </c>
      <c r="E21" s="21">
        <v>41.311822359545779</v>
      </c>
      <c r="F21" s="21">
        <v>24.787093415727465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119A4-98B2-4683-B115-1642C66F70BD}">
  <dimension ref="A1:J21"/>
  <sheetViews>
    <sheetView workbookViewId="0">
      <selection activeCell="G2" sqref="G2"/>
    </sheetView>
  </sheetViews>
  <sheetFormatPr defaultRowHeight="14.5" x14ac:dyDescent="0.35"/>
  <cols>
    <col min="1" max="1" width="9.7265625" style="15" customWidth="1"/>
    <col min="2" max="2" width="10.7265625" style="15" bestFit="1" customWidth="1"/>
    <col min="3" max="3" width="8.7265625" style="15"/>
    <col min="4" max="4" width="9.26953125" style="15" bestFit="1" customWidth="1"/>
    <col min="5" max="5" width="8.7265625" style="15"/>
    <col min="6" max="6" width="15" style="15" bestFit="1" customWidth="1"/>
    <col min="7" max="7" width="8.7265625" style="15"/>
    <col min="8" max="8" width="11.81640625" style="15" bestFit="1" customWidth="1"/>
    <col min="9" max="9" width="14.7265625" style="15" bestFit="1" customWidth="1"/>
    <col min="10" max="10" width="8.7265625" style="15"/>
  </cols>
  <sheetData>
    <row r="1" spans="1:10" ht="37.5" thickBot="1" x14ac:dyDescent="0.4">
      <c r="A1" s="12" t="s">
        <v>172</v>
      </c>
      <c r="B1" s="12" t="s">
        <v>3</v>
      </c>
      <c r="C1" s="12" t="s">
        <v>4</v>
      </c>
      <c r="D1" s="12" t="s">
        <v>5</v>
      </c>
      <c r="E1" s="12" t="s">
        <v>6</v>
      </c>
      <c r="F1" s="12" t="s">
        <v>7</v>
      </c>
      <c r="G1" s="12" t="s">
        <v>8</v>
      </c>
      <c r="H1" s="12" t="s">
        <v>2</v>
      </c>
      <c r="I1" s="12" t="s">
        <v>9</v>
      </c>
      <c r="J1" s="12"/>
    </row>
    <row r="2" spans="1:10" ht="15" thickBot="1" x14ac:dyDescent="0.4">
      <c r="A2" s="16" t="s">
        <v>23</v>
      </c>
      <c r="B2" s="21" cm="1">
        <f t="array" ref="B2:B21">D*c_1+K+h</f>
        <v>482.20714058089754</v>
      </c>
      <c r="C2" s="22">
        <f>1</f>
        <v>1</v>
      </c>
      <c r="D2" s="23" cm="1">
        <f t="array" ref="D2:D21">(2*(c_2*D-TCU_y)/unit_h)</f>
        <v>-5830.7140580897512</v>
      </c>
      <c r="E2" s="23" cm="1">
        <f t="array" ref="E2:E21">2*unit_k*D/unit_h</f>
        <v>314000</v>
      </c>
      <c r="F2" s="23" cm="1">
        <f t="array" ref="F2:F21">b*b-4*a*cp</f>
        <v>32741226.427205458</v>
      </c>
      <c r="G2" s="23" cm="1">
        <f t="array" ref="G2:G21">((-b+SQRT(Disc))/(2*a))</f>
        <v>5776.354513629818</v>
      </c>
      <c r="H2" s="22" t="str" cm="1">
        <f t="array" ref="H2:H21">IF(q&lt;=y_,"Zone1 ",IF(q&lt;q_1,"Zone2","Zone3"))</f>
        <v>Zone2</v>
      </c>
      <c r="I2" s="24">
        <f>IF(OR(H2="Zone1 ",H2="Zone3"),Data!F2,Data!G2)</f>
        <v>2.7</v>
      </c>
      <c r="J2" s="22" t="b">
        <f>I2=Data!G2</f>
        <v>1</v>
      </c>
    </row>
    <row r="3" spans="1:10" ht="15" thickBot="1" x14ac:dyDescent="0.4">
      <c r="A3" s="16" t="s">
        <v>24</v>
      </c>
      <c r="B3" s="21">
        <v>4532.8633534503097</v>
      </c>
      <c r="C3" s="22">
        <f>1</f>
        <v>1</v>
      </c>
      <c r="D3" s="23">
        <v>-2146.0593486680427</v>
      </c>
      <c r="E3" s="23">
        <v>5333.333333333333</v>
      </c>
      <c r="F3" s="23">
        <v>4584237.3946721712</v>
      </c>
      <c r="G3" s="23">
        <v>2143.5712889702963</v>
      </c>
      <c r="H3" s="22" t="str">
        <v>Zone2</v>
      </c>
      <c r="I3" s="24">
        <f>IF(OR(H3="Zone1 ",H3="Zone3"),Data!F3,Data!G3)</f>
        <v>40.5</v>
      </c>
      <c r="J3" s="22" t="b">
        <f>I3=Data!G3</f>
        <v>1</v>
      </c>
    </row>
    <row r="4" spans="1:10" ht="15" thickBot="1" x14ac:dyDescent="0.4">
      <c r="A4" s="16" t="s">
        <v>25</v>
      </c>
      <c r="B4" s="21">
        <v>27051.380930314663</v>
      </c>
      <c r="C4" s="22">
        <f>1</f>
        <v>1</v>
      </c>
      <c r="D4" s="23">
        <v>-10005.021564780591</v>
      </c>
      <c r="E4" s="23">
        <v>8727.2727272727261</v>
      </c>
      <c r="F4" s="23">
        <v>100065547.42081557</v>
      </c>
      <c r="G4" s="23">
        <v>10004.149199469633</v>
      </c>
      <c r="H4" s="22" t="str">
        <v>Zone2</v>
      </c>
      <c r="I4" s="24">
        <f>IF(OR(H4="Zone1 ",H4="Zone3"),Data!F4,Data!G4)</f>
        <v>81</v>
      </c>
      <c r="J4" s="22" t="b">
        <f>I4=Data!G4</f>
        <v>1</v>
      </c>
    </row>
    <row r="5" spans="1:10" ht="15" thickBot="1" x14ac:dyDescent="0.4">
      <c r="A5" s="16" t="s">
        <v>26</v>
      </c>
      <c r="B5" s="21">
        <v>10560</v>
      </c>
      <c r="C5" s="22">
        <f>1</f>
        <v>1</v>
      </c>
      <c r="D5" s="23">
        <v>-5550</v>
      </c>
      <c r="E5" s="23">
        <v>22500</v>
      </c>
      <c r="F5" s="23">
        <v>30712500</v>
      </c>
      <c r="G5" s="23">
        <v>5545.9429802866744</v>
      </c>
      <c r="H5" s="22" t="str">
        <v>Zone2</v>
      </c>
      <c r="I5" s="24">
        <f>IF(OR(H5="Zone1 ",H5="Zone3"),Data!F5,Data!G5)</f>
        <v>31.5</v>
      </c>
      <c r="J5" s="22" t="b">
        <f>I5=Data!G5</f>
        <v>1</v>
      </c>
    </row>
    <row r="6" spans="1:10" ht="15" thickBot="1" x14ac:dyDescent="0.4">
      <c r="A6" s="16" t="s">
        <v>27</v>
      </c>
      <c r="B6" s="21">
        <v>34853.665631459997</v>
      </c>
      <c r="C6" s="22">
        <f>1</f>
        <v>1</v>
      </c>
      <c r="D6" s="23">
        <v>-11778.88543819999</v>
      </c>
      <c r="E6" s="23">
        <v>8000</v>
      </c>
      <c r="F6" s="23">
        <v>138710142.16623977</v>
      </c>
      <c r="G6" s="23">
        <v>11778.206217624956</v>
      </c>
      <c r="H6" s="22" t="str">
        <v>Zone2</v>
      </c>
      <c r="I6" s="24">
        <f>IF(OR(H6="Zone1 ",H6="Zone3"),Data!F6,Data!G6)</f>
        <v>130.5</v>
      </c>
      <c r="J6" s="22" t="b">
        <f>I6=Data!G6</f>
        <v>1</v>
      </c>
    </row>
    <row r="7" spans="1:10" ht="15" thickBot="1" x14ac:dyDescent="0.4">
      <c r="A7" s="16" t="s">
        <v>28</v>
      </c>
      <c r="B7" s="21">
        <v>37556.284989117878</v>
      </c>
      <c r="C7" s="22">
        <f>1</f>
        <v>1</v>
      </c>
      <c r="D7" s="23">
        <v>-15859.520787991158</v>
      </c>
      <c r="E7" s="23">
        <v>13750</v>
      </c>
      <c r="F7" s="23">
        <v>251469399.62472367</v>
      </c>
      <c r="G7" s="23">
        <v>15858.653753486607</v>
      </c>
      <c r="H7" s="22" t="str">
        <v>Zone2</v>
      </c>
      <c r="I7" s="24">
        <f>IF(OR(H7="Zone1 ",H7="Zone3"),Data!F7,Data!G7)</f>
        <v>112.5</v>
      </c>
      <c r="J7" s="22" t="b">
        <f>I7=Data!G7</f>
        <v>1</v>
      </c>
    </row>
    <row r="8" spans="1:10" ht="15" thickBot="1" x14ac:dyDescent="0.4">
      <c r="A8" s="16" t="s">
        <v>29</v>
      </c>
      <c r="B8" s="21">
        <v>8157.6961536499421</v>
      </c>
      <c r="C8" s="22">
        <f>1</f>
        <v>1</v>
      </c>
      <c r="D8" s="23">
        <v>-4855.4065922853833</v>
      </c>
      <c r="E8" s="23">
        <v>11600</v>
      </c>
      <c r="F8" s="23">
        <v>23528573.176408358</v>
      </c>
      <c r="G8" s="23">
        <v>4853.0163262693368</v>
      </c>
      <c r="H8" s="22" t="str">
        <v>Zone2</v>
      </c>
      <c r="I8" s="24">
        <f>IF(OR(H8="Zone1 ",H8="Zone3"),Data!F8,Data!G8)</f>
        <v>50.4</v>
      </c>
      <c r="J8" s="22" t="b">
        <f>I8=Data!G8</f>
        <v>1</v>
      </c>
    </row>
    <row r="9" spans="1:10" ht="15" thickBot="1" x14ac:dyDescent="0.4">
      <c r="A9" s="16" t="s">
        <v>30</v>
      </c>
      <c r="B9" s="21">
        <v>10255.964274318532</v>
      </c>
      <c r="C9" s="22">
        <f>1</f>
        <v>1</v>
      </c>
      <c r="D9" s="23">
        <v>-3710.2216355811461</v>
      </c>
      <c r="E9" s="23">
        <v>9310.3448275862083</v>
      </c>
      <c r="F9" s="23">
        <v>13728503.20582409</v>
      </c>
      <c r="G9" s="23">
        <v>3707.7105590881965</v>
      </c>
      <c r="H9" s="22" t="str">
        <v>Zone3</v>
      </c>
      <c r="I9" s="24">
        <f>IF(OR(H9="Zone1 ",H9="Zone3"),Data!F9,Data!G9)</f>
        <v>34</v>
      </c>
      <c r="J9" s="22" t="b">
        <f>I9=Data!G9</f>
        <v>0</v>
      </c>
    </row>
    <row r="10" spans="1:10" ht="15" thickBot="1" x14ac:dyDescent="0.4">
      <c r="A10" s="16" t="s">
        <v>31</v>
      </c>
      <c r="B10" s="21">
        <v>28245.148228318998</v>
      </c>
      <c r="C10" s="22">
        <f>1</f>
        <v>1</v>
      </c>
      <c r="D10" s="23">
        <v>-13694.991563423797</v>
      </c>
      <c r="E10" s="23">
        <v>18514.285714285714</v>
      </c>
      <c r="F10" s="23">
        <v>187478736.77939183</v>
      </c>
      <c r="G10" s="23">
        <v>13693.639528000604</v>
      </c>
      <c r="H10" s="22" t="str">
        <v>Zone2</v>
      </c>
      <c r="I10" s="24">
        <f>IF(OR(H10="Zone1 ",H10="Zone3"),Data!F10,Data!G10)</f>
        <v>78.3</v>
      </c>
      <c r="J10" s="22" t="b">
        <f>I10=Data!G10</f>
        <v>1</v>
      </c>
    </row>
    <row r="11" spans="1:10" ht="15" thickBot="1" x14ac:dyDescent="0.4">
      <c r="A11" s="16" t="s">
        <v>32</v>
      </c>
      <c r="B11" s="21">
        <v>41462.823562458681</v>
      </c>
      <c r="C11" s="22">
        <f>1</f>
        <v>1</v>
      </c>
      <c r="D11" s="23">
        <v>-16164.706009456466</v>
      </c>
      <c r="E11" s="23">
        <v>14596.153846153846</v>
      </c>
      <c r="F11" s="23">
        <v>261239335.75677338</v>
      </c>
      <c r="G11" s="23">
        <v>16163.802994624435</v>
      </c>
      <c r="H11" s="22" t="str">
        <v>Zone2</v>
      </c>
      <c r="I11" s="24">
        <f>IF(OR(H11="Zone1 ",H11="Zone3"),Data!F11,Data!G11)</f>
        <v>108</v>
      </c>
      <c r="J11" s="22" t="b">
        <f>I11=Data!G11</f>
        <v>1</v>
      </c>
    </row>
    <row r="12" spans="1:10" ht="15" thickBot="1" x14ac:dyDescent="0.4">
      <c r="A12" s="16" t="s">
        <v>33</v>
      </c>
      <c r="B12" s="21">
        <v>64443.26136261574</v>
      </c>
      <c r="C12" s="22">
        <f>1</f>
        <v>1</v>
      </c>
      <c r="D12" s="23">
        <v>-28266.353750503247</v>
      </c>
      <c r="E12" s="23">
        <v>18913.043478260868</v>
      </c>
      <c r="F12" s="23">
        <v>798911102.17467594</v>
      </c>
      <c r="G12" s="23">
        <v>28265.684633737692</v>
      </c>
      <c r="H12" s="22" t="str">
        <v>Zone3</v>
      </c>
      <c r="I12" s="24">
        <f>IF(OR(H12="Zone1 ",H12="Zone3"),Data!F12,Data!G12)</f>
        <v>148</v>
      </c>
      <c r="J12" s="22" t="b">
        <f>I12=Data!G12</f>
        <v>0</v>
      </c>
    </row>
    <row r="13" spans="1:10" ht="15" thickBot="1" x14ac:dyDescent="0.4">
      <c r="A13" s="16" t="s">
        <v>34</v>
      </c>
      <c r="B13" s="21">
        <v>52839.35479640399</v>
      </c>
      <c r="C13" s="22">
        <f>1</f>
        <v>1</v>
      </c>
      <c r="D13" s="23">
        <v>-19343.10835055996</v>
      </c>
      <c r="E13" s="23">
        <v>5120</v>
      </c>
      <c r="F13" s="23">
        <v>374135360.66150248</v>
      </c>
      <c r="G13" s="23">
        <v>19342.843653181859</v>
      </c>
      <c r="H13" s="22" t="str">
        <v>Zone2</v>
      </c>
      <c r="I13" s="24">
        <f>IF(OR(H13="Zone1 ",H13="Zone3"),Data!F13,Data!G13)</f>
        <v>270</v>
      </c>
      <c r="J13" s="22" t="b">
        <f>I13=Data!G13</f>
        <v>1</v>
      </c>
    </row>
    <row r="14" spans="1:10" ht="15" thickBot="1" x14ac:dyDescent="0.4">
      <c r="A14" s="16" t="s">
        <v>35</v>
      </c>
      <c r="B14" s="21">
        <v>80049.699094559153</v>
      </c>
      <c r="C14" s="22">
        <f>1</f>
        <v>1</v>
      </c>
      <c r="D14" s="23">
        <v>-42366.837339785016</v>
      </c>
      <c r="E14" s="23">
        <v>17105.263157894737</v>
      </c>
      <c r="F14" s="23">
        <v>1794880485.1231701</v>
      </c>
      <c r="G14" s="23">
        <v>42366.433594137648</v>
      </c>
      <c r="H14" s="22" t="str">
        <v>Zone2</v>
      </c>
      <c r="I14" s="24">
        <f>IF(OR(H14="Zone1 ",H14="Zone3"),Data!F14,Data!G14)</f>
        <v>288</v>
      </c>
      <c r="J14" s="22" t="b">
        <f>I14=Data!G14</f>
        <v>1</v>
      </c>
    </row>
    <row r="15" spans="1:10" ht="15" thickBot="1" x14ac:dyDescent="0.4">
      <c r="A15" s="16" t="s">
        <v>36</v>
      </c>
      <c r="B15" s="21">
        <v>182913.04284257552</v>
      </c>
      <c r="C15" s="22">
        <f>1</f>
        <v>1</v>
      </c>
      <c r="D15" s="23">
        <v>-76450.178510731348</v>
      </c>
      <c r="E15" s="23">
        <v>17250</v>
      </c>
      <c r="F15" s="23">
        <v>5844560794.3226891</v>
      </c>
      <c r="G15" s="23">
        <v>76449.952872920578</v>
      </c>
      <c r="H15" s="22" t="str">
        <v>Zone2</v>
      </c>
      <c r="I15" s="24">
        <f>IF(OR(H15="Zone1 ",H15="Zone3"),Data!F15,Data!G15)</f>
        <v>477</v>
      </c>
      <c r="J15" s="22" t="b">
        <f>I15=Data!G15</f>
        <v>1</v>
      </c>
    </row>
    <row r="16" spans="1:10" ht="15" thickBot="1" x14ac:dyDescent="0.4">
      <c r="A16" s="16" t="s">
        <v>37</v>
      </c>
      <c r="B16" s="21">
        <v>1215047.3848076919</v>
      </c>
      <c r="C16" s="22">
        <f>1</f>
        <v>1</v>
      </c>
      <c r="D16" s="23">
        <v>-578797.07051281864</v>
      </c>
      <c r="E16" s="23">
        <v>12728.571428571429</v>
      </c>
      <c r="F16" s="23">
        <v>335005997919.93506</v>
      </c>
      <c r="G16" s="23">
        <v>578797.04852139438</v>
      </c>
      <c r="H16" s="22" t="str">
        <v xml:space="preserve">Zone1 </v>
      </c>
      <c r="I16" s="24">
        <f>IF(OR(H16="Zone1 ",H16="Zone3"),Data!F16,Data!G16)</f>
        <v>5000</v>
      </c>
      <c r="J16" s="22" t="b">
        <f>I16=Data!G16</f>
        <v>0</v>
      </c>
    </row>
    <row r="17" spans="1:10" ht="15" thickBot="1" x14ac:dyDescent="0.4">
      <c r="A17" s="16" t="s">
        <v>38</v>
      </c>
      <c r="B17" s="21">
        <v>180753.40674114751</v>
      </c>
      <c r="C17" s="22">
        <f>1</f>
        <v>1</v>
      </c>
      <c r="D17" s="23">
        <v>-63590.900846131626</v>
      </c>
      <c r="E17" s="23">
        <v>8778.9473684210534</v>
      </c>
      <c r="F17" s="23">
        <v>4043767554.6330705</v>
      </c>
      <c r="G17" s="23">
        <v>63590.76279231716</v>
      </c>
      <c r="H17" s="22" t="str">
        <v>Zone2</v>
      </c>
      <c r="I17" s="24">
        <f>IF(OR(H17="Zone1 ",H17="Zone3"),Data!F17,Data!G17)</f>
        <v>585</v>
      </c>
      <c r="J17" s="22" t="b">
        <f>I17=Data!G17</f>
        <v>1</v>
      </c>
    </row>
    <row r="18" spans="1:10" ht="15" thickBot="1" x14ac:dyDescent="0.4">
      <c r="A18" s="16" t="s">
        <v>39</v>
      </c>
      <c r="B18" s="21">
        <v>249667.54998149519</v>
      </c>
      <c r="C18" s="22">
        <f>1</f>
        <v>1</v>
      </c>
      <c r="D18" s="23">
        <v>-128346.41016151379</v>
      </c>
      <c r="E18" s="23">
        <v>30000</v>
      </c>
      <c r="F18" s="23">
        <v>16472681001.34753</v>
      </c>
      <c r="G18" s="23">
        <v>128346.17641867207</v>
      </c>
      <c r="H18" s="22" t="str">
        <v>Zone3</v>
      </c>
      <c r="I18" s="24">
        <f>IF(OR(H18="Zone1 ",H18="Zone3"),Data!F18,Data!G18)</f>
        <v>640</v>
      </c>
      <c r="J18" s="22" t="b">
        <f>I18=Data!G18</f>
        <v>0</v>
      </c>
    </row>
    <row r="19" spans="1:10" ht="15" thickBot="1" x14ac:dyDescent="0.4">
      <c r="A19" s="16" t="s">
        <v>40</v>
      </c>
      <c r="B19" s="21">
        <v>126059.74947698516</v>
      </c>
      <c r="C19" s="22">
        <f>1</f>
        <v>1</v>
      </c>
      <c r="D19" s="23">
        <v>-49646.076380333965</v>
      </c>
      <c r="E19" s="23">
        <v>13725.490196078432</v>
      </c>
      <c r="F19" s="23">
        <v>2464677998.0011697</v>
      </c>
      <c r="G19" s="23">
        <v>49645.799912028073</v>
      </c>
      <c r="H19" s="22" t="str">
        <v>Zone2</v>
      </c>
      <c r="I19" s="24">
        <f>IF(OR(H19="Zone1 ",H19="Zone3"),Data!F19,Data!G19)</f>
        <v>324</v>
      </c>
      <c r="J19" s="22" t="b">
        <f>I19=Data!G19</f>
        <v>1</v>
      </c>
    </row>
    <row r="20" spans="1:10" ht="15" thickBot="1" x14ac:dyDescent="0.4">
      <c r="A20" s="16" t="s">
        <v>41</v>
      </c>
      <c r="B20" s="21">
        <v>243066.74578638386</v>
      </c>
      <c r="C20" s="22">
        <f>1</f>
        <v>1</v>
      </c>
      <c r="D20" s="23">
        <v>-108296.64793948384</v>
      </c>
      <c r="E20" s="23">
        <v>22000</v>
      </c>
      <c r="F20" s="23">
        <v>11728075954.928509</v>
      </c>
      <c r="G20" s="23">
        <v>108296.44479338756</v>
      </c>
      <c r="H20" s="22" t="str">
        <v>Zone2</v>
      </c>
      <c r="I20" s="24">
        <f>IF(OR(H20="Zone1 ",H20="Zone3"),Data!F20,Data!G20)</f>
        <v>486</v>
      </c>
      <c r="J20" s="22" t="b">
        <f>I20=Data!G20</f>
        <v>1</v>
      </c>
    </row>
    <row r="21" spans="1:10" ht="15" thickBot="1" x14ac:dyDescent="0.4">
      <c r="A21" s="16" t="s">
        <v>42</v>
      </c>
      <c r="B21" s="21">
        <v>102449.57418683145</v>
      </c>
      <c r="C21" s="22">
        <f>1</f>
        <v>1</v>
      </c>
      <c r="D21" s="23">
        <v>-34298.580622771507</v>
      </c>
      <c r="E21" s="23">
        <v>6826.666666666667</v>
      </c>
      <c r="F21" s="23">
        <v>1176365326.0700903</v>
      </c>
      <c r="G21" s="23">
        <v>34298.381585197392</v>
      </c>
      <c r="H21" s="22" t="str">
        <v>Zone2</v>
      </c>
      <c r="I21" s="24">
        <f>IF(OR(H21="Zone1 ",H21="Zone3"),Data!F21,Data!G21)</f>
        <v>360</v>
      </c>
      <c r="J21" s="22" t="b">
        <f>I21=Data!G21</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3627B-7773-4C6A-9FB0-5A3953AC0122}">
  <dimension ref="A1:H32"/>
  <sheetViews>
    <sheetView workbookViewId="0">
      <selection activeCell="K13" sqref="K13"/>
    </sheetView>
  </sheetViews>
  <sheetFormatPr defaultRowHeight="14.5" x14ac:dyDescent="0.35"/>
  <cols>
    <col min="1" max="1" width="17.6328125" bestFit="1" customWidth="1"/>
    <col min="3" max="3" width="11.08984375" bestFit="1" customWidth="1"/>
    <col min="4" max="4" width="11.26953125" customWidth="1"/>
    <col min="5" max="5" width="13.6328125" bestFit="1" customWidth="1"/>
    <col min="6" max="6" width="14.90625" bestFit="1" customWidth="1"/>
    <col min="7" max="7" width="12" customWidth="1"/>
  </cols>
  <sheetData>
    <row r="1" spans="1:8" ht="31.5" thickBot="1" x14ac:dyDescent="0.4">
      <c r="A1" s="3" t="s">
        <v>0</v>
      </c>
      <c r="B1" s="3" t="s">
        <v>15</v>
      </c>
      <c r="C1" s="3" t="s">
        <v>14</v>
      </c>
      <c r="D1" s="3" t="s">
        <v>16</v>
      </c>
      <c r="E1" s="3" t="s">
        <v>19</v>
      </c>
      <c r="F1" s="3" t="s">
        <v>20</v>
      </c>
      <c r="G1" s="3" t="s">
        <v>21</v>
      </c>
      <c r="H1" s="3" t="s">
        <v>22</v>
      </c>
    </row>
    <row r="2" spans="1:8" ht="15" thickBot="1" x14ac:dyDescent="0.4">
      <c r="A2" s="2" t="s">
        <v>23</v>
      </c>
      <c r="B2" s="6">
        <f>VLOOKUP(A2,Profit!$A$2:$F$21,3,0)</f>
        <v>157</v>
      </c>
      <c r="C2" s="6">
        <f>VLOOKUP(A2,'Price Break Model'!$A$2:$F$21,5,0)</f>
        <v>314000</v>
      </c>
      <c r="D2" s="6">
        <f t="shared" ref="D2:D21" si="0">B2*C2</f>
        <v>49298000</v>
      </c>
      <c r="E2" s="7">
        <f t="shared" ref="E2:E21" si="1">D2/$D$22</f>
        <v>0.36845943467279058</v>
      </c>
      <c r="F2" s="5">
        <f t="shared" ref="F2:F21" si="2">RANK(D2,$D$2:$D$21,0)</f>
        <v>1</v>
      </c>
      <c r="G2" s="7">
        <f>E2</f>
        <v>0.36845943467279058</v>
      </c>
      <c r="H2" s="5" t="str">
        <f t="shared" ref="H2:H21" si="3">IF(G2&lt;=80%,"A",IF(G2&lt;=95%,"B","C"))</f>
        <v>A</v>
      </c>
    </row>
    <row r="3" spans="1:8" ht="15" thickBot="1" x14ac:dyDescent="0.4">
      <c r="A3" s="2" t="s">
        <v>39</v>
      </c>
      <c r="B3" s="6">
        <f>VLOOKUP(A3,Profit!$A$2:$F$21,3,0)</f>
        <v>390</v>
      </c>
      <c r="C3" s="6">
        <f>VLOOKUP(A3,'Price Break Model'!$A$2:$F$21,5,0)</f>
        <v>30000</v>
      </c>
      <c r="D3" s="6">
        <f t="shared" si="0"/>
        <v>11700000</v>
      </c>
      <c r="E3" s="7">
        <f t="shared" si="1"/>
        <v>8.7447267346984658E-2</v>
      </c>
      <c r="F3" s="5">
        <f t="shared" si="2"/>
        <v>2</v>
      </c>
      <c r="G3" s="7">
        <f t="shared" ref="G3:G12" si="4">G2+E3</f>
        <v>0.45590670201977523</v>
      </c>
      <c r="H3" s="5" t="str">
        <f t="shared" si="3"/>
        <v>A</v>
      </c>
    </row>
    <row r="4" spans="1:8" ht="15" thickBot="1" x14ac:dyDescent="0.4">
      <c r="A4" s="2" t="s">
        <v>41</v>
      </c>
      <c r="B4" s="6">
        <f>VLOOKUP(A4,Profit!$A$2:$F$21,3,0)</f>
        <v>450</v>
      </c>
      <c r="C4" s="6">
        <f>VLOOKUP(A4,'Price Break Model'!$A$2:$F$21,5,0)</f>
        <v>22000</v>
      </c>
      <c r="D4" s="6">
        <f t="shared" si="0"/>
        <v>9900000</v>
      </c>
      <c r="E4" s="7">
        <f t="shared" si="1"/>
        <v>7.3993841601294713E-2</v>
      </c>
      <c r="F4" s="5">
        <f t="shared" si="2"/>
        <v>3</v>
      </c>
      <c r="G4" s="7">
        <f t="shared" si="4"/>
        <v>0.52990054362106997</v>
      </c>
      <c r="H4" s="5" t="str">
        <f t="shared" si="3"/>
        <v>A</v>
      </c>
    </row>
    <row r="5" spans="1:8" ht="15" thickBot="1" x14ac:dyDescent="0.4">
      <c r="A5" s="2" t="s">
        <v>33</v>
      </c>
      <c r="B5" s="6">
        <f>VLOOKUP(A5,Profit!$A$2:$F$21,3,0)</f>
        <v>435</v>
      </c>
      <c r="C5" s="6">
        <f>VLOOKUP(A5,'Price Break Model'!$A$2:$F$21,5,0)</f>
        <v>18913.043478260868</v>
      </c>
      <c r="D5" s="6">
        <f t="shared" si="0"/>
        <v>8227173.9130434776</v>
      </c>
      <c r="E5" s="7">
        <f t="shared" si="1"/>
        <v>6.1490929631115465E-2</v>
      </c>
      <c r="F5" s="5">
        <f t="shared" si="2"/>
        <v>4</v>
      </c>
      <c r="G5" s="7">
        <f t="shared" si="4"/>
        <v>0.59139147325218544</v>
      </c>
      <c r="H5" s="5" t="str">
        <f t="shared" si="3"/>
        <v>A</v>
      </c>
    </row>
    <row r="6" spans="1:8" ht="15" thickBot="1" x14ac:dyDescent="0.4">
      <c r="A6" s="2" t="s">
        <v>26</v>
      </c>
      <c r="B6" s="6">
        <f>VLOOKUP(A6,Profit!$A$2:$F$21,3,0)</f>
        <v>300</v>
      </c>
      <c r="C6" s="6">
        <f>VLOOKUP(A6,'Price Break Model'!$A$2:$F$21,5,0)</f>
        <v>22500</v>
      </c>
      <c r="D6" s="6">
        <f t="shared" si="0"/>
        <v>6750000</v>
      </c>
      <c r="E6" s="7">
        <f t="shared" si="1"/>
        <v>5.0450346546337302E-2</v>
      </c>
      <c r="F6" s="5">
        <f t="shared" si="2"/>
        <v>5</v>
      </c>
      <c r="G6" s="7">
        <f t="shared" si="4"/>
        <v>0.64184181979852273</v>
      </c>
      <c r="H6" s="5" t="str">
        <f t="shared" si="3"/>
        <v>A</v>
      </c>
    </row>
    <row r="7" spans="1:8" ht="15" thickBot="1" x14ac:dyDescent="0.4">
      <c r="A7" s="2" t="s">
        <v>31</v>
      </c>
      <c r="B7" s="6">
        <f>VLOOKUP(A7,Profit!$A$2:$F$21,3,0)</f>
        <v>324</v>
      </c>
      <c r="C7" s="6">
        <f>VLOOKUP(A7,'Price Break Model'!$A$2:$F$21,5,0)</f>
        <v>18514.285714285714</v>
      </c>
      <c r="D7" s="6">
        <f t="shared" si="0"/>
        <v>5998628.5714285709</v>
      </c>
      <c r="E7" s="7">
        <f t="shared" si="1"/>
        <v>4.4834502256493582E-2</v>
      </c>
      <c r="F7" s="5">
        <f t="shared" si="2"/>
        <v>6</v>
      </c>
      <c r="G7" s="7">
        <f t="shared" si="4"/>
        <v>0.68667632205501627</v>
      </c>
      <c r="H7" s="5" t="str">
        <f t="shared" si="3"/>
        <v>A</v>
      </c>
    </row>
    <row r="8" spans="1:8" ht="15" thickBot="1" x14ac:dyDescent="0.4">
      <c r="A8" s="2" t="s">
        <v>36</v>
      </c>
      <c r="B8" s="6">
        <f>VLOOKUP(A8,Profit!$A$2:$F$21,3,0)</f>
        <v>345</v>
      </c>
      <c r="C8" s="6">
        <f>VLOOKUP(A8,'Price Break Model'!$A$2:$F$21,5,0)</f>
        <v>17250</v>
      </c>
      <c r="D8" s="6">
        <f t="shared" si="0"/>
        <v>5951250</v>
      </c>
      <c r="E8" s="7">
        <f t="shared" si="1"/>
        <v>4.4480388871687392E-2</v>
      </c>
      <c r="F8" s="5">
        <f t="shared" si="2"/>
        <v>7</v>
      </c>
      <c r="G8" s="7">
        <f t="shared" si="4"/>
        <v>0.73115671092670365</v>
      </c>
      <c r="H8" s="5" t="str">
        <f t="shared" si="3"/>
        <v>A</v>
      </c>
    </row>
    <row r="9" spans="1:8" ht="15" thickBot="1" x14ac:dyDescent="0.4">
      <c r="A9" s="2" t="s">
        <v>32</v>
      </c>
      <c r="B9" s="6">
        <f>VLOOKUP(A9,Profit!$A$2:$F$21,3,0)</f>
        <v>345</v>
      </c>
      <c r="C9" s="6">
        <f>VLOOKUP(A9,'Price Break Model'!$A$2:$F$21,5,0)</f>
        <v>14596.153846153846</v>
      </c>
      <c r="D9" s="6">
        <f t="shared" si="0"/>
        <v>5035673.076923077</v>
      </c>
      <c r="E9" s="7">
        <f t="shared" si="1"/>
        <v>3.7637252122197026E-2</v>
      </c>
      <c r="F9" s="5">
        <f t="shared" si="2"/>
        <v>8</v>
      </c>
      <c r="G9" s="7">
        <f t="shared" si="4"/>
        <v>0.76879396304890069</v>
      </c>
      <c r="H9" s="5" t="str">
        <f t="shared" si="3"/>
        <v>A</v>
      </c>
    </row>
    <row r="10" spans="1:8" ht="15" thickBot="1" x14ac:dyDescent="0.4">
      <c r="A10" s="2" t="s">
        <v>40</v>
      </c>
      <c r="B10" s="6">
        <f>VLOOKUP(A10,Profit!$A$2:$F$21,3,0)</f>
        <v>350</v>
      </c>
      <c r="C10" s="6">
        <f>VLOOKUP(A10,'Price Break Model'!$A$2:$F$21,5,0)</f>
        <v>13725.490196078432</v>
      </c>
      <c r="D10" s="6">
        <f t="shared" si="0"/>
        <v>4803921.5686274515</v>
      </c>
      <c r="E10" s="7">
        <f t="shared" si="1"/>
        <v>3.5905112284248773E-2</v>
      </c>
      <c r="F10" s="5">
        <f t="shared" si="2"/>
        <v>9</v>
      </c>
      <c r="G10" s="7">
        <f t="shared" si="4"/>
        <v>0.80469907533314944</v>
      </c>
      <c r="H10" s="5" t="str">
        <f t="shared" si="3"/>
        <v>B</v>
      </c>
    </row>
    <row r="11" spans="1:8" ht="15" thickBot="1" x14ac:dyDescent="0.4">
      <c r="A11" s="2" t="s">
        <v>35</v>
      </c>
      <c r="B11" s="6">
        <f>VLOOKUP(A11,Profit!$A$2:$F$21,3,0)</f>
        <v>250</v>
      </c>
      <c r="C11" s="6">
        <f>VLOOKUP(A11,'Price Break Model'!$A$2:$F$21,5,0)</f>
        <v>17105.263157894737</v>
      </c>
      <c r="D11" s="6">
        <f t="shared" si="0"/>
        <v>4276315.7894736845</v>
      </c>
      <c r="E11" s="7">
        <f t="shared" si="1"/>
        <v>3.1961720521558726E-2</v>
      </c>
      <c r="F11" s="5">
        <f t="shared" si="2"/>
        <v>10</v>
      </c>
      <c r="G11" s="7">
        <f t="shared" si="4"/>
        <v>0.83666079585470821</v>
      </c>
      <c r="H11" s="5" t="str">
        <f t="shared" si="3"/>
        <v>B</v>
      </c>
    </row>
    <row r="12" spans="1:8" ht="15" thickBot="1" x14ac:dyDescent="0.4">
      <c r="A12" s="2" t="s">
        <v>28</v>
      </c>
      <c r="B12" s="6">
        <f>VLOOKUP(A12,Profit!$A$2:$F$21,3,0)</f>
        <v>300</v>
      </c>
      <c r="C12" s="6">
        <f>VLOOKUP(A12,'Price Break Model'!$A$2:$F$21,5,0)</f>
        <v>13750</v>
      </c>
      <c r="D12" s="6">
        <f t="shared" si="0"/>
        <v>4125000</v>
      </c>
      <c r="E12" s="7">
        <f t="shared" si="1"/>
        <v>3.0830767333872796E-2</v>
      </c>
      <c r="F12" s="5">
        <f t="shared" si="2"/>
        <v>11</v>
      </c>
      <c r="G12" s="7">
        <f t="shared" si="4"/>
        <v>0.86749156318858101</v>
      </c>
      <c r="H12" s="5" t="str">
        <f t="shared" si="3"/>
        <v>B</v>
      </c>
    </row>
    <row r="13" spans="1:8" ht="15" thickBot="1" x14ac:dyDescent="0.4">
      <c r="A13" s="2" t="s">
        <v>37</v>
      </c>
      <c r="B13" s="6">
        <f>VLOOKUP(A13,Profit!$A$2:$F$21,3,0)</f>
        <v>243</v>
      </c>
      <c r="C13" s="6">
        <f>VLOOKUP(A13,'Price Break Model'!$A$2:$F$21,5,0)</f>
        <v>12728.571428571429</v>
      </c>
      <c r="D13" s="6">
        <f t="shared" si="0"/>
        <v>3093042.8571428573</v>
      </c>
      <c r="E13" s="7">
        <f t="shared" si="1"/>
        <v>2.3117790226004506E-2</v>
      </c>
      <c r="F13" s="5">
        <f t="shared" si="2"/>
        <v>12</v>
      </c>
      <c r="G13" s="7">
        <f t="shared" ref="G13:G21" si="5">G12+E13</f>
        <v>0.89060935341458547</v>
      </c>
      <c r="H13" s="5" t="str">
        <f t="shared" si="3"/>
        <v>B</v>
      </c>
    </row>
    <row r="14" spans="1:8" ht="15" thickBot="1" x14ac:dyDescent="0.4">
      <c r="A14" s="2" t="s">
        <v>30</v>
      </c>
      <c r="B14" s="6">
        <f>VLOOKUP(A14,Profit!$A$2:$F$21,3,0)</f>
        <v>300</v>
      </c>
      <c r="C14" s="6">
        <f>VLOOKUP(A14,'Price Break Model'!$A$2:$F$21,5,0)</f>
        <v>9310.3448275862083</v>
      </c>
      <c r="D14" s="6">
        <f t="shared" si="0"/>
        <v>2793103.4482758627</v>
      </c>
      <c r="E14" s="7">
        <f t="shared" si="1"/>
        <v>2.0876005467449926E-2</v>
      </c>
      <c r="F14" s="5">
        <f t="shared" si="2"/>
        <v>13</v>
      </c>
      <c r="G14" s="7">
        <f t="shared" si="5"/>
        <v>0.91148535888203541</v>
      </c>
      <c r="H14" s="5" t="str">
        <f t="shared" si="3"/>
        <v>B</v>
      </c>
    </row>
    <row r="15" spans="1:8" ht="15" thickBot="1" x14ac:dyDescent="0.4">
      <c r="A15" s="2" t="s">
        <v>25</v>
      </c>
      <c r="B15" s="6">
        <f>VLOOKUP(A15,Profit!$A$2:$F$21,3,0)</f>
        <v>300</v>
      </c>
      <c r="C15" s="6">
        <f>VLOOKUP(A15,'Price Break Model'!$A$2:$F$21,5,0)</f>
        <v>8727.2727272727261</v>
      </c>
      <c r="D15" s="6">
        <f t="shared" si="0"/>
        <v>2618181.8181818179</v>
      </c>
      <c r="E15" s="7">
        <f t="shared" si="1"/>
        <v>1.9568619266458104E-2</v>
      </c>
      <c r="F15" s="5">
        <f t="shared" si="2"/>
        <v>14</v>
      </c>
      <c r="G15" s="7">
        <f t="shared" si="5"/>
        <v>0.93105397814849356</v>
      </c>
      <c r="H15" s="5" t="str">
        <f t="shared" si="3"/>
        <v>B</v>
      </c>
    </row>
    <row r="16" spans="1:8" ht="15" thickBot="1" x14ac:dyDescent="0.4">
      <c r="A16" s="2" t="s">
        <v>38</v>
      </c>
      <c r="B16" s="6">
        <f>VLOOKUP(A16,Profit!$A$2:$F$21,3,0)</f>
        <v>278</v>
      </c>
      <c r="C16" s="6">
        <f>VLOOKUP(A16,'Price Break Model'!$A$2:$F$21,5,0)</f>
        <v>8778.9473684210534</v>
      </c>
      <c r="D16" s="6">
        <f t="shared" si="0"/>
        <v>2440547.368421053</v>
      </c>
      <c r="E16" s="7">
        <f t="shared" si="1"/>
        <v>1.8240957111050914E-2</v>
      </c>
      <c r="F16" s="5">
        <f t="shared" si="2"/>
        <v>15</v>
      </c>
      <c r="G16" s="7">
        <f t="shared" si="5"/>
        <v>0.94929493525954445</v>
      </c>
      <c r="H16" s="5" t="str">
        <f t="shared" si="3"/>
        <v>B</v>
      </c>
    </row>
    <row r="17" spans="1:8" ht="15" thickBot="1" x14ac:dyDescent="0.4">
      <c r="A17" s="2" t="s">
        <v>27</v>
      </c>
      <c r="B17" s="6">
        <f>VLOOKUP(A17,Profit!$A$2:$F$21,3,0)</f>
        <v>240</v>
      </c>
      <c r="C17" s="6">
        <f>VLOOKUP(A17,'Price Break Model'!$A$2:$F$21,5,0)</f>
        <v>8000</v>
      </c>
      <c r="D17" s="6">
        <f t="shared" si="0"/>
        <v>1920000</v>
      </c>
      <c r="E17" s="7">
        <f t="shared" si="1"/>
        <v>1.4350320795402612E-2</v>
      </c>
      <c r="F17" s="5">
        <f t="shared" si="2"/>
        <v>16</v>
      </c>
      <c r="G17" s="7">
        <f t="shared" si="5"/>
        <v>0.96364525605494711</v>
      </c>
      <c r="H17" s="5" t="str">
        <f t="shared" si="3"/>
        <v>C</v>
      </c>
    </row>
    <row r="18" spans="1:8" ht="15" thickBot="1" x14ac:dyDescent="0.4">
      <c r="A18" s="2" t="s">
        <v>42</v>
      </c>
      <c r="B18" s="6">
        <f>VLOOKUP(A18,Profit!$A$2:$F$21,3,0)</f>
        <v>256</v>
      </c>
      <c r="C18" s="6">
        <f>VLOOKUP(A18,'Price Break Model'!$A$2:$F$21,5,0)</f>
        <v>6826.666666666667</v>
      </c>
      <c r="D18" s="6">
        <f t="shared" si="0"/>
        <v>1747626.6666666667</v>
      </c>
      <c r="E18" s="7">
        <f t="shared" si="1"/>
        <v>1.3061980883993133E-2</v>
      </c>
      <c r="F18" s="5">
        <f t="shared" si="2"/>
        <v>17</v>
      </c>
      <c r="G18" s="7">
        <f t="shared" si="5"/>
        <v>0.97670723693894024</v>
      </c>
      <c r="H18" s="5" t="str">
        <f t="shared" si="3"/>
        <v>C</v>
      </c>
    </row>
    <row r="19" spans="1:8" ht="15" thickBot="1" x14ac:dyDescent="0.4">
      <c r="A19" s="2" t="s">
        <v>29</v>
      </c>
      <c r="B19" s="6">
        <f>VLOOKUP(A19,Profit!$A$2:$F$21,3,0)</f>
        <v>145</v>
      </c>
      <c r="C19" s="6">
        <f>VLOOKUP(A19,'Price Break Model'!$A$2:$F$21,5,0)</f>
        <v>11600</v>
      </c>
      <c r="D19" s="6">
        <f t="shared" si="0"/>
        <v>1682000</v>
      </c>
      <c r="E19" s="7">
        <f t="shared" si="1"/>
        <v>1.2571478946805829E-2</v>
      </c>
      <c r="F19" s="5">
        <f t="shared" si="2"/>
        <v>18</v>
      </c>
      <c r="G19" s="7">
        <f t="shared" si="5"/>
        <v>0.98927871588574612</v>
      </c>
      <c r="H19" s="5" t="str">
        <f t="shared" si="3"/>
        <v>C</v>
      </c>
    </row>
    <row r="20" spans="1:8" ht="15" thickBot="1" x14ac:dyDescent="0.4">
      <c r="A20" s="2" t="s">
        <v>34</v>
      </c>
      <c r="B20" s="6">
        <f>VLOOKUP(A20,Profit!$A$2:$F$21,3,0)</f>
        <v>176</v>
      </c>
      <c r="C20" s="6">
        <f>VLOOKUP(A20,'Price Break Model'!$A$2:$F$21,5,0)</f>
        <v>5120</v>
      </c>
      <c r="D20" s="6">
        <f t="shared" si="0"/>
        <v>901120</v>
      </c>
      <c r="E20" s="7">
        <f t="shared" si="1"/>
        <v>6.7350838933089591E-3</v>
      </c>
      <c r="F20" s="5">
        <f t="shared" si="2"/>
        <v>19</v>
      </c>
      <c r="G20" s="7">
        <f t="shared" si="5"/>
        <v>0.99601379977905513</v>
      </c>
      <c r="H20" s="5" t="str">
        <f t="shared" si="3"/>
        <v>C</v>
      </c>
    </row>
    <row r="21" spans="1:8" ht="15" thickBot="1" x14ac:dyDescent="0.4">
      <c r="A21" s="2" t="s">
        <v>24</v>
      </c>
      <c r="B21" s="6">
        <f>VLOOKUP(A21,Profit!$A$2:$F$21,3,0)</f>
        <v>100</v>
      </c>
      <c r="C21" s="6">
        <f>VLOOKUP(A21,'Price Break Model'!$A$2:$F$21,5,0)</f>
        <v>5333.333333333333</v>
      </c>
      <c r="D21" s="6">
        <f t="shared" si="0"/>
        <v>533333.33333333326</v>
      </c>
      <c r="E21" s="7">
        <f t="shared" si="1"/>
        <v>3.9862002209451689E-3</v>
      </c>
      <c r="F21" s="5">
        <f t="shared" si="2"/>
        <v>20</v>
      </c>
      <c r="G21" s="7">
        <f t="shared" si="5"/>
        <v>1.0000000000000002</v>
      </c>
      <c r="H21" s="5" t="str">
        <f t="shared" si="3"/>
        <v>C</v>
      </c>
    </row>
    <row r="22" spans="1:8" ht="15" thickBot="1" x14ac:dyDescent="0.4">
      <c r="C22" s="6" t="s">
        <v>173</v>
      </c>
      <c r="D22" s="1">
        <f>SUM(D2:D21)</f>
        <v>133794918.41151783</v>
      </c>
      <c r="E22" s="4">
        <f>SUM(E2:E21)</f>
        <v>1.0000000000000002</v>
      </c>
    </row>
    <row r="29" spans="1:8" ht="15" thickBot="1" x14ac:dyDescent="0.4"/>
    <row r="30" spans="1:8" ht="16" thickBot="1" x14ac:dyDescent="0.4">
      <c r="A30" s="11" t="s">
        <v>53</v>
      </c>
      <c r="B30" s="15">
        <f>SUM(B2:B21)/2</f>
        <v>2842</v>
      </c>
    </row>
    <row r="31" spans="1:8" x14ac:dyDescent="0.35">
      <c r="A31" s="13" t="s">
        <v>54</v>
      </c>
      <c r="B31" s="15">
        <f>D22/B30</f>
        <v>47077.733431216686</v>
      </c>
    </row>
    <row r="32" spans="1:8" x14ac:dyDescent="0.35">
      <c r="A32" s="13" t="s">
        <v>55</v>
      </c>
      <c r="B32" s="14">
        <f>360/B31</f>
        <v>7.6469271938501672E-3</v>
      </c>
    </row>
  </sheetData>
  <sortState xmlns:xlrd2="http://schemas.microsoft.com/office/spreadsheetml/2017/richdata2" ref="A2:H24">
    <sortCondition ref="F2:F2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D58A6-D381-41E0-ACE7-322AC5151366}">
  <dimension ref="A1:L102"/>
  <sheetViews>
    <sheetView workbookViewId="0">
      <selection activeCell="N11" sqref="N11"/>
    </sheetView>
  </sheetViews>
  <sheetFormatPr defaultRowHeight="14.5" x14ac:dyDescent="0.35"/>
  <cols>
    <col min="1" max="2" width="8.7265625" style="30"/>
    <col min="3" max="3" width="10.26953125" style="30" customWidth="1"/>
    <col min="4" max="4" width="11.81640625" style="30" customWidth="1"/>
    <col min="5" max="10" width="8.7265625" style="30"/>
    <col min="11" max="11" width="16.1796875" style="30" bestFit="1" customWidth="1"/>
    <col min="12" max="12" width="13.26953125" style="30" bestFit="1" customWidth="1"/>
    <col min="13" max="16384" width="8.7265625" style="15"/>
  </cols>
  <sheetData>
    <row r="1" spans="1:12" s="28" customFormat="1" ht="21" x14ac:dyDescent="0.35">
      <c r="A1" s="49" t="s">
        <v>169</v>
      </c>
      <c r="B1" s="49"/>
      <c r="C1" s="49"/>
      <c r="D1" s="50" t="s">
        <v>170</v>
      </c>
      <c r="E1" s="50"/>
      <c r="F1" s="50"/>
      <c r="G1" s="51" t="s">
        <v>171</v>
      </c>
      <c r="H1" s="51"/>
      <c r="I1" s="51"/>
      <c r="J1" s="51"/>
      <c r="K1" s="51"/>
      <c r="L1" s="51"/>
    </row>
    <row r="2" spans="1:12" x14ac:dyDescent="0.35">
      <c r="A2" s="29" t="s">
        <v>163</v>
      </c>
      <c r="B2" s="30" t="s">
        <v>164</v>
      </c>
      <c r="C2" s="30" t="s">
        <v>162</v>
      </c>
      <c r="D2" s="30" t="s">
        <v>163</v>
      </c>
      <c r="E2" s="30" t="s">
        <v>164</v>
      </c>
      <c r="F2" s="30" t="s">
        <v>161</v>
      </c>
      <c r="G2" s="30" t="s">
        <v>165</v>
      </c>
      <c r="H2" s="30" t="s">
        <v>164</v>
      </c>
      <c r="I2" s="30" t="s">
        <v>166</v>
      </c>
      <c r="J2" s="30" t="s">
        <v>167</v>
      </c>
      <c r="K2" s="30" t="s">
        <v>168</v>
      </c>
      <c r="L2" s="30" t="s">
        <v>22</v>
      </c>
    </row>
    <row r="3" spans="1:12" ht="15" thickBot="1" x14ac:dyDescent="0.4">
      <c r="A3" s="32">
        <f ca="1">TODAY()</f>
        <v>45448</v>
      </c>
      <c r="B3" s="30" t="s">
        <v>63</v>
      </c>
      <c r="C3" s="30">
        <v>15</v>
      </c>
      <c r="D3" s="33">
        <f ca="1">TODAY()</f>
        <v>45448</v>
      </c>
      <c r="E3" s="30" t="s">
        <v>66</v>
      </c>
      <c r="F3" s="30">
        <v>3</v>
      </c>
      <c r="H3" s="27" t="s">
        <v>61</v>
      </c>
      <c r="I3" s="30">
        <f>SUMIF($B$3:$B$101,H3,$C$3:$C$101)</f>
        <v>0</v>
      </c>
      <c r="J3" s="30">
        <f>SUMIF($E$3:$E$102,H3,$F$3:$F$102)</f>
        <v>0</v>
      </c>
      <c r="K3" s="30">
        <f>I3-J3</f>
        <v>0</v>
      </c>
      <c r="L3" s="30" t="str">
        <f>IF(K3&lt;=M2,"UpdateStock", "Stock Available")</f>
        <v>UpdateStock</v>
      </c>
    </row>
    <row r="4" spans="1:12" ht="15" thickBot="1" x14ac:dyDescent="0.4">
      <c r="A4" s="31"/>
      <c r="B4" s="30" t="s">
        <v>63</v>
      </c>
      <c r="C4" s="30">
        <v>15</v>
      </c>
      <c r="H4" s="27" t="s">
        <v>62</v>
      </c>
      <c r="I4" s="30">
        <f t="shared" ref="I4:I67" si="0">SUMIF($B$3:$B$101,H4,$C$3:$C$101)</f>
        <v>0</v>
      </c>
      <c r="J4" s="30">
        <f t="shared" ref="J4:J67" si="1">SUMIF($E$3:$E$102,H4,$F$3:$F$102)</f>
        <v>0</v>
      </c>
      <c r="K4" s="30">
        <f t="shared" ref="K4:K67" si="2">I4-J4</f>
        <v>0</v>
      </c>
      <c r="L4" s="30" t="str">
        <f t="shared" ref="L4:L67" si="3">IF(K4&lt;=M3,"UpdateStock", "Stock Available")</f>
        <v>UpdateStock</v>
      </c>
    </row>
    <row r="5" spans="1:12" ht="15" thickBot="1" x14ac:dyDescent="0.4">
      <c r="A5" s="31"/>
      <c r="H5" s="27" t="s">
        <v>63</v>
      </c>
      <c r="I5" s="30">
        <f t="shared" si="0"/>
        <v>30</v>
      </c>
      <c r="J5" s="30">
        <f t="shared" si="1"/>
        <v>0</v>
      </c>
      <c r="K5" s="30">
        <f t="shared" si="2"/>
        <v>30</v>
      </c>
      <c r="L5" s="30" t="str">
        <f t="shared" si="3"/>
        <v>Stock Available</v>
      </c>
    </row>
    <row r="6" spans="1:12" ht="15" thickBot="1" x14ac:dyDescent="0.4">
      <c r="A6" s="31"/>
      <c r="H6" s="27" t="s">
        <v>64</v>
      </c>
      <c r="I6" s="30">
        <f t="shared" si="0"/>
        <v>0</v>
      </c>
      <c r="J6" s="30">
        <f t="shared" si="1"/>
        <v>0</v>
      </c>
      <c r="K6" s="30">
        <f t="shared" si="2"/>
        <v>0</v>
      </c>
      <c r="L6" s="30" t="str">
        <f t="shared" si="3"/>
        <v>UpdateStock</v>
      </c>
    </row>
    <row r="7" spans="1:12" ht="15" thickBot="1" x14ac:dyDescent="0.4">
      <c r="A7" s="31"/>
      <c r="H7" s="27" t="s">
        <v>65</v>
      </c>
      <c r="I7" s="30">
        <f t="shared" si="0"/>
        <v>0</v>
      </c>
      <c r="J7" s="30">
        <f t="shared" si="1"/>
        <v>0</v>
      </c>
      <c r="K7" s="30">
        <f t="shared" si="2"/>
        <v>0</v>
      </c>
      <c r="L7" s="30" t="str">
        <f t="shared" si="3"/>
        <v>UpdateStock</v>
      </c>
    </row>
    <row r="8" spans="1:12" ht="15" thickBot="1" x14ac:dyDescent="0.4">
      <c r="A8" s="31"/>
      <c r="H8" s="27" t="s">
        <v>66</v>
      </c>
      <c r="I8" s="30">
        <f t="shared" si="0"/>
        <v>0</v>
      </c>
      <c r="J8" s="30">
        <f t="shared" si="1"/>
        <v>3</v>
      </c>
      <c r="K8" s="30">
        <f t="shared" si="2"/>
        <v>-3</v>
      </c>
      <c r="L8" s="30" t="str">
        <f t="shared" si="3"/>
        <v>UpdateStock</v>
      </c>
    </row>
    <row r="9" spans="1:12" ht="15" thickBot="1" x14ac:dyDescent="0.4">
      <c r="A9" s="31"/>
      <c r="H9" s="27" t="s">
        <v>67</v>
      </c>
      <c r="I9" s="30">
        <f t="shared" si="0"/>
        <v>0</v>
      </c>
      <c r="J9" s="30">
        <f t="shared" si="1"/>
        <v>0</v>
      </c>
      <c r="K9" s="30">
        <f t="shared" si="2"/>
        <v>0</v>
      </c>
      <c r="L9" s="30" t="str">
        <f t="shared" si="3"/>
        <v>UpdateStock</v>
      </c>
    </row>
    <row r="10" spans="1:12" ht="15" thickBot="1" x14ac:dyDescent="0.4">
      <c r="A10" s="31"/>
      <c r="H10" s="27" t="s">
        <v>68</v>
      </c>
      <c r="I10" s="30">
        <f t="shared" si="0"/>
        <v>0</v>
      </c>
      <c r="J10" s="30">
        <f t="shared" si="1"/>
        <v>0</v>
      </c>
      <c r="K10" s="30">
        <f t="shared" si="2"/>
        <v>0</v>
      </c>
      <c r="L10" s="30" t="str">
        <f t="shared" si="3"/>
        <v>UpdateStock</v>
      </c>
    </row>
    <row r="11" spans="1:12" ht="15" thickBot="1" x14ac:dyDescent="0.4">
      <c r="A11" s="31"/>
      <c r="H11" s="27" t="s">
        <v>69</v>
      </c>
      <c r="I11" s="30">
        <f t="shared" si="0"/>
        <v>0</v>
      </c>
      <c r="J11" s="30">
        <f t="shared" si="1"/>
        <v>0</v>
      </c>
      <c r="K11" s="30">
        <f t="shared" si="2"/>
        <v>0</v>
      </c>
      <c r="L11" s="30" t="str">
        <f t="shared" si="3"/>
        <v>UpdateStock</v>
      </c>
    </row>
    <row r="12" spans="1:12" ht="15" thickBot="1" x14ac:dyDescent="0.4">
      <c r="A12" s="31"/>
      <c r="H12" s="27" t="s">
        <v>70</v>
      </c>
      <c r="I12" s="30">
        <f t="shared" si="0"/>
        <v>0</v>
      </c>
      <c r="J12" s="30">
        <f t="shared" si="1"/>
        <v>0</v>
      </c>
      <c r="K12" s="30">
        <f t="shared" si="2"/>
        <v>0</v>
      </c>
      <c r="L12" s="30" t="str">
        <f t="shared" si="3"/>
        <v>UpdateStock</v>
      </c>
    </row>
    <row r="13" spans="1:12" ht="15" thickBot="1" x14ac:dyDescent="0.4">
      <c r="A13" s="31"/>
      <c r="H13" s="27" t="s">
        <v>71</v>
      </c>
      <c r="I13" s="30">
        <f t="shared" si="0"/>
        <v>0</v>
      </c>
      <c r="J13" s="30">
        <f t="shared" si="1"/>
        <v>0</v>
      </c>
      <c r="K13" s="30">
        <f t="shared" si="2"/>
        <v>0</v>
      </c>
      <c r="L13" s="30" t="str">
        <f t="shared" si="3"/>
        <v>UpdateStock</v>
      </c>
    </row>
    <row r="14" spans="1:12" ht="15" thickBot="1" x14ac:dyDescent="0.4">
      <c r="A14" s="31"/>
      <c r="H14" s="27" t="s">
        <v>72</v>
      </c>
      <c r="I14" s="30">
        <f t="shared" si="0"/>
        <v>0</v>
      </c>
      <c r="J14" s="30">
        <f t="shared" si="1"/>
        <v>0</v>
      </c>
      <c r="K14" s="30">
        <f t="shared" si="2"/>
        <v>0</v>
      </c>
      <c r="L14" s="30" t="str">
        <f t="shared" si="3"/>
        <v>UpdateStock</v>
      </c>
    </row>
    <row r="15" spans="1:12" ht="15" thickBot="1" x14ac:dyDescent="0.4">
      <c r="A15" s="31"/>
      <c r="H15" s="27" t="s">
        <v>73</v>
      </c>
      <c r="I15" s="30">
        <f t="shared" si="0"/>
        <v>0</v>
      </c>
      <c r="J15" s="30">
        <f t="shared" si="1"/>
        <v>0</v>
      </c>
      <c r="K15" s="30">
        <f t="shared" si="2"/>
        <v>0</v>
      </c>
      <c r="L15" s="30" t="str">
        <f t="shared" si="3"/>
        <v>UpdateStock</v>
      </c>
    </row>
    <row r="16" spans="1:12" ht="15" thickBot="1" x14ac:dyDescent="0.4">
      <c r="A16" s="31"/>
      <c r="H16" s="27" t="s">
        <v>74</v>
      </c>
      <c r="I16" s="30">
        <f t="shared" si="0"/>
        <v>0</v>
      </c>
      <c r="J16" s="30">
        <f t="shared" si="1"/>
        <v>0</v>
      </c>
      <c r="K16" s="30">
        <f t="shared" si="2"/>
        <v>0</v>
      </c>
      <c r="L16" s="30" t="str">
        <f t="shared" si="3"/>
        <v>UpdateStock</v>
      </c>
    </row>
    <row r="17" spans="1:12" ht="15" thickBot="1" x14ac:dyDescent="0.4">
      <c r="A17" s="31"/>
      <c r="H17" s="27" t="s">
        <v>75</v>
      </c>
      <c r="I17" s="30">
        <f t="shared" si="0"/>
        <v>0</v>
      </c>
      <c r="J17" s="30">
        <f t="shared" si="1"/>
        <v>0</v>
      </c>
      <c r="K17" s="30">
        <f t="shared" si="2"/>
        <v>0</v>
      </c>
      <c r="L17" s="30" t="str">
        <f t="shared" si="3"/>
        <v>UpdateStock</v>
      </c>
    </row>
    <row r="18" spans="1:12" ht="15" thickBot="1" x14ac:dyDescent="0.4">
      <c r="A18" s="31"/>
      <c r="H18" s="27" t="s">
        <v>76</v>
      </c>
      <c r="I18" s="30">
        <f t="shared" si="0"/>
        <v>0</v>
      </c>
      <c r="J18" s="30">
        <f t="shared" si="1"/>
        <v>0</v>
      </c>
      <c r="K18" s="30">
        <f t="shared" si="2"/>
        <v>0</v>
      </c>
      <c r="L18" s="30" t="str">
        <f t="shared" si="3"/>
        <v>UpdateStock</v>
      </c>
    </row>
    <row r="19" spans="1:12" ht="15" thickBot="1" x14ac:dyDescent="0.4">
      <c r="A19" s="31"/>
      <c r="H19" s="27" t="s">
        <v>77</v>
      </c>
      <c r="I19" s="30">
        <f t="shared" si="0"/>
        <v>0</v>
      </c>
      <c r="J19" s="30">
        <f t="shared" si="1"/>
        <v>0</v>
      </c>
      <c r="K19" s="30">
        <f t="shared" si="2"/>
        <v>0</v>
      </c>
      <c r="L19" s="30" t="str">
        <f t="shared" si="3"/>
        <v>UpdateStock</v>
      </c>
    </row>
    <row r="20" spans="1:12" ht="15" thickBot="1" x14ac:dyDescent="0.4">
      <c r="A20" s="31"/>
      <c r="H20" s="27" t="s">
        <v>78</v>
      </c>
      <c r="I20" s="30">
        <f t="shared" si="0"/>
        <v>0</v>
      </c>
      <c r="J20" s="30">
        <f t="shared" si="1"/>
        <v>0</v>
      </c>
      <c r="K20" s="30">
        <f t="shared" si="2"/>
        <v>0</v>
      </c>
      <c r="L20" s="30" t="str">
        <f t="shared" si="3"/>
        <v>UpdateStock</v>
      </c>
    </row>
    <row r="21" spans="1:12" ht="15" thickBot="1" x14ac:dyDescent="0.4">
      <c r="A21" s="31"/>
      <c r="H21" s="27" t="s">
        <v>79</v>
      </c>
      <c r="I21" s="30">
        <f t="shared" si="0"/>
        <v>0</v>
      </c>
      <c r="J21" s="30">
        <f t="shared" si="1"/>
        <v>0</v>
      </c>
      <c r="K21" s="30">
        <f t="shared" si="2"/>
        <v>0</v>
      </c>
      <c r="L21" s="30" t="str">
        <f t="shared" si="3"/>
        <v>UpdateStock</v>
      </c>
    </row>
    <row r="22" spans="1:12" ht="15" thickBot="1" x14ac:dyDescent="0.4">
      <c r="A22" s="31"/>
      <c r="H22" s="27" t="s">
        <v>80</v>
      </c>
      <c r="I22" s="30">
        <f t="shared" si="0"/>
        <v>0</v>
      </c>
      <c r="J22" s="30">
        <f t="shared" si="1"/>
        <v>0</v>
      </c>
      <c r="K22" s="30">
        <f t="shared" si="2"/>
        <v>0</v>
      </c>
      <c r="L22" s="30" t="str">
        <f t="shared" si="3"/>
        <v>UpdateStock</v>
      </c>
    </row>
    <row r="23" spans="1:12" ht="15" thickBot="1" x14ac:dyDescent="0.4">
      <c r="A23" s="31"/>
      <c r="H23" s="27" t="s">
        <v>81</v>
      </c>
      <c r="I23" s="30">
        <f t="shared" si="0"/>
        <v>0</v>
      </c>
      <c r="J23" s="30">
        <f t="shared" si="1"/>
        <v>0</v>
      </c>
      <c r="K23" s="30">
        <f t="shared" si="2"/>
        <v>0</v>
      </c>
      <c r="L23" s="30" t="str">
        <f t="shared" si="3"/>
        <v>UpdateStock</v>
      </c>
    </row>
    <row r="24" spans="1:12" ht="15" thickBot="1" x14ac:dyDescent="0.4">
      <c r="A24" s="31"/>
      <c r="H24" s="27" t="s">
        <v>82</v>
      </c>
      <c r="I24" s="30">
        <f t="shared" si="0"/>
        <v>0</v>
      </c>
      <c r="J24" s="30">
        <f t="shared" si="1"/>
        <v>0</v>
      </c>
      <c r="K24" s="30">
        <f t="shared" si="2"/>
        <v>0</v>
      </c>
      <c r="L24" s="30" t="str">
        <f t="shared" si="3"/>
        <v>UpdateStock</v>
      </c>
    </row>
    <row r="25" spans="1:12" ht="15" thickBot="1" x14ac:dyDescent="0.4">
      <c r="A25" s="31"/>
      <c r="H25" s="27" t="s">
        <v>83</v>
      </c>
      <c r="I25" s="30">
        <f t="shared" si="0"/>
        <v>0</v>
      </c>
      <c r="J25" s="30">
        <f t="shared" si="1"/>
        <v>0</v>
      </c>
      <c r="K25" s="30">
        <f t="shared" si="2"/>
        <v>0</v>
      </c>
      <c r="L25" s="30" t="str">
        <f t="shared" si="3"/>
        <v>UpdateStock</v>
      </c>
    </row>
    <row r="26" spans="1:12" ht="15" thickBot="1" x14ac:dyDescent="0.4">
      <c r="A26" s="31"/>
      <c r="H26" s="27" t="s">
        <v>84</v>
      </c>
      <c r="I26" s="30">
        <f t="shared" si="0"/>
        <v>0</v>
      </c>
      <c r="J26" s="30">
        <f t="shared" si="1"/>
        <v>0</v>
      </c>
      <c r="K26" s="30">
        <f t="shared" si="2"/>
        <v>0</v>
      </c>
      <c r="L26" s="30" t="str">
        <f t="shared" si="3"/>
        <v>UpdateStock</v>
      </c>
    </row>
    <row r="27" spans="1:12" ht="15" thickBot="1" x14ac:dyDescent="0.4">
      <c r="A27" s="31"/>
      <c r="H27" s="27" t="s">
        <v>85</v>
      </c>
      <c r="I27" s="30">
        <f t="shared" si="0"/>
        <v>0</v>
      </c>
      <c r="J27" s="30">
        <f t="shared" si="1"/>
        <v>0</v>
      </c>
      <c r="K27" s="30">
        <f t="shared" si="2"/>
        <v>0</v>
      </c>
      <c r="L27" s="30" t="str">
        <f t="shared" si="3"/>
        <v>UpdateStock</v>
      </c>
    </row>
    <row r="28" spans="1:12" ht="15" thickBot="1" x14ac:dyDescent="0.4">
      <c r="A28" s="31"/>
      <c r="H28" s="27" t="s">
        <v>86</v>
      </c>
      <c r="I28" s="30">
        <f t="shared" si="0"/>
        <v>0</v>
      </c>
      <c r="J28" s="30">
        <f t="shared" si="1"/>
        <v>0</v>
      </c>
      <c r="K28" s="30">
        <f t="shared" si="2"/>
        <v>0</v>
      </c>
      <c r="L28" s="30" t="str">
        <f t="shared" si="3"/>
        <v>UpdateStock</v>
      </c>
    </row>
    <row r="29" spans="1:12" ht="15" thickBot="1" x14ac:dyDescent="0.4">
      <c r="A29" s="31"/>
      <c r="H29" s="27" t="s">
        <v>87</v>
      </c>
      <c r="I29" s="30">
        <f t="shared" si="0"/>
        <v>0</v>
      </c>
      <c r="J29" s="30">
        <f t="shared" si="1"/>
        <v>0</v>
      </c>
      <c r="K29" s="30">
        <f t="shared" si="2"/>
        <v>0</v>
      </c>
      <c r="L29" s="30" t="str">
        <f t="shared" si="3"/>
        <v>UpdateStock</v>
      </c>
    </row>
    <row r="30" spans="1:12" ht="15" thickBot="1" x14ac:dyDescent="0.4">
      <c r="A30" s="31"/>
      <c r="H30" s="27" t="s">
        <v>88</v>
      </c>
      <c r="I30" s="30">
        <f t="shared" si="0"/>
        <v>0</v>
      </c>
      <c r="J30" s="30">
        <f t="shared" si="1"/>
        <v>0</v>
      </c>
      <c r="K30" s="30">
        <f t="shared" si="2"/>
        <v>0</v>
      </c>
      <c r="L30" s="30" t="str">
        <f t="shared" si="3"/>
        <v>UpdateStock</v>
      </c>
    </row>
    <row r="31" spans="1:12" ht="15" thickBot="1" x14ac:dyDescent="0.4">
      <c r="A31" s="31"/>
      <c r="H31" s="27" t="s">
        <v>89</v>
      </c>
      <c r="I31" s="30">
        <f t="shared" si="0"/>
        <v>0</v>
      </c>
      <c r="J31" s="30">
        <f t="shared" si="1"/>
        <v>0</v>
      </c>
      <c r="K31" s="30">
        <f t="shared" si="2"/>
        <v>0</v>
      </c>
      <c r="L31" s="30" t="str">
        <f t="shared" si="3"/>
        <v>UpdateStock</v>
      </c>
    </row>
    <row r="32" spans="1:12" ht="15" thickBot="1" x14ac:dyDescent="0.4">
      <c r="A32" s="31"/>
      <c r="H32" s="27" t="s">
        <v>90</v>
      </c>
      <c r="I32" s="30">
        <f t="shared" si="0"/>
        <v>0</v>
      </c>
      <c r="J32" s="30">
        <f t="shared" si="1"/>
        <v>0</v>
      </c>
      <c r="K32" s="30">
        <f t="shared" si="2"/>
        <v>0</v>
      </c>
      <c r="L32" s="30" t="str">
        <f t="shared" si="3"/>
        <v>UpdateStock</v>
      </c>
    </row>
    <row r="33" spans="1:12" ht="15" thickBot="1" x14ac:dyDescent="0.4">
      <c r="A33" s="31"/>
      <c r="H33" s="27" t="s">
        <v>91</v>
      </c>
      <c r="I33" s="30">
        <f t="shared" si="0"/>
        <v>0</v>
      </c>
      <c r="J33" s="30">
        <f t="shared" si="1"/>
        <v>0</v>
      </c>
      <c r="K33" s="30">
        <f t="shared" si="2"/>
        <v>0</v>
      </c>
      <c r="L33" s="30" t="str">
        <f t="shared" si="3"/>
        <v>UpdateStock</v>
      </c>
    </row>
    <row r="34" spans="1:12" ht="15" thickBot="1" x14ac:dyDescent="0.4">
      <c r="A34" s="31"/>
      <c r="H34" s="27" t="s">
        <v>92</v>
      </c>
      <c r="I34" s="30">
        <f t="shared" si="0"/>
        <v>0</v>
      </c>
      <c r="J34" s="30">
        <f t="shared" si="1"/>
        <v>0</v>
      </c>
      <c r="K34" s="30">
        <f t="shared" si="2"/>
        <v>0</v>
      </c>
      <c r="L34" s="30" t="str">
        <f t="shared" si="3"/>
        <v>UpdateStock</v>
      </c>
    </row>
    <row r="35" spans="1:12" ht="15" thickBot="1" x14ac:dyDescent="0.4">
      <c r="A35" s="31"/>
      <c r="H35" s="27" t="s">
        <v>93</v>
      </c>
      <c r="I35" s="30">
        <f t="shared" si="0"/>
        <v>0</v>
      </c>
      <c r="J35" s="30">
        <f t="shared" si="1"/>
        <v>0</v>
      </c>
      <c r="K35" s="30">
        <f t="shared" si="2"/>
        <v>0</v>
      </c>
      <c r="L35" s="30" t="str">
        <f t="shared" si="3"/>
        <v>UpdateStock</v>
      </c>
    </row>
    <row r="36" spans="1:12" ht="15" thickBot="1" x14ac:dyDescent="0.4">
      <c r="A36" s="31"/>
      <c r="H36" s="27" t="s">
        <v>94</v>
      </c>
      <c r="I36" s="30">
        <f t="shared" si="0"/>
        <v>0</v>
      </c>
      <c r="J36" s="30">
        <f t="shared" si="1"/>
        <v>0</v>
      </c>
      <c r="K36" s="30">
        <f t="shared" si="2"/>
        <v>0</v>
      </c>
      <c r="L36" s="30" t="str">
        <f t="shared" si="3"/>
        <v>UpdateStock</v>
      </c>
    </row>
    <row r="37" spans="1:12" ht="15" thickBot="1" x14ac:dyDescent="0.4">
      <c r="A37" s="31"/>
      <c r="H37" s="27" t="s">
        <v>95</v>
      </c>
      <c r="I37" s="30">
        <f t="shared" si="0"/>
        <v>0</v>
      </c>
      <c r="J37" s="30">
        <f t="shared" si="1"/>
        <v>0</v>
      </c>
      <c r="K37" s="30">
        <f t="shared" si="2"/>
        <v>0</v>
      </c>
      <c r="L37" s="30" t="str">
        <f t="shared" si="3"/>
        <v>UpdateStock</v>
      </c>
    </row>
    <row r="38" spans="1:12" ht="15" thickBot="1" x14ac:dyDescent="0.4">
      <c r="A38" s="31"/>
      <c r="H38" s="27" t="s">
        <v>96</v>
      </c>
      <c r="I38" s="30">
        <f t="shared" si="0"/>
        <v>0</v>
      </c>
      <c r="J38" s="30">
        <f t="shared" si="1"/>
        <v>0</v>
      </c>
      <c r="K38" s="30">
        <f t="shared" si="2"/>
        <v>0</v>
      </c>
      <c r="L38" s="30" t="str">
        <f t="shared" si="3"/>
        <v>UpdateStock</v>
      </c>
    </row>
    <row r="39" spans="1:12" ht="15" thickBot="1" x14ac:dyDescent="0.4">
      <c r="A39" s="31"/>
      <c r="H39" s="27" t="s">
        <v>97</v>
      </c>
      <c r="I39" s="30">
        <f t="shared" si="0"/>
        <v>0</v>
      </c>
      <c r="J39" s="30">
        <f t="shared" si="1"/>
        <v>0</v>
      </c>
      <c r="K39" s="30">
        <f t="shared" si="2"/>
        <v>0</v>
      </c>
      <c r="L39" s="30" t="str">
        <f t="shared" si="3"/>
        <v>UpdateStock</v>
      </c>
    </row>
    <row r="40" spans="1:12" ht="15" thickBot="1" x14ac:dyDescent="0.4">
      <c r="A40" s="31"/>
      <c r="H40" s="27" t="s">
        <v>98</v>
      </c>
      <c r="I40" s="30">
        <f t="shared" si="0"/>
        <v>0</v>
      </c>
      <c r="J40" s="30">
        <f t="shared" si="1"/>
        <v>0</v>
      </c>
      <c r="K40" s="30">
        <f t="shared" si="2"/>
        <v>0</v>
      </c>
      <c r="L40" s="30" t="str">
        <f t="shared" si="3"/>
        <v>UpdateStock</v>
      </c>
    </row>
    <row r="41" spans="1:12" ht="15" thickBot="1" x14ac:dyDescent="0.4">
      <c r="A41" s="31"/>
      <c r="H41" s="27" t="s">
        <v>99</v>
      </c>
      <c r="I41" s="30">
        <f t="shared" si="0"/>
        <v>0</v>
      </c>
      <c r="J41" s="30">
        <f t="shared" si="1"/>
        <v>0</v>
      </c>
      <c r="K41" s="30">
        <f t="shared" si="2"/>
        <v>0</v>
      </c>
      <c r="L41" s="30" t="str">
        <f t="shared" si="3"/>
        <v>UpdateStock</v>
      </c>
    </row>
    <row r="42" spans="1:12" ht="15" thickBot="1" x14ac:dyDescent="0.4">
      <c r="A42" s="31"/>
      <c r="H42" s="27" t="s">
        <v>100</v>
      </c>
      <c r="I42" s="30">
        <f t="shared" si="0"/>
        <v>0</v>
      </c>
      <c r="J42" s="30">
        <f t="shared" si="1"/>
        <v>0</v>
      </c>
      <c r="K42" s="30">
        <f t="shared" si="2"/>
        <v>0</v>
      </c>
      <c r="L42" s="30" t="str">
        <f t="shared" si="3"/>
        <v>UpdateStock</v>
      </c>
    </row>
    <row r="43" spans="1:12" ht="15" thickBot="1" x14ac:dyDescent="0.4">
      <c r="A43" s="31"/>
      <c r="H43" s="27" t="s">
        <v>101</v>
      </c>
      <c r="I43" s="30">
        <f t="shared" si="0"/>
        <v>0</v>
      </c>
      <c r="J43" s="30">
        <f t="shared" si="1"/>
        <v>0</v>
      </c>
      <c r="K43" s="30">
        <f t="shared" si="2"/>
        <v>0</v>
      </c>
      <c r="L43" s="30" t="str">
        <f t="shared" si="3"/>
        <v>UpdateStock</v>
      </c>
    </row>
    <row r="44" spans="1:12" ht="15" thickBot="1" x14ac:dyDescent="0.4">
      <c r="A44" s="31"/>
      <c r="H44" s="27" t="s">
        <v>102</v>
      </c>
      <c r="I44" s="30">
        <f t="shared" si="0"/>
        <v>0</v>
      </c>
      <c r="J44" s="30">
        <f t="shared" si="1"/>
        <v>0</v>
      </c>
      <c r="K44" s="30">
        <f t="shared" si="2"/>
        <v>0</v>
      </c>
      <c r="L44" s="30" t="str">
        <f t="shared" si="3"/>
        <v>UpdateStock</v>
      </c>
    </row>
    <row r="45" spans="1:12" ht="15" thickBot="1" x14ac:dyDescent="0.4">
      <c r="A45" s="31"/>
      <c r="H45" s="27" t="s">
        <v>103</v>
      </c>
      <c r="I45" s="30">
        <f t="shared" si="0"/>
        <v>0</v>
      </c>
      <c r="J45" s="30">
        <f t="shared" si="1"/>
        <v>0</v>
      </c>
      <c r="K45" s="30">
        <f t="shared" si="2"/>
        <v>0</v>
      </c>
      <c r="L45" s="30" t="str">
        <f t="shared" si="3"/>
        <v>UpdateStock</v>
      </c>
    </row>
    <row r="46" spans="1:12" ht="15" thickBot="1" x14ac:dyDescent="0.4">
      <c r="A46" s="31"/>
      <c r="H46" s="27" t="s">
        <v>104</v>
      </c>
      <c r="I46" s="30">
        <f t="shared" si="0"/>
        <v>0</v>
      </c>
      <c r="J46" s="30">
        <f t="shared" si="1"/>
        <v>0</v>
      </c>
      <c r="K46" s="30">
        <f t="shared" si="2"/>
        <v>0</v>
      </c>
      <c r="L46" s="30" t="str">
        <f t="shared" si="3"/>
        <v>UpdateStock</v>
      </c>
    </row>
    <row r="47" spans="1:12" ht="15" thickBot="1" x14ac:dyDescent="0.4">
      <c r="A47" s="31"/>
      <c r="H47" s="27" t="s">
        <v>105</v>
      </c>
      <c r="I47" s="30">
        <f t="shared" si="0"/>
        <v>0</v>
      </c>
      <c r="J47" s="30">
        <f t="shared" si="1"/>
        <v>0</v>
      </c>
      <c r="K47" s="30">
        <f t="shared" si="2"/>
        <v>0</v>
      </c>
      <c r="L47" s="30" t="str">
        <f t="shared" si="3"/>
        <v>UpdateStock</v>
      </c>
    </row>
    <row r="48" spans="1:12" ht="15" thickBot="1" x14ac:dyDescent="0.4">
      <c r="A48" s="31"/>
      <c r="H48" s="27" t="s">
        <v>106</v>
      </c>
      <c r="I48" s="30">
        <f t="shared" si="0"/>
        <v>0</v>
      </c>
      <c r="J48" s="30">
        <f t="shared" si="1"/>
        <v>0</v>
      </c>
      <c r="K48" s="30">
        <f t="shared" si="2"/>
        <v>0</v>
      </c>
      <c r="L48" s="30" t="str">
        <f t="shared" si="3"/>
        <v>UpdateStock</v>
      </c>
    </row>
    <row r="49" spans="1:12" ht="15" thickBot="1" x14ac:dyDescent="0.4">
      <c r="A49" s="31"/>
      <c r="H49" s="27" t="s">
        <v>107</v>
      </c>
      <c r="I49" s="30">
        <f t="shared" si="0"/>
        <v>0</v>
      </c>
      <c r="J49" s="30">
        <f t="shared" si="1"/>
        <v>0</v>
      </c>
      <c r="K49" s="30">
        <f t="shared" si="2"/>
        <v>0</v>
      </c>
      <c r="L49" s="30" t="str">
        <f t="shared" si="3"/>
        <v>UpdateStock</v>
      </c>
    </row>
    <row r="50" spans="1:12" ht="15" thickBot="1" x14ac:dyDescent="0.4">
      <c r="A50" s="31"/>
      <c r="H50" s="27" t="s">
        <v>108</v>
      </c>
      <c r="I50" s="30">
        <f t="shared" si="0"/>
        <v>0</v>
      </c>
      <c r="J50" s="30">
        <f t="shared" si="1"/>
        <v>0</v>
      </c>
      <c r="K50" s="30">
        <f t="shared" si="2"/>
        <v>0</v>
      </c>
      <c r="L50" s="30" t="str">
        <f t="shared" si="3"/>
        <v>UpdateStock</v>
      </c>
    </row>
    <row r="51" spans="1:12" ht="15" thickBot="1" x14ac:dyDescent="0.4">
      <c r="A51" s="31"/>
      <c r="H51" s="27" t="s">
        <v>109</v>
      </c>
      <c r="I51" s="30">
        <f t="shared" si="0"/>
        <v>0</v>
      </c>
      <c r="J51" s="30">
        <f t="shared" si="1"/>
        <v>0</v>
      </c>
      <c r="K51" s="30">
        <f t="shared" si="2"/>
        <v>0</v>
      </c>
      <c r="L51" s="30" t="str">
        <f t="shared" si="3"/>
        <v>UpdateStock</v>
      </c>
    </row>
    <row r="52" spans="1:12" ht="15" thickBot="1" x14ac:dyDescent="0.4">
      <c r="A52" s="31"/>
      <c r="H52" s="27" t="s">
        <v>110</v>
      </c>
      <c r="I52" s="30">
        <f t="shared" si="0"/>
        <v>0</v>
      </c>
      <c r="J52" s="30">
        <f t="shared" si="1"/>
        <v>0</v>
      </c>
      <c r="K52" s="30">
        <f t="shared" si="2"/>
        <v>0</v>
      </c>
      <c r="L52" s="30" t="str">
        <f t="shared" si="3"/>
        <v>UpdateStock</v>
      </c>
    </row>
    <row r="53" spans="1:12" ht="15" thickBot="1" x14ac:dyDescent="0.4">
      <c r="A53" s="31"/>
      <c r="H53" s="27" t="s">
        <v>111</v>
      </c>
      <c r="I53" s="30">
        <f t="shared" si="0"/>
        <v>0</v>
      </c>
      <c r="J53" s="30">
        <f t="shared" si="1"/>
        <v>0</v>
      </c>
      <c r="K53" s="30">
        <f t="shared" si="2"/>
        <v>0</v>
      </c>
      <c r="L53" s="30" t="str">
        <f t="shared" si="3"/>
        <v>UpdateStock</v>
      </c>
    </row>
    <row r="54" spans="1:12" ht="15" thickBot="1" x14ac:dyDescent="0.4">
      <c r="A54" s="31"/>
      <c r="H54" s="27" t="s">
        <v>112</v>
      </c>
      <c r="I54" s="30">
        <f t="shared" si="0"/>
        <v>0</v>
      </c>
      <c r="J54" s="30">
        <f t="shared" si="1"/>
        <v>0</v>
      </c>
      <c r="K54" s="30">
        <f t="shared" si="2"/>
        <v>0</v>
      </c>
      <c r="L54" s="30" t="str">
        <f t="shared" si="3"/>
        <v>UpdateStock</v>
      </c>
    </row>
    <row r="55" spans="1:12" ht="15" thickBot="1" x14ac:dyDescent="0.4">
      <c r="A55" s="31"/>
      <c r="H55" s="27" t="s">
        <v>113</v>
      </c>
      <c r="I55" s="30">
        <f t="shared" si="0"/>
        <v>0</v>
      </c>
      <c r="J55" s="30">
        <f t="shared" si="1"/>
        <v>0</v>
      </c>
      <c r="K55" s="30">
        <f t="shared" si="2"/>
        <v>0</v>
      </c>
      <c r="L55" s="30" t="str">
        <f t="shared" si="3"/>
        <v>UpdateStock</v>
      </c>
    </row>
    <row r="56" spans="1:12" ht="15" thickBot="1" x14ac:dyDescent="0.4">
      <c r="A56" s="31"/>
      <c r="H56" s="27" t="s">
        <v>114</v>
      </c>
      <c r="I56" s="30">
        <f t="shared" si="0"/>
        <v>0</v>
      </c>
      <c r="J56" s="30">
        <f t="shared" si="1"/>
        <v>0</v>
      </c>
      <c r="K56" s="30">
        <f t="shared" si="2"/>
        <v>0</v>
      </c>
      <c r="L56" s="30" t="str">
        <f t="shared" si="3"/>
        <v>UpdateStock</v>
      </c>
    </row>
    <row r="57" spans="1:12" ht="15" thickBot="1" x14ac:dyDescent="0.4">
      <c r="A57" s="31"/>
      <c r="H57" s="27" t="s">
        <v>115</v>
      </c>
      <c r="I57" s="30">
        <f t="shared" si="0"/>
        <v>0</v>
      </c>
      <c r="J57" s="30">
        <f t="shared" si="1"/>
        <v>0</v>
      </c>
      <c r="K57" s="30">
        <f t="shared" si="2"/>
        <v>0</v>
      </c>
      <c r="L57" s="30" t="str">
        <f t="shared" si="3"/>
        <v>UpdateStock</v>
      </c>
    </row>
    <row r="58" spans="1:12" ht="15" thickBot="1" x14ac:dyDescent="0.4">
      <c r="A58" s="31"/>
      <c r="H58" s="27" t="s">
        <v>116</v>
      </c>
      <c r="I58" s="30">
        <f t="shared" si="0"/>
        <v>0</v>
      </c>
      <c r="J58" s="30">
        <f t="shared" si="1"/>
        <v>0</v>
      </c>
      <c r="K58" s="30">
        <f t="shared" si="2"/>
        <v>0</v>
      </c>
      <c r="L58" s="30" t="str">
        <f t="shared" si="3"/>
        <v>UpdateStock</v>
      </c>
    </row>
    <row r="59" spans="1:12" ht="15" thickBot="1" x14ac:dyDescent="0.4">
      <c r="A59" s="31"/>
      <c r="H59" s="27" t="s">
        <v>117</v>
      </c>
      <c r="I59" s="30">
        <f t="shared" si="0"/>
        <v>0</v>
      </c>
      <c r="J59" s="30">
        <f t="shared" si="1"/>
        <v>0</v>
      </c>
      <c r="K59" s="30">
        <f t="shared" si="2"/>
        <v>0</v>
      </c>
      <c r="L59" s="30" t="str">
        <f t="shared" si="3"/>
        <v>UpdateStock</v>
      </c>
    </row>
    <row r="60" spans="1:12" ht="15" thickBot="1" x14ac:dyDescent="0.4">
      <c r="A60" s="31"/>
      <c r="H60" s="27" t="s">
        <v>118</v>
      </c>
      <c r="I60" s="30">
        <f t="shared" si="0"/>
        <v>0</v>
      </c>
      <c r="J60" s="30">
        <f t="shared" si="1"/>
        <v>0</v>
      </c>
      <c r="K60" s="30">
        <f t="shared" si="2"/>
        <v>0</v>
      </c>
      <c r="L60" s="30" t="str">
        <f t="shared" si="3"/>
        <v>UpdateStock</v>
      </c>
    </row>
    <row r="61" spans="1:12" ht="15" thickBot="1" x14ac:dyDescent="0.4">
      <c r="A61" s="31"/>
      <c r="H61" s="27" t="s">
        <v>119</v>
      </c>
      <c r="I61" s="30">
        <f t="shared" si="0"/>
        <v>0</v>
      </c>
      <c r="J61" s="30">
        <f t="shared" si="1"/>
        <v>0</v>
      </c>
      <c r="K61" s="30">
        <f t="shared" si="2"/>
        <v>0</v>
      </c>
      <c r="L61" s="30" t="str">
        <f t="shared" si="3"/>
        <v>UpdateStock</v>
      </c>
    </row>
    <row r="62" spans="1:12" ht="15" thickBot="1" x14ac:dyDescent="0.4">
      <c r="A62" s="31"/>
      <c r="H62" s="27" t="s">
        <v>120</v>
      </c>
      <c r="I62" s="30">
        <f t="shared" si="0"/>
        <v>0</v>
      </c>
      <c r="J62" s="30">
        <f t="shared" si="1"/>
        <v>0</v>
      </c>
      <c r="K62" s="30">
        <f t="shared" si="2"/>
        <v>0</v>
      </c>
      <c r="L62" s="30" t="str">
        <f t="shared" si="3"/>
        <v>UpdateStock</v>
      </c>
    </row>
    <row r="63" spans="1:12" ht="15" thickBot="1" x14ac:dyDescent="0.4">
      <c r="A63" s="31"/>
      <c r="H63" s="27" t="s">
        <v>121</v>
      </c>
      <c r="I63" s="30">
        <f t="shared" si="0"/>
        <v>0</v>
      </c>
      <c r="J63" s="30">
        <f t="shared" si="1"/>
        <v>0</v>
      </c>
      <c r="K63" s="30">
        <f t="shared" si="2"/>
        <v>0</v>
      </c>
      <c r="L63" s="30" t="str">
        <f t="shared" si="3"/>
        <v>UpdateStock</v>
      </c>
    </row>
    <row r="64" spans="1:12" ht="15" thickBot="1" x14ac:dyDescent="0.4">
      <c r="A64" s="31"/>
      <c r="H64" s="27" t="s">
        <v>122</v>
      </c>
      <c r="I64" s="30">
        <f t="shared" si="0"/>
        <v>0</v>
      </c>
      <c r="J64" s="30">
        <f t="shared" si="1"/>
        <v>0</v>
      </c>
      <c r="K64" s="30">
        <f t="shared" si="2"/>
        <v>0</v>
      </c>
      <c r="L64" s="30" t="str">
        <f t="shared" si="3"/>
        <v>UpdateStock</v>
      </c>
    </row>
    <row r="65" spans="1:12" ht="15" thickBot="1" x14ac:dyDescent="0.4">
      <c r="A65" s="31"/>
      <c r="H65" s="27" t="s">
        <v>123</v>
      </c>
      <c r="I65" s="30">
        <f t="shared" si="0"/>
        <v>0</v>
      </c>
      <c r="J65" s="30">
        <f t="shared" si="1"/>
        <v>0</v>
      </c>
      <c r="K65" s="30">
        <f t="shared" si="2"/>
        <v>0</v>
      </c>
      <c r="L65" s="30" t="str">
        <f t="shared" si="3"/>
        <v>UpdateStock</v>
      </c>
    </row>
    <row r="66" spans="1:12" ht="15" thickBot="1" x14ac:dyDescent="0.4">
      <c r="A66" s="31"/>
      <c r="H66" s="27" t="s">
        <v>124</v>
      </c>
      <c r="I66" s="30">
        <f t="shared" si="0"/>
        <v>0</v>
      </c>
      <c r="J66" s="30">
        <f t="shared" si="1"/>
        <v>0</v>
      </c>
      <c r="K66" s="30">
        <f t="shared" si="2"/>
        <v>0</v>
      </c>
      <c r="L66" s="30" t="str">
        <f t="shared" si="3"/>
        <v>UpdateStock</v>
      </c>
    </row>
    <row r="67" spans="1:12" ht="15" thickBot="1" x14ac:dyDescent="0.4">
      <c r="A67" s="31"/>
      <c r="H67" s="27" t="s">
        <v>125</v>
      </c>
      <c r="I67" s="30">
        <f t="shared" si="0"/>
        <v>0</v>
      </c>
      <c r="J67" s="30">
        <f t="shared" si="1"/>
        <v>0</v>
      </c>
      <c r="K67" s="30">
        <f t="shared" si="2"/>
        <v>0</v>
      </c>
      <c r="L67" s="30" t="str">
        <f t="shared" si="3"/>
        <v>UpdateStock</v>
      </c>
    </row>
    <row r="68" spans="1:12" ht="15" thickBot="1" x14ac:dyDescent="0.4">
      <c r="A68" s="31"/>
      <c r="H68" s="27" t="s">
        <v>126</v>
      </c>
      <c r="I68" s="30">
        <f t="shared" ref="I68:I102" si="4">SUMIF($B$3:$B$101,H68,$C$3:$C$101)</f>
        <v>0</v>
      </c>
      <c r="J68" s="30">
        <f t="shared" ref="J68:J102" si="5">SUMIF($E$3:$E$102,H68,$F$3:$F$102)</f>
        <v>0</v>
      </c>
      <c r="K68" s="30">
        <f t="shared" ref="K68:K102" si="6">I68-J68</f>
        <v>0</v>
      </c>
      <c r="L68" s="30" t="str">
        <f t="shared" ref="L68:L102" si="7">IF(K68&lt;=M67,"UpdateStock", "Stock Available")</f>
        <v>UpdateStock</v>
      </c>
    </row>
    <row r="69" spans="1:12" ht="15" thickBot="1" x14ac:dyDescent="0.4">
      <c r="A69" s="31"/>
      <c r="H69" s="27" t="s">
        <v>127</v>
      </c>
      <c r="I69" s="30">
        <f t="shared" si="4"/>
        <v>0</v>
      </c>
      <c r="J69" s="30">
        <f t="shared" si="5"/>
        <v>0</v>
      </c>
      <c r="K69" s="30">
        <f t="shared" si="6"/>
        <v>0</v>
      </c>
      <c r="L69" s="30" t="str">
        <f t="shared" si="7"/>
        <v>UpdateStock</v>
      </c>
    </row>
    <row r="70" spans="1:12" ht="15" thickBot="1" x14ac:dyDescent="0.4">
      <c r="A70" s="31"/>
      <c r="H70" s="27" t="s">
        <v>128</v>
      </c>
      <c r="I70" s="30">
        <f t="shared" si="4"/>
        <v>0</v>
      </c>
      <c r="J70" s="30">
        <f t="shared" si="5"/>
        <v>0</v>
      </c>
      <c r="K70" s="30">
        <f t="shared" si="6"/>
        <v>0</v>
      </c>
      <c r="L70" s="30" t="str">
        <f t="shared" si="7"/>
        <v>UpdateStock</v>
      </c>
    </row>
    <row r="71" spans="1:12" ht="15" thickBot="1" x14ac:dyDescent="0.4">
      <c r="A71" s="31"/>
      <c r="H71" s="27" t="s">
        <v>129</v>
      </c>
      <c r="I71" s="30">
        <f t="shared" si="4"/>
        <v>0</v>
      </c>
      <c r="J71" s="30">
        <f t="shared" si="5"/>
        <v>0</v>
      </c>
      <c r="K71" s="30">
        <f t="shared" si="6"/>
        <v>0</v>
      </c>
      <c r="L71" s="30" t="str">
        <f t="shared" si="7"/>
        <v>UpdateStock</v>
      </c>
    </row>
    <row r="72" spans="1:12" ht="15" thickBot="1" x14ac:dyDescent="0.4">
      <c r="A72" s="31"/>
      <c r="H72" s="27" t="s">
        <v>130</v>
      </c>
      <c r="I72" s="30">
        <f t="shared" si="4"/>
        <v>0</v>
      </c>
      <c r="J72" s="30">
        <f t="shared" si="5"/>
        <v>0</v>
      </c>
      <c r="K72" s="30">
        <f t="shared" si="6"/>
        <v>0</v>
      </c>
      <c r="L72" s="30" t="str">
        <f t="shared" si="7"/>
        <v>UpdateStock</v>
      </c>
    </row>
    <row r="73" spans="1:12" ht="15" thickBot="1" x14ac:dyDescent="0.4">
      <c r="A73" s="31"/>
      <c r="H73" s="27" t="s">
        <v>131</v>
      </c>
      <c r="I73" s="30">
        <f t="shared" si="4"/>
        <v>0</v>
      </c>
      <c r="J73" s="30">
        <f t="shared" si="5"/>
        <v>0</v>
      </c>
      <c r="K73" s="30">
        <f t="shared" si="6"/>
        <v>0</v>
      </c>
      <c r="L73" s="30" t="str">
        <f t="shared" si="7"/>
        <v>UpdateStock</v>
      </c>
    </row>
    <row r="74" spans="1:12" ht="15" thickBot="1" x14ac:dyDescent="0.4">
      <c r="A74" s="31"/>
      <c r="H74" s="27" t="s">
        <v>132</v>
      </c>
      <c r="I74" s="30">
        <f t="shared" si="4"/>
        <v>0</v>
      </c>
      <c r="J74" s="30">
        <f t="shared" si="5"/>
        <v>0</v>
      </c>
      <c r="K74" s="30">
        <f t="shared" si="6"/>
        <v>0</v>
      </c>
      <c r="L74" s="30" t="str">
        <f t="shared" si="7"/>
        <v>UpdateStock</v>
      </c>
    </row>
    <row r="75" spans="1:12" ht="15" thickBot="1" x14ac:dyDescent="0.4">
      <c r="A75" s="31"/>
      <c r="H75" s="27" t="s">
        <v>133</v>
      </c>
      <c r="I75" s="30">
        <f t="shared" si="4"/>
        <v>0</v>
      </c>
      <c r="J75" s="30">
        <f t="shared" si="5"/>
        <v>0</v>
      </c>
      <c r="K75" s="30">
        <f t="shared" si="6"/>
        <v>0</v>
      </c>
      <c r="L75" s="30" t="str">
        <f t="shared" si="7"/>
        <v>UpdateStock</v>
      </c>
    </row>
    <row r="76" spans="1:12" ht="15" thickBot="1" x14ac:dyDescent="0.4">
      <c r="A76" s="31"/>
      <c r="H76" s="27" t="s">
        <v>134</v>
      </c>
      <c r="I76" s="30">
        <f t="shared" si="4"/>
        <v>0</v>
      </c>
      <c r="J76" s="30">
        <f t="shared" si="5"/>
        <v>0</v>
      </c>
      <c r="K76" s="30">
        <f t="shared" si="6"/>
        <v>0</v>
      </c>
      <c r="L76" s="30" t="str">
        <f t="shared" si="7"/>
        <v>UpdateStock</v>
      </c>
    </row>
    <row r="77" spans="1:12" ht="15" thickBot="1" x14ac:dyDescent="0.4">
      <c r="A77" s="31"/>
      <c r="H77" s="27" t="s">
        <v>135</v>
      </c>
      <c r="I77" s="30">
        <f t="shared" si="4"/>
        <v>0</v>
      </c>
      <c r="J77" s="30">
        <f t="shared" si="5"/>
        <v>0</v>
      </c>
      <c r="K77" s="30">
        <f t="shared" si="6"/>
        <v>0</v>
      </c>
      <c r="L77" s="30" t="str">
        <f t="shared" si="7"/>
        <v>UpdateStock</v>
      </c>
    </row>
    <row r="78" spans="1:12" ht="15" thickBot="1" x14ac:dyDescent="0.4">
      <c r="A78" s="31"/>
      <c r="H78" s="27" t="s">
        <v>136</v>
      </c>
      <c r="I78" s="30">
        <f t="shared" si="4"/>
        <v>0</v>
      </c>
      <c r="J78" s="30">
        <f t="shared" si="5"/>
        <v>0</v>
      </c>
      <c r="K78" s="30">
        <f t="shared" si="6"/>
        <v>0</v>
      </c>
      <c r="L78" s="30" t="str">
        <f t="shared" si="7"/>
        <v>UpdateStock</v>
      </c>
    </row>
    <row r="79" spans="1:12" ht="15" thickBot="1" x14ac:dyDescent="0.4">
      <c r="A79" s="31"/>
      <c r="H79" s="27" t="s">
        <v>137</v>
      </c>
      <c r="I79" s="30">
        <f t="shared" si="4"/>
        <v>0</v>
      </c>
      <c r="J79" s="30">
        <f t="shared" si="5"/>
        <v>0</v>
      </c>
      <c r="K79" s="30">
        <f t="shared" si="6"/>
        <v>0</v>
      </c>
      <c r="L79" s="30" t="str">
        <f t="shared" si="7"/>
        <v>UpdateStock</v>
      </c>
    </row>
    <row r="80" spans="1:12" ht="15" thickBot="1" x14ac:dyDescent="0.4">
      <c r="A80" s="31"/>
      <c r="H80" s="27" t="s">
        <v>138</v>
      </c>
      <c r="I80" s="30">
        <f t="shared" si="4"/>
        <v>0</v>
      </c>
      <c r="J80" s="30">
        <f t="shared" si="5"/>
        <v>0</v>
      </c>
      <c r="K80" s="30">
        <f t="shared" si="6"/>
        <v>0</v>
      </c>
      <c r="L80" s="30" t="str">
        <f t="shared" si="7"/>
        <v>UpdateStock</v>
      </c>
    </row>
    <row r="81" spans="1:12" ht="15" thickBot="1" x14ac:dyDescent="0.4">
      <c r="A81" s="31"/>
      <c r="H81" s="27" t="s">
        <v>139</v>
      </c>
      <c r="I81" s="30">
        <f t="shared" si="4"/>
        <v>0</v>
      </c>
      <c r="J81" s="30">
        <f t="shared" si="5"/>
        <v>0</v>
      </c>
      <c r="K81" s="30">
        <f t="shared" si="6"/>
        <v>0</v>
      </c>
      <c r="L81" s="30" t="str">
        <f t="shared" si="7"/>
        <v>UpdateStock</v>
      </c>
    </row>
    <row r="82" spans="1:12" ht="15" thickBot="1" x14ac:dyDescent="0.4">
      <c r="A82" s="31"/>
      <c r="H82" s="27" t="s">
        <v>140</v>
      </c>
      <c r="I82" s="30">
        <f t="shared" si="4"/>
        <v>0</v>
      </c>
      <c r="J82" s="30">
        <f t="shared" si="5"/>
        <v>0</v>
      </c>
      <c r="K82" s="30">
        <f t="shared" si="6"/>
        <v>0</v>
      </c>
      <c r="L82" s="30" t="str">
        <f t="shared" si="7"/>
        <v>UpdateStock</v>
      </c>
    </row>
    <row r="83" spans="1:12" ht="15" thickBot="1" x14ac:dyDescent="0.4">
      <c r="A83" s="31"/>
      <c r="H83" s="27" t="s">
        <v>141</v>
      </c>
      <c r="I83" s="30">
        <f t="shared" si="4"/>
        <v>0</v>
      </c>
      <c r="J83" s="30">
        <f t="shared" si="5"/>
        <v>0</v>
      </c>
      <c r="K83" s="30">
        <f t="shared" si="6"/>
        <v>0</v>
      </c>
      <c r="L83" s="30" t="str">
        <f t="shared" si="7"/>
        <v>UpdateStock</v>
      </c>
    </row>
    <row r="84" spans="1:12" ht="15" thickBot="1" x14ac:dyDescent="0.4">
      <c r="A84" s="31"/>
      <c r="H84" s="27" t="s">
        <v>142</v>
      </c>
      <c r="I84" s="30">
        <f t="shared" si="4"/>
        <v>0</v>
      </c>
      <c r="J84" s="30">
        <f t="shared" si="5"/>
        <v>0</v>
      </c>
      <c r="K84" s="30">
        <f t="shared" si="6"/>
        <v>0</v>
      </c>
      <c r="L84" s="30" t="str">
        <f t="shared" si="7"/>
        <v>UpdateStock</v>
      </c>
    </row>
    <row r="85" spans="1:12" ht="15" thickBot="1" x14ac:dyDescent="0.4">
      <c r="A85" s="31"/>
      <c r="H85" s="27" t="s">
        <v>143</v>
      </c>
      <c r="I85" s="30">
        <f t="shared" si="4"/>
        <v>0</v>
      </c>
      <c r="J85" s="30">
        <f t="shared" si="5"/>
        <v>0</v>
      </c>
      <c r="K85" s="30">
        <f t="shared" si="6"/>
        <v>0</v>
      </c>
      <c r="L85" s="30" t="str">
        <f t="shared" si="7"/>
        <v>UpdateStock</v>
      </c>
    </row>
    <row r="86" spans="1:12" ht="15" thickBot="1" x14ac:dyDescent="0.4">
      <c r="A86" s="31"/>
      <c r="H86" s="27" t="s">
        <v>144</v>
      </c>
      <c r="I86" s="30">
        <f t="shared" si="4"/>
        <v>0</v>
      </c>
      <c r="J86" s="30">
        <f t="shared" si="5"/>
        <v>0</v>
      </c>
      <c r="K86" s="30">
        <f t="shared" si="6"/>
        <v>0</v>
      </c>
      <c r="L86" s="30" t="str">
        <f t="shared" si="7"/>
        <v>UpdateStock</v>
      </c>
    </row>
    <row r="87" spans="1:12" ht="15" thickBot="1" x14ac:dyDescent="0.4">
      <c r="A87" s="31"/>
      <c r="H87" s="27" t="s">
        <v>145</v>
      </c>
      <c r="I87" s="30">
        <f t="shared" si="4"/>
        <v>0</v>
      </c>
      <c r="J87" s="30">
        <f t="shared" si="5"/>
        <v>0</v>
      </c>
      <c r="K87" s="30">
        <f t="shared" si="6"/>
        <v>0</v>
      </c>
      <c r="L87" s="30" t="str">
        <f t="shared" si="7"/>
        <v>UpdateStock</v>
      </c>
    </row>
    <row r="88" spans="1:12" ht="15" thickBot="1" x14ac:dyDescent="0.4">
      <c r="A88" s="31"/>
      <c r="H88" s="27" t="s">
        <v>146</v>
      </c>
      <c r="I88" s="30">
        <f t="shared" si="4"/>
        <v>0</v>
      </c>
      <c r="J88" s="30">
        <f t="shared" si="5"/>
        <v>0</v>
      </c>
      <c r="K88" s="30">
        <f t="shared" si="6"/>
        <v>0</v>
      </c>
      <c r="L88" s="30" t="str">
        <f t="shared" si="7"/>
        <v>UpdateStock</v>
      </c>
    </row>
    <row r="89" spans="1:12" ht="15" thickBot="1" x14ac:dyDescent="0.4">
      <c r="A89" s="31"/>
      <c r="H89" s="27" t="s">
        <v>147</v>
      </c>
      <c r="I89" s="30">
        <f t="shared" si="4"/>
        <v>0</v>
      </c>
      <c r="J89" s="30">
        <f t="shared" si="5"/>
        <v>0</v>
      </c>
      <c r="K89" s="30">
        <f t="shared" si="6"/>
        <v>0</v>
      </c>
      <c r="L89" s="30" t="str">
        <f t="shared" si="7"/>
        <v>UpdateStock</v>
      </c>
    </row>
    <row r="90" spans="1:12" ht="15" thickBot="1" x14ac:dyDescent="0.4">
      <c r="A90" s="31"/>
      <c r="H90" s="27" t="s">
        <v>148</v>
      </c>
      <c r="I90" s="30">
        <f t="shared" si="4"/>
        <v>0</v>
      </c>
      <c r="J90" s="30">
        <f t="shared" si="5"/>
        <v>0</v>
      </c>
      <c r="K90" s="30">
        <f t="shared" si="6"/>
        <v>0</v>
      </c>
      <c r="L90" s="30" t="str">
        <f t="shared" si="7"/>
        <v>UpdateStock</v>
      </c>
    </row>
    <row r="91" spans="1:12" ht="15" thickBot="1" x14ac:dyDescent="0.4">
      <c r="A91" s="31"/>
      <c r="H91" s="27" t="s">
        <v>149</v>
      </c>
      <c r="I91" s="30">
        <f t="shared" si="4"/>
        <v>0</v>
      </c>
      <c r="J91" s="30">
        <f t="shared" si="5"/>
        <v>0</v>
      </c>
      <c r="K91" s="30">
        <f t="shared" si="6"/>
        <v>0</v>
      </c>
      <c r="L91" s="30" t="str">
        <f t="shared" si="7"/>
        <v>UpdateStock</v>
      </c>
    </row>
    <row r="92" spans="1:12" ht="15" thickBot="1" x14ac:dyDescent="0.4">
      <c r="A92" s="31"/>
      <c r="H92" s="27" t="s">
        <v>150</v>
      </c>
      <c r="I92" s="30">
        <f t="shared" si="4"/>
        <v>0</v>
      </c>
      <c r="J92" s="30">
        <f t="shared" si="5"/>
        <v>0</v>
      </c>
      <c r="K92" s="30">
        <f t="shared" si="6"/>
        <v>0</v>
      </c>
      <c r="L92" s="30" t="str">
        <f t="shared" si="7"/>
        <v>UpdateStock</v>
      </c>
    </row>
    <row r="93" spans="1:12" ht="15" thickBot="1" x14ac:dyDescent="0.4">
      <c r="A93" s="31"/>
      <c r="H93" s="27" t="s">
        <v>151</v>
      </c>
      <c r="I93" s="30">
        <f t="shared" si="4"/>
        <v>0</v>
      </c>
      <c r="J93" s="30">
        <f t="shared" si="5"/>
        <v>0</v>
      </c>
      <c r="K93" s="30">
        <f t="shared" si="6"/>
        <v>0</v>
      </c>
      <c r="L93" s="30" t="str">
        <f t="shared" si="7"/>
        <v>UpdateStock</v>
      </c>
    </row>
    <row r="94" spans="1:12" ht="15" thickBot="1" x14ac:dyDescent="0.4">
      <c r="A94" s="31"/>
      <c r="H94" s="27" t="s">
        <v>152</v>
      </c>
      <c r="I94" s="30">
        <f t="shared" si="4"/>
        <v>0</v>
      </c>
      <c r="J94" s="30">
        <f t="shared" si="5"/>
        <v>0</v>
      </c>
      <c r="K94" s="30">
        <f t="shared" si="6"/>
        <v>0</v>
      </c>
      <c r="L94" s="30" t="str">
        <f t="shared" si="7"/>
        <v>UpdateStock</v>
      </c>
    </row>
    <row r="95" spans="1:12" ht="15" thickBot="1" x14ac:dyDescent="0.4">
      <c r="A95" s="31"/>
      <c r="H95" s="27" t="s">
        <v>153</v>
      </c>
      <c r="I95" s="30">
        <f t="shared" si="4"/>
        <v>0</v>
      </c>
      <c r="J95" s="30">
        <f t="shared" si="5"/>
        <v>0</v>
      </c>
      <c r="K95" s="30">
        <f t="shared" si="6"/>
        <v>0</v>
      </c>
      <c r="L95" s="30" t="str">
        <f t="shared" si="7"/>
        <v>UpdateStock</v>
      </c>
    </row>
    <row r="96" spans="1:12" ht="15" thickBot="1" x14ac:dyDescent="0.4">
      <c r="A96" s="31"/>
      <c r="H96" s="27" t="s">
        <v>154</v>
      </c>
      <c r="I96" s="30">
        <f t="shared" si="4"/>
        <v>0</v>
      </c>
      <c r="J96" s="30">
        <f t="shared" si="5"/>
        <v>0</v>
      </c>
      <c r="K96" s="30">
        <f t="shared" si="6"/>
        <v>0</v>
      </c>
      <c r="L96" s="30" t="str">
        <f t="shared" si="7"/>
        <v>UpdateStock</v>
      </c>
    </row>
    <row r="97" spans="1:12" ht="15" thickBot="1" x14ac:dyDescent="0.4">
      <c r="A97" s="31"/>
      <c r="H97" s="27" t="s">
        <v>155</v>
      </c>
      <c r="I97" s="30">
        <f t="shared" si="4"/>
        <v>0</v>
      </c>
      <c r="J97" s="30">
        <f t="shared" si="5"/>
        <v>0</v>
      </c>
      <c r="K97" s="30">
        <f t="shared" si="6"/>
        <v>0</v>
      </c>
      <c r="L97" s="30" t="str">
        <f t="shared" si="7"/>
        <v>UpdateStock</v>
      </c>
    </row>
    <row r="98" spans="1:12" ht="15" thickBot="1" x14ac:dyDescent="0.4">
      <c r="A98" s="31"/>
      <c r="H98" s="27" t="s">
        <v>156</v>
      </c>
      <c r="I98" s="30">
        <f t="shared" si="4"/>
        <v>0</v>
      </c>
      <c r="J98" s="30">
        <f t="shared" si="5"/>
        <v>0</v>
      </c>
      <c r="K98" s="30">
        <f t="shared" si="6"/>
        <v>0</v>
      </c>
      <c r="L98" s="30" t="str">
        <f t="shared" si="7"/>
        <v>UpdateStock</v>
      </c>
    </row>
    <row r="99" spans="1:12" ht="15" thickBot="1" x14ac:dyDescent="0.4">
      <c r="A99" s="31"/>
      <c r="H99" s="27" t="s">
        <v>157</v>
      </c>
      <c r="I99" s="30">
        <f t="shared" si="4"/>
        <v>0</v>
      </c>
      <c r="J99" s="30">
        <f t="shared" si="5"/>
        <v>0</v>
      </c>
      <c r="K99" s="30">
        <f t="shared" si="6"/>
        <v>0</v>
      </c>
      <c r="L99" s="30" t="str">
        <f t="shared" si="7"/>
        <v>UpdateStock</v>
      </c>
    </row>
    <row r="100" spans="1:12" ht="15" thickBot="1" x14ac:dyDescent="0.4">
      <c r="A100" s="31"/>
      <c r="H100" s="27" t="s">
        <v>158</v>
      </c>
      <c r="I100" s="30">
        <f t="shared" si="4"/>
        <v>0</v>
      </c>
      <c r="J100" s="30">
        <f t="shared" si="5"/>
        <v>0</v>
      </c>
      <c r="K100" s="30">
        <f t="shared" si="6"/>
        <v>0</v>
      </c>
      <c r="L100" s="30" t="str">
        <f t="shared" si="7"/>
        <v>UpdateStock</v>
      </c>
    </row>
    <row r="101" spans="1:12" ht="15" thickBot="1" x14ac:dyDescent="0.4">
      <c r="A101" s="31"/>
      <c r="H101" s="27" t="s">
        <v>159</v>
      </c>
      <c r="I101" s="30">
        <f t="shared" si="4"/>
        <v>0</v>
      </c>
      <c r="J101" s="30">
        <f t="shared" si="5"/>
        <v>0</v>
      </c>
      <c r="K101" s="30">
        <f t="shared" si="6"/>
        <v>0</v>
      </c>
      <c r="L101" s="30" t="str">
        <f t="shared" si="7"/>
        <v>UpdateStock</v>
      </c>
    </row>
    <row r="102" spans="1:12" ht="15" thickBot="1" x14ac:dyDescent="0.4">
      <c r="A102" s="31"/>
      <c r="H102" s="27" t="s">
        <v>160</v>
      </c>
      <c r="I102" s="30">
        <f t="shared" si="4"/>
        <v>0</v>
      </c>
      <c r="J102" s="30">
        <f t="shared" si="5"/>
        <v>0</v>
      </c>
      <c r="K102" s="30">
        <f t="shared" si="6"/>
        <v>0</v>
      </c>
      <c r="L102" s="30" t="str">
        <f t="shared" si="7"/>
        <v>UpdateStock</v>
      </c>
    </row>
  </sheetData>
  <mergeCells count="3">
    <mergeCell ref="A1:C1"/>
    <mergeCell ref="D1:F1"/>
    <mergeCell ref="G1:L1"/>
  </mergeCells>
  <dataValidations count="2">
    <dataValidation type="list" allowBlank="1" showInputMessage="1" showErrorMessage="1" sqref="B3:B101 E3:E102" xr:uid="{5CA1B9F3-E551-4C60-ABB8-BA2059D1CF64}">
      <formula1>$H$3:$H$102</formula1>
    </dataValidation>
    <dataValidation type="list" allowBlank="1" showInputMessage="1" showErrorMessage="1" sqref="B102" xr:uid="{63D14639-EF9E-45A9-9C22-355717F3F667}">
      <formula1>#REF!</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384AF-E301-4886-A9C2-62DA87C44683}">
  <dimension ref="A1:H21"/>
  <sheetViews>
    <sheetView workbookViewId="0">
      <selection activeCell="E2" sqref="E2"/>
    </sheetView>
  </sheetViews>
  <sheetFormatPr defaultRowHeight="14.5" x14ac:dyDescent="0.35"/>
  <cols>
    <col min="2" max="3" width="10.54296875" customWidth="1"/>
    <col min="4" max="5" width="13.36328125" customWidth="1"/>
    <col min="6" max="6" width="12.08984375" customWidth="1"/>
    <col min="7" max="7" width="10.90625" customWidth="1"/>
    <col min="8" max="8" width="10.36328125" bestFit="1" customWidth="1"/>
  </cols>
  <sheetData>
    <row r="1" spans="1:8" ht="37.5" thickBot="1" x14ac:dyDescent="0.4">
      <c r="A1" s="12" t="s">
        <v>0</v>
      </c>
      <c r="B1" s="12" t="s">
        <v>56</v>
      </c>
      <c r="C1" s="12" t="s">
        <v>1</v>
      </c>
      <c r="D1" s="12" t="s">
        <v>57</v>
      </c>
      <c r="E1" s="12" t="s">
        <v>174</v>
      </c>
      <c r="F1" s="12" t="s">
        <v>58</v>
      </c>
      <c r="G1" s="12" t="s">
        <v>59</v>
      </c>
      <c r="H1" s="12" t="s">
        <v>60</v>
      </c>
    </row>
    <row r="2" spans="1:8" ht="15" thickBot="1" x14ac:dyDescent="0.4">
      <c r="A2" s="16" t="s">
        <v>23</v>
      </c>
      <c r="B2" s="16">
        <f>VLOOKUP(A2,Data!$A$2:$H$21,2,0)</f>
        <v>157</v>
      </c>
      <c r="C2" s="16">
        <f>VLOOKUP(A2,Data!$A$2:$H$21,8,0)</f>
        <v>1000</v>
      </c>
      <c r="D2" s="16">
        <v>1</v>
      </c>
      <c r="E2" s="46">
        <f>D2/Calcula!C2</f>
        <v>3.5691530512412482</v>
      </c>
      <c r="F2" s="47">
        <f>B2*D2-E2*G2</f>
        <v>-1842.9999999999998</v>
      </c>
      <c r="G2" s="26">
        <f>VLOOKUP(A2,Calcula!$A$2:$F$21,2,0)</f>
        <v>560.35702904487596</v>
      </c>
      <c r="H2" s="35" t="str">
        <f>IF(C2&lt;=F2,"   Reorder ","Available")</f>
        <v>Available</v>
      </c>
    </row>
    <row r="3" spans="1:8" ht="15" thickBot="1" x14ac:dyDescent="0.4">
      <c r="A3" s="16" t="s">
        <v>24</v>
      </c>
      <c r="B3" s="16">
        <v>300</v>
      </c>
      <c r="C3" s="16">
        <f>VLOOKUP(A3,Data!$A$2:$H$21,8,0)</f>
        <v>1500</v>
      </c>
      <c r="D3" s="16">
        <v>1</v>
      </c>
      <c r="E3" s="46">
        <f>D3/Calcula!C3</f>
        <v>0.73029674334022143</v>
      </c>
      <c r="F3" s="47">
        <f t="shared" ref="F3:F21" si="0">B3*D3-E3*G3</f>
        <v>246.66666666666669</v>
      </c>
      <c r="G3" s="26">
        <f>VLOOKUP(A3,Calcula!$A$2:$F$21,2,0)</f>
        <v>73.029674334022147</v>
      </c>
      <c r="H3" s="35" t="str">
        <f t="shared" ref="H3:H21" si="1">IF(C3&lt;=F3,"   Reorder ","Available")</f>
        <v>Available</v>
      </c>
    </row>
    <row r="4" spans="1:8" ht="15" thickBot="1" x14ac:dyDescent="0.4">
      <c r="A4" s="16" t="s">
        <v>25</v>
      </c>
      <c r="B4" s="16">
        <f>VLOOKUP(A4,Data!$A$2:$H$21,2,0)</f>
        <v>300</v>
      </c>
      <c r="C4" s="16">
        <f>VLOOKUP(A4,Data!$A$2:$H$21,8,0)</f>
        <v>3000</v>
      </c>
      <c r="D4" s="16">
        <f>VLOOKUP(A4,Data!$A$2:$H$21,5,0)</f>
        <v>2</v>
      </c>
      <c r="E4" s="46">
        <f>D4/Calcula!C4</f>
        <v>0.62279915532921826</v>
      </c>
      <c r="F4" s="47">
        <f t="shared" si="0"/>
        <v>541.81818181818187</v>
      </c>
      <c r="G4" s="26">
        <f>VLOOKUP(A4,Calcula!$A$2:$F$21,2,0)</f>
        <v>93.419873299382743</v>
      </c>
      <c r="H4" s="35" t="str">
        <f t="shared" si="1"/>
        <v>Available</v>
      </c>
    </row>
    <row r="5" spans="1:8" ht="15" thickBot="1" x14ac:dyDescent="0.4">
      <c r="A5" s="16" t="s">
        <v>26</v>
      </c>
      <c r="B5" s="16">
        <f>VLOOKUP(A5,Data!$A$2:$H$21,2,0)</f>
        <v>300</v>
      </c>
      <c r="C5" s="16">
        <f>VLOOKUP(A5,Data!$A$2:$H$21,8,0)</f>
        <v>2500</v>
      </c>
      <c r="D5" s="16">
        <f>VLOOKUP(A5,Data!$A$2:$H$21,5,0)</f>
        <v>2</v>
      </c>
      <c r="E5" s="46">
        <f>D5/Calcula!C5</f>
        <v>1</v>
      </c>
      <c r="F5" s="47">
        <f t="shared" si="0"/>
        <v>450</v>
      </c>
      <c r="G5" s="26">
        <f>VLOOKUP(A5,Calcula!$A$2:$F$21,2,0)</f>
        <v>150</v>
      </c>
      <c r="H5" s="35" t="str">
        <f t="shared" si="1"/>
        <v>Available</v>
      </c>
    </row>
    <row r="6" spans="1:8" ht="15" thickBot="1" x14ac:dyDescent="0.4">
      <c r="A6" s="16" t="s">
        <v>27</v>
      </c>
      <c r="B6" s="16">
        <f>VLOOKUP(A6,Data!$A$2:$H$21,2,0)</f>
        <v>240</v>
      </c>
      <c r="C6" s="16">
        <f>VLOOKUP(A6,Data!$A$2:$H$21,8,0)</f>
        <v>1500</v>
      </c>
      <c r="D6" s="16">
        <f>VLOOKUP(A6,Data!$A$2:$H$21,5,0)</f>
        <v>2</v>
      </c>
      <c r="E6" s="46">
        <f>D6/Calcula!C6</f>
        <v>0.7453559924999299</v>
      </c>
      <c r="F6" s="47">
        <f t="shared" si="0"/>
        <v>413.33333333333331</v>
      </c>
      <c r="G6" s="26">
        <f>VLOOKUP(A6,Calcula!$A$2:$F$21,2,0)</f>
        <v>89.442719099991592</v>
      </c>
      <c r="H6" s="35" t="str">
        <f t="shared" si="1"/>
        <v>Available</v>
      </c>
    </row>
    <row r="7" spans="1:8" ht="15" thickBot="1" x14ac:dyDescent="0.4">
      <c r="A7" s="16" t="s">
        <v>28</v>
      </c>
      <c r="B7" s="16">
        <f>VLOOKUP(A7,Data!$A$2:$H$21,2,0)</f>
        <v>300</v>
      </c>
      <c r="C7" s="16">
        <f>VLOOKUP(A7,Data!$A$2:$H$21,8,0)</f>
        <v>3000</v>
      </c>
      <c r="D7" s="16">
        <f>VLOOKUP(A7,Data!$A$2:$H$21,5,0)</f>
        <v>2</v>
      </c>
      <c r="E7" s="46">
        <f>D7/Calcula!C7</f>
        <v>0.78173595997057155</v>
      </c>
      <c r="F7" s="47">
        <f t="shared" si="0"/>
        <v>508.33333333333331</v>
      </c>
      <c r="G7" s="26">
        <f>VLOOKUP(A7,Calcula!$A$2:$F$21,2,0)</f>
        <v>117.26039399558574</v>
      </c>
      <c r="H7" s="35" t="str">
        <f t="shared" si="1"/>
        <v>Available</v>
      </c>
    </row>
    <row r="8" spans="1:8" ht="15" thickBot="1" x14ac:dyDescent="0.4">
      <c r="A8" s="16" t="s">
        <v>29</v>
      </c>
      <c r="B8" s="16">
        <f>VLOOKUP(A8,Data!$A$2:$H$21,2,0)</f>
        <v>145</v>
      </c>
      <c r="C8" s="16">
        <f>VLOOKUP(A8,Data!$A$2:$H$21,8,0)</f>
        <v>4500</v>
      </c>
      <c r="D8" s="16">
        <f>VLOOKUP(A8,Data!$A$2:$H$21,5,0)</f>
        <v>1.2</v>
      </c>
      <c r="E8" s="46">
        <f>D8/Calcula!C8</f>
        <v>0.891337623249849</v>
      </c>
      <c r="F8" s="47">
        <f t="shared" si="0"/>
        <v>78</v>
      </c>
      <c r="G8" s="26">
        <f>VLOOKUP(A8,Calcula!$A$2:$F$21,2,0)</f>
        <v>107.70329614269008</v>
      </c>
      <c r="H8" s="35" t="str">
        <f t="shared" si="1"/>
        <v>Available</v>
      </c>
    </row>
    <row r="9" spans="1:8" ht="15" thickBot="1" x14ac:dyDescent="0.4">
      <c r="A9" s="16" t="s">
        <v>30</v>
      </c>
      <c r="B9" s="16">
        <f>VLOOKUP(A9,Data!$A$2:$H$21,2,0)</f>
        <v>300</v>
      </c>
      <c r="C9" s="16">
        <f>VLOOKUP(A9,Data!$A$2:$H$21,8,0)</f>
        <v>5200</v>
      </c>
      <c r="D9" s="16">
        <f>VLOOKUP(A9,Data!$A$2:$H$21,5,0)</f>
        <v>2.5</v>
      </c>
      <c r="E9" s="46">
        <f>D9/Calcula!C9</f>
        <v>0.80408440112834623</v>
      </c>
      <c r="F9" s="47">
        <f t="shared" si="0"/>
        <v>672.41379310344826</v>
      </c>
      <c r="G9" s="26">
        <f>VLOOKUP(A9,Calcula!$A$2:$F$21,2,0)</f>
        <v>96.490128135401548</v>
      </c>
      <c r="H9" s="35" t="str">
        <f t="shared" si="1"/>
        <v>Available</v>
      </c>
    </row>
    <row r="10" spans="1:8" ht="15" thickBot="1" x14ac:dyDescent="0.4">
      <c r="A10" s="16" t="s">
        <v>31</v>
      </c>
      <c r="B10" s="16">
        <f>VLOOKUP(A10,Data!$A$2:$H$21,2,0)</f>
        <v>324</v>
      </c>
      <c r="C10" s="16">
        <f>VLOOKUP(A10,Data!$A$2:$H$21,8,0)</f>
        <v>3000</v>
      </c>
      <c r="D10" s="16">
        <f>VLOOKUP(A10,Data!$A$2:$H$21,5,0)</f>
        <v>1.5</v>
      </c>
      <c r="E10" s="46">
        <f>D10/Calcula!C10</f>
        <v>0.62994078834871203</v>
      </c>
      <c r="F10" s="47">
        <f t="shared" si="0"/>
        <v>400.28571428571428</v>
      </c>
      <c r="G10" s="26">
        <f>VLOOKUP(A10,Calcula!$A$2:$F$21,2,0)</f>
        <v>136.0672102833218</v>
      </c>
      <c r="H10" s="35" t="str">
        <f t="shared" si="1"/>
        <v>Available</v>
      </c>
    </row>
    <row r="11" spans="1:8" ht="15" thickBot="1" x14ac:dyDescent="0.4">
      <c r="A11" s="16" t="s">
        <v>32</v>
      </c>
      <c r="B11" s="16">
        <f>VLOOKUP(A11,Data!$A$2:$H$21,2,0)</f>
        <v>345</v>
      </c>
      <c r="C11" s="16">
        <f>VLOOKUP(A11,Data!$A$2:$H$21,8,0)</f>
        <v>1000</v>
      </c>
      <c r="D11" s="16">
        <f>VLOOKUP(A11,Data!$A$2:$H$21,5,0)</f>
        <v>2</v>
      </c>
      <c r="E11" s="46">
        <f>D11/Calcula!C11</f>
        <v>0.70037416341898162</v>
      </c>
      <c r="F11" s="47">
        <f t="shared" si="0"/>
        <v>605.38461538461536</v>
      </c>
      <c r="G11" s="26">
        <f>VLOOKUP(A11,Calcula!$A$2:$F$21,2,0)</f>
        <v>120.81454318977433</v>
      </c>
      <c r="H11" s="35" t="str">
        <f t="shared" si="1"/>
        <v>Available</v>
      </c>
    </row>
    <row r="12" spans="1:8" ht="15" thickBot="1" x14ac:dyDescent="0.4">
      <c r="A12" s="16" t="s">
        <v>33</v>
      </c>
      <c r="B12" s="16">
        <f>VLOOKUP(A12,Data!$A$2:$H$21,2,0)</f>
        <v>435</v>
      </c>
      <c r="C12" s="16">
        <f>VLOOKUP(A12,Data!$A$2:$H$21,8,0)</f>
        <v>42000</v>
      </c>
      <c r="D12" s="16">
        <f>VLOOKUP(A12,Data!$A$2:$H$21,5,0)</f>
        <v>1.3</v>
      </c>
      <c r="E12" s="46">
        <f>D12/Calcula!C12</f>
        <v>0.4109933603221414</v>
      </c>
      <c r="F12" s="47">
        <f t="shared" si="0"/>
        <v>508.97826086956525</v>
      </c>
      <c r="G12" s="26">
        <f>VLOOKUP(A12,Calcula!$A$2:$F$21,2,0)</f>
        <v>137.52470133856269</v>
      </c>
      <c r="H12" s="35" t="str">
        <f t="shared" si="1"/>
        <v>Available</v>
      </c>
    </row>
    <row r="13" spans="1:8" ht="15" thickBot="1" x14ac:dyDescent="0.4">
      <c r="A13" s="16" t="s">
        <v>34</v>
      </c>
      <c r="B13" s="16">
        <f>VLOOKUP(A13,Data!$A$2:$H$21,2,0)</f>
        <v>176</v>
      </c>
      <c r="C13" s="16">
        <f>VLOOKUP(A13,Data!$A$2:$H$21,8,0)</f>
        <v>3200</v>
      </c>
      <c r="D13" s="16">
        <f>VLOOKUP(A13,Data!$A$2:$H$21,5,0)</f>
        <v>2</v>
      </c>
      <c r="E13" s="46">
        <f>D13/Calcula!C13</f>
        <v>0.81311562818174177</v>
      </c>
      <c r="F13" s="47">
        <f t="shared" si="0"/>
        <v>293.81818181818181</v>
      </c>
      <c r="G13" s="26">
        <f>VLOOKUP(A13,Calcula!$A$2:$F$21,2,0)</f>
        <v>71.554175279993274</v>
      </c>
      <c r="H13" s="35" t="str">
        <f t="shared" si="1"/>
        <v>Available</v>
      </c>
    </row>
    <row r="14" spans="1:8" ht="15" thickBot="1" x14ac:dyDescent="0.4">
      <c r="A14" s="16" t="s">
        <v>35</v>
      </c>
      <c r="B14" s="16">
        <f>VLOOKUP(A14,Data!$A$2:$H$21,2,0)</f>
        <v>250</v>
      </c>
      <c r="C14" s="16">
        <f>VLOOKUP(A14,Data!$A$2:$H$21,8,0)</f>
        <v>2000</v>
      </c>
      <c r="D14" s="16">
        <f>VLOOKUP(A14,Data!$A$2:$H$21,5,0)</f>
        <v>1.5</v>
      </c>
      <c r="E14" s="46">
        <f>D14/Calcula!C14</f>
        <v>0.78472254567089539</v>
      </c>
      <c r="F14" s="47">
        <f t="shared" si="0"/>
        <v>272.36842105263156</v>
      </c>
      <c r="G14" s="26">
        <f>VLOOKUP(A14,Calcula!$A$2:$F$21,2,0)</f>
        <v>130.78709094514923</v>
      </c>
      <c r="H14" s="35" t="str">
        <f t="shared" si="1"/>
        <v>Available</v>
      </c>
    </row>
    <row r="15" spans="1:8" ht="15" thickBot="1" x14ac:dyDescent="0.4">
      <c r="A15" s="16" t="s">
        <v>36</v>
      </c>
      <c r="B15" s="16">
        <f>VLOOKUP(A15,Data!$A$2:$H$21,2,0)</f>
        <v>345</v>
      </c>
      <c r="C15" s="16">
        <f>VLOOKUP(A15,Data!$A$2:$H$21,8,0)</f>
        <v>2500</v>
      </c>
      <c r="D15" s="16">
        <f>VLOOKUP(A15,Data!$A$2:$H$21,5,0)</f>
        <v>1.3</v>
      </c>
      <c r="E15" s="46">
        <f>D15/Calcula!C15</f>
        <v>0.49490154195747266</v>
      </c>
      <c r="F15" s="47">
        <f t="shared" si="0"/>
        <v>383.5</v>
      </c>
      <c r="G15" s="26">
        <f>VLOOKUP(A15,Calcula!$A$2:$F$21,2,0)</f>
        <v>131.33925536563697</v>
      </c>
      <c r="H15" s="35" t="str">
        <f t="shared" si="1"/>
        <v>Available</v>
      </c>
    </row>
    <row r="16" spans="1:8" ht="15" thickBot="1" x14ac:dyDescent="0.4">
      <c r="A16" s="16" t="s">
        <v>37</v>
      </c>
      <c r="B16" s="16">
        <f>VLOOKUP(A16,Data!$A$2:$H$21,2,0)</f>
        <v>243</v>
      </c>
      <c r="C16" s="16">
        <f>VLOOKUP(A16,Data!$A$2:$H$21,8,0)</f>
        <v>10</v>
      </c>
      <c r="D16" s="16">
        <f>VLOOKUP(A16,Data!$A$2:$H$21,5,0)</f>
        <v>2</v>
      </c>
      <c r="E16" s="46">
        <f>D16/Calcula!C16</f>
        <v>0.92856766004149438</v>
      </c>
      <c r="F16" s="47">
        <f t="shared" si="0"/>
        <v>381.23809523809524</v>
      </c>
      <c r="G16" s="26">
        <f>VLOOKUP(A16,Calcula!$A$2:$F$21,2,0)</f>
        <v>112.82097069504157</v>
      </c>
      <c r="H16" s="35" t="str">
        <f t="shared" si="1"/>
        <v xml:space="preserve">   Reorder </v>
      </c>
    </row>
    <row r="17" spans="1:8" ht="15" thickBot="1" x14ac:dyDescent="0.4">
      <c r="A17" s="16" t="s">
        <v>38</v>
      </c>
      <c r="B17" s="16">
        <f>VLOOKUP(A17,Data!$A$2:$H$21,2,0)</f>
        <v>278</v>
      </c>
      <c r="C17" s="16">
        <f>VLOOKUP(A17,Data!$A$2:$H$21,8,0)</f>
        <v>3500</v>
      </c>
      <c r="D17" s="16">
        <f>VLOOKUP(A17,Data!$A$2:$H$21,5,0)</f>
        <v>1.2</v>
      </c>
      <c r="E17" s="46">
        <f>D17/Calcula!C17</f>
        <v>0.40444332561557589</v>
      </c>
      <c r="F17" s="47">
        <f t="shared" si="0"/>
        <v>295.70526315789471</v>
      </c>
      <c r="G17" s="26">
        <f>VLOOKUP(A17,Calcula!$A$2:$F$21,2,0)</f>
        <v>93.696037100941751</v>
      </c>
      <c r="H17" s="35" t="str">
        <f t="shared" si="1"/>
        <v>Available</v>
      </c>
    </row>
    <row r="18" spans="1:8" ht="15" thickBot="1" x14ac:dyDescent="0.4">
      <c r="A18" s="16" t="s">
        <v>39</v>
      </c>
      <c r="B18" s="16">
        <f>VLOOKUP(A18,Data!$A$2:$H$21,2,0)</f>
        <v>390</v>
      </c>
      <c r="C18" s="16" t="str">
        <f>VLOOKUP(A18,Data!$A$2:$H$21,8,0)</f>
        <v>m</v>
      </c>
      <c r="D18" s="16">
        <f>VLOOKUP(A18,Data!$A$2:$H$21,5,0)</f>
        <v>2</v>
      </c>
      <c r="E18" s="46">
        <f>D18/Calcula!C18</f>
        <v>0.88823118336865492</v>
      </c>
      <c r="F18" s="47">
        <f t="shared" si="0"/>
        <v>626.15384615384619</v>
      </c>
      <c r="G18" s="26">
        <f>VLOOKUP(A18,Calcula!$A$2:$F$21,2,0)</f>
        <v>173.20508075688772</v>
      </c>
      <c r="H18" s="35" t="str">
        <f t="shared" si="1"/>
        <v>Available</v>
      </c>
    </row>
    <row r="19" spans="1:8" ht="15" thickBot="1" x14ac:dyDescent="0.4">
      <c r="A19" s="16" t="s">
        <v>40</v>
      </c>
      <c r="B19" s="16">
        <f>VLOOKUP(A19,Data!$A$2:$H$21,2,0)</f>
        <v>350</v>
      </c>
      <c r="C19" s="16">
        <f>VLOOKUP(A19,Data!$A$2:$H$21,8,0)</f>
        <v>400</v>
      </c>
      <c r="D19" s="16">
        <f>VLOOKUP(A19,Data!$A$2:$H$21,5,0)</f>
        <v>2</v>
      </c>
      <c r="E19" s="46">
        <f>D19/Calcula!C19</f>
        <v>0.66946192700457841</v>
      </c>
      <c r="F19" s="47">
        <f t="shared" si="0"/>
        <v>621.56862745098033</v>
      </c>
      <c r="G19" s="26">
        <f>VLOOKUP(A19,Calcula!$A$2:$F$21,2,0)</f>
        <v>117.15583722580122</v>
      </c>
      <c r="H19" s="35" t="str">
        <f t="shared" si="1"/>
        <v xml:space="preserve">   Reorder </v>
      </c>
    </row>
    <row r="20" spans="1:8" ht="15" thickBot="1" x14ac:dyDescent="0.4">
      <c r="A20" s="16" t="s">
        <v>41</v>
      </c>
      <c r="B20" s="16">
        <f>VLOOKUP(A20,Data!$A$2:$H$21,2,0)</f>
        <v>450</v>
      </c>
      <c r="C20" s="16">
        <f>VLOOKUP(A20,Data!$A$2:$H$21,8,0)</f>
        <v>250</v>
      </c>
      <c r="D20" s="16">
        <f>VLOOKUP(A20,Data!$A$2:$H$21,5,0)</f>
        <v>1.2</v>
      </c>
      <c r="E20" s="46">
        <f>D20/Calcula!C20</f>
        <v>0.39553058597843532</v>
      </c>
      <c r="F20" s="47">
        <f t="shared" si="0"/>
        <v>481.33333333333331</v>
      </c>
      <c r="G20" s="26">
        <f>VLOOKUP(A20,Calcula!$A$2:$F$21,2,0)</f>
        <v>148.32396974191326</v>
      </c>
      <c r="H20" s="35" t="str">
        <f t="shared" si="1"/>
        <v xml:space="preserve">   Reorder </v>
      </c>
    </row>
    <row r="21" spans="1:8" ht="15" thickBot="1" x14ac:dyDescent="0.4">
      <c r="A21" s="16" t="s">
        <v>42</v>
      </c>
      <c r="B21" s="16">
        <f>VLOOKUP(A21,Data!$A$2:$H$21,2,0)</f>
        <v>256</v>
      </c>
      <c r="C21" s="16">
        <f>VLOOKUP(A21,Data!$A$2:$H$21,8,0)</f>
        <v>3000</v>
      </c>
      <c r="D21" s="16">
        <f>VLOOKUP(A21,Data!$A$2:$H$21,5,0)</f>
        <v>2</v>
      </c>
      <c r="E21" s="46">
        <f>D21/Calcula!C21</f>
        <v>0.6454972243679028</v>
      </c>
      <c r="F21" s="47">
        <f t="shared" si="0"/>
        <v>458.66666666666669</v>
      </c>
      <c r="G21" s="26">
        <f>VLOOKUP(A21,Calcula!$A$2:$F$21,2,0)</f>
        <v>82.623644719091558</v>
      </c>
      <c r="H21" s="35" t="str">
        <f t="shared" si="1"/>
        <v>Available</v>
      </c>
    </row>
  </sheetData>
  <dataConsolidate/>
  <phoneticPr fontId="4" type="noConversion"/>
  <dataValidations count="1">
    <dataValidation type="list" allowBlank="1" showInputMessage="1" showErrorMessage="1" sqref="I2:I21 A2:A21" xr:uid="{598CF021-7D8A-4439-A06D-EF7F4A68E9D8}">
      <formula1>$I$2:$I$21</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D598D-E443-4AD8-9ECB-0CB5BBE2A4FC}">
  <dimension ref="A1:H22"/>
  <sheetViews>
    <sheetView workbookViewId="0">
      <selection activeCell="G23" sqref="G23"/>
    </sheetView>
  </sheetViews>
  <sheetFormatPr defaultRowHeight="14.5" x14ac:dyDescent="0.35"/>
  <cols>
    <col min="2" max="2" width="14" bestFit="1" customWidth="1"/>
    <col min="3" max="3" width="11.08984375" bestFit="1" customWidth="1"/>
    <col min="4" max="4" width="11.81640625" bestFit="1" customWidth="1"/>
    <col min="5" max="5" width="13.26953125" bestFit="1" customWidth="1"/>
    <col min="6" max="6" width="14" bestFit="1" customWidth="1"/>
    <col min="7" max="7" width="11.81640625" bestFit="1" customWidth="1"/>
  </cols>
  <sheetData>
    <row r="1" spans="1:8" ht="15" customHeight="1" thickBot="1" x14ac:dyDescent="0.4">
      <c r="A1" s="3" t="s">
        <v>0</v>
      </c>
      <c r="B1" s="3" t="s">
        <v>14</v>
      </c>
      <c r="C1" s="3" t="s">
        <v>15</v>
      </c>
      <c r="D1" s="3" t="s">
        <v>10</v>
      </c>
      <c r="E1" s="3" t="s">
        <v>18</v>
      </c>
      <c r="F1" s="3" t="s">
        <v>11</v>
      </c>
      <c r="G1" s="3" t="s">
        <v>12</v>
      </c>
      <c r="H1" s="3" t="s">
        <v>13</v>
      </c>
    </row>
    <row r="2" spans="1:8" ht="15" thickBot="1" x14ac:dyDescent="0.4">
      <c r="A2" s="2" t="s">
        <v>23</v>
      </c>
      <c r="B2" s="6">
        <f>VLOOKUP(A2,'Price Break Model'!$A$2:$I$21,9,0)</f>
        <v>2.7</v>
      </c>
      <c r="C2" s="6">
        <f>VLOOKUP(A2,Data!$A$2:$H$21,2,0)</f>
        <v>157</v>
      </c>
      <c r="D2" s="6">
        <f>VLOOKUP(A2,'Price Break Model'!$A$2:$I$21,2,0)</f>
        <v>482.20714058089754</v>
      </c>
      <c r="E2" s="8">
        <f>B2+B2*60%</f>
        <v>4.32</v>
      </c>
      <c r="F2" s="9">
        <f>E2*C2</f>
        <v>678.24</v>
      </c>
      <c r="G2" s="8">
        <f>F2-D2</f>
        <v>196.03285941910246</v>
      </c>
      <c r="H2" s="10">
        <f>G2/D2</f>
        <v>0.40653246897785206</v>
      </c>
    </row>
    <row r="3" spans="1:8" ht="15" thickBot="1" x14ac:dyDescent="0.4">
      <c r="A3" s="2" t="s">
        <v>24</v>
      </c>
      <c r="B3" s="6">
        <f>VLOOKUP(A3,'Price Break Model'!$A$2:$I$21,9,0)</f>
        <v>40.5</v>
      </c>
      <c r="C3" s="6">
        <f>VLOOKUP(A3,Data!$A$2:$H$21,2,0)</f>
        <v>100</v>
      </c>
      <c r="D3" s="6">
        <f>VLOOKUP(A3,'Price Break Model'!$A$2:$I$21,2,0)</f>
        <v>4532.8633534503097</v>
      </c>
      <c r="E3" s="8">
        <f t="shared" ref="E3:E21" si="0">B3+B3*60%</f>
        <v>64.8</v>
      </c>
      <c r="F3" s="9">
        <f t="shared" ref="F3:F21" si="1">E3*C3</f>
        <v>6480</v>
      </c>
      <c r="G3" s="8">
        <f t="shared" ref="G3:G21" si="2">F3-D3</f>
        <v>1947.1366465496903</v>
      </c>
      <c r="H3" s="10">
        <f t="shared" ref="H3:H21" si="3">G3/D3</f>
        <v>0.42955997009430591</v>
      </c>
    </row>
    <row r="4" spans="1:8" ht="15" thickBot="1" x14ac:dyDescent="0.4">
      <c r="A4" s="2" t="s">
        <v>25</v>
      </c>
      <c r="B4" s="6">
        <f>VLOOKUP(A4,'Price Break Model'!$A$2:$I$21,9,0)</f>
        <v>81</v>
      </c>
      <c r="C4" s="6">
        <f>VLOOKUP(A4,Data!$A$2:$H$21,2,0)</f>
        <v>300</v>
      </c>
      <c r="D4" s="6">
        <f>VLOOKUP(A4,'Price Break Model'!$A$2:$I$21,2,0)</f>
        <v>27051.380930314663</v>
      </c>
      <c r="E4" s="8">
        <f t="shared" si="0"/>
        <v>129.6</v>
      </c>
      <c r="F4" s="9">
        <f t="shared" si="1"/>
        <v>38880</v>
      </c>
      <c r="G4" s="8">
        <f t="shared" si="2"/>
        <v>11828.619069685337</v>
      </c>
      <c r="H4" s="10">
        <f t="shared" si="3"/>
        <v>0.43726488862643609</v>
      </c>
    </row>
    <row r="5" spans="1:8" ht="15" thickBot="1" x14ac:dyDescent="0.4">
      <c r="A5" s="2" t="s">
        <v>26</v>
      </c>
      <c r="B5" s="6">
        <f>VLOOKUP(A5,'Price Break Model'!$A$2:$I$21,9,0)</f>
        <v>31.5</v>
      </c>
      <c r="C5" s="6">
        <f>VLOOKUP(A5,Data!$A$2:$H$21,2,0)</f>
        <v>300</v>
      </c>
      <c r="D5" s="6">
        <f>VLOOKUP(A5,'Price Break Model'!$A$2:$I$21,2,0)</f>
        <v>10560</v>
      </c>
      <c r="E5" s="8">
        <f t="shared" si="0"/>
        <v>50.4</v>
      </c>
      <c r="F5" s="9">
        <f t="shared" si="1"/>
        <v>15120</v>
      </c>
      <c r="G5" s="8">
        <f t="shared" si="2"/>
        <v>4560</v>
      </c>
      <c r="H5" s="10">
        <f t="shared" si="3"/>
        <v>0.43181818181818182</v>
      </c>
    </row>
    <row r="6" spans="1:8" ht="15" thickBot="1" x14ac:dyDescent="0.4">
      <c r="A6" s="2" t="s">
        <v>27</v>
      </c>
      <c r="B6" s="6">
        <f>VLOOKUP(A6,'Price Break Model'!$A$2:$I$21,9,0)</f>
        <v>130.5</v>
      </c>
      <c r="C6" s="6">
        <f>VLOOKUP(A6,Data!$A$2:$H$21,2,0)</f>
        <v>240</v>
      </c>
      <c r="D6" s="6">
        <f>VLOOKUP(A6,'Price Break Model'!$A$2:$I$21,2,0)</f>
        <v>34853.665631459997</v>
      </c>
      <c r="E6" s="8">
        <f t="shared" si="0"/>
        <v>208.8</v>
      </c>
      <c r="F6" s="9">
        <f t="shared" si="1"/>
        <v>50112</v>
      </c>
      <c r="G6" s="8">
        <f t="shared" si="2"/>
        <v>15258.334368540003</v>
      </c>
      <c r="H6" s="10">
        <f t="shared" si="3"/>
        <v>0.43778277240277874</v>
      </c>
    </row>
    <row r="7" spans="1:8" ht="15" thickBot="1" x14ac:dyDescent="0.4">
      <c r="A7" s="2" t="s">
        <v>28</v>
      </c>
      <c r="B7" s="6">
        <f>VLOOKUP(A7,'Price Break Model'!$A$2:$I$21,9,0)</f>
        <v>112.5</v>
      </c>
      <c r="C7" s="6">
        <f>VLOOKUP(A7,Data!$A$2:$H$21,2,0)</f>
        <v>300</v>
      </c>
      <c r="D7" s="6">
        <f>VLOOKUP(A7,'Price Break Model'!$A$2:$I$21,2,0)</f>
        <v>37556.284989117878</v>
      </c>
      <c r="E7" s="8">
        <f t="shared" si="0"/>
        <v>180</v>
      </c>
      <c r="F7" s="9">
        <f t="shared" si="1"/>
        <v>54000</v>
      </c>
      <c r="G7" s="8">
        <f t="shared" si="2"/>
        <v>16443.715010882122</v>
      </c>
      <c r="H7" s="10">
        <f t="shared" si="3"/>
        <v>0.43784189558809589</v>
      </c>
    </row>
    <row r="8" spans="1:8" ht="15" thickBot="1" x14ac:dyDescent="0.4">
      <c r="A8" s="2" t="s">
        <v>29</v>
      </c>
      <c r="B8" s="6">
        <f>VLOOKUP(A8,'Price Break Model'!$A$2:$I$21,9,0)</f>
        <v>50.4</v>
      </c>
      <c r="C8" s="6">
        <f>VLOOKUP(A8,Data!$A$2:$H$21,2,0)</f>
        <v>145</v>
      </c>
      <c r="D8" s="6">
        <f>VLOOKUP(A8,'Price Break Model'!$A$2:$I$21,2,0)</f>
        <v>8157.6961536499421</v>
      </c>
      <c r="E8" s="8">
        <f t="shared" si="0"/>
        <v>80.64</v>
      </c>
      <c r="F8" s="9">
        <f t="shared" si="1"/>
        <v>11692.8</v>
      </c>
      <c r="G8" s="8">
        <f t="shared" si="2"/>
        <v>3535.1038463500572</v>
      </c>
      <c r="H8" s="10">
        <f t="shared" si="3"/>
        <v>0.43334585890017119</v>
      </c>
    </row>
    <row r="9" spans="1:8" ht="15" thickBot="1" x14ac:dyDescent="0.4">
      <c r="A9" s="2" t="s">
        <v>30</v>
      </c>
      <c r="B9" s="6">
        <f>VLOOKUP(A9,'Price Break Model'!$A$2:$I$21,9,0)</f>
        <v>34</v>
      </c>
      <c r="C9" s="6">
        <f>VLOOKUP(A9,Data!$A$2:$H$21,2,0)</f>
        <v>300</v>
      </c>
      <c r="D9" s="6">
        <f>VLOOKUP(A9,'Price Break Model'!$A$2:$I$21,2,0)</f>
        <v>10255.964274318532</v>
      </c>
      <c r="E9" s="8">
        <f t="shared" si="0"/>
        <v>54.4</v>
      </c>
      <c r="F9" s="9">
        <f t="shared" si="1"/>
        <v>16320</v>
      </c>
      <c r="G9" s="8">
        <f t="shared" si="2"/>
        <v>6064.0357256814677</v>
      </c>
      <c r="H9" s="10">
        <f t="shared" si="3"/>
        <v>0.59126919356243557</v>
      </c>
    </row>
    <row r="10" spans="1:8" ht="15" thickBot="1" x14ac:dyDescent="0.4">
      <c r="A10" s="2" t="s">
        <v>31</v>
      </c>
      <c r="B10" s="6">
        <f>VLOOKUP(A10,'Price Break Model'!$A$2:$I$21,9,0)</f>
        <v>78.3</v>
      </c>
      <c r="C10" s="6">
        <f>VLOOKUP(A10,Data!$A$2:$H$21,2,0)</f>
        <v>324</v>
      </c>
      <c r="D10" s="6">
        <f>VLOOKUP(A10,'Price Break Model'!$A$2:$I$21,2,0)</f>
        <v>28245.148228318998</v>
      </c>
      <c r="E10" s="8">
        <f t="shared" si="0"/>
        <v>125.28</v>
      </c>
      <c r="F10" s="9">
        <f t="shared" si="1"/>
        <v>40590.720000000001</v>
      </c>
      <c r="G10" s="8">
        <f t="shared" si="2"/>
        <v>12345.571771681003</v>
      </c>
      <c r="H10" s="10">
        <f t="shared" si="3"/>
        <v>0.43708645718145506</v>
      </c>
    </row>
    <row r="11" spans="1:8" ht="15" thickBot="1" x14ac:dyDescent="0.4">
      <c r="A11" s="2" t="s">
        <v>32</v>
      </c>
      <c r="B11" s="6">
        <f>VLOOKUP(A11,'Price Break Model'!$A$2:$I$21,9,0)</f>
        <v>108</v>
      </c>
      <c r="C11" s="6">
        <f>VLOOKUP(A11,Data!$A$2:$H$21,2,0)</f>
        <v>345</v>
      </c>
      <c r="D11" s="6">
        <f>VLOOKUP(A11,'Price Break Model'!$A$2:$I$21,2,0)</f>
        <v>41462.823562458681</v>
      </c>
      <c r="E11" s="8">
        <f t="shared" si="0"/>
        <v>172.8</v>
      </c>
      <c r="F11" s="9">
        <f t="shared" si="1"/>
        <v>59616.000000000007</v>
      </c>
      <c r="G11" s="8">
        <f t="shared" si="2"/>
        <v>18153.176437541326</v>
      </c>
      <c r="H11" s="10">
        <f t="shared" si="3"/>
        <v>0.4378181435279192</v>
      </c>
    </row>
    <row r="12" spans="1:8" ht="15" thickBot="1" x14ac:dyDescent="0.4">
      <c r="A12" s="2" t="s">
        <v>33</v>
      </c>
      <c r="B12" s="6">
        <f>VLOOKUP(A12,'Price Break Model'!$A$2:$I$21,9,0)</f>
        <v>148</v>
      </c>
      <c r="C12" s="6">
        <f>VLOOKUP(A12,Data!$A$2:$H$21,2,0)</f>
        <v>435</v>
      </c>
      <c r="D12" s="6">
        <f>VLOOKUP(A12,'Price Break Model'!$A$2:$I$21,2,0)</f>
        <v>64443.26136261574</v>
      </c>
      <c r="E12" s="8">
        <f t="shared" si="0"/>
        <v>236.8</v>
      </c>
      <c r="F12" s="9">
        <f t="shared" si="1"/>
        <v>103008</v>
      </c>
      <c r="G12" s="8">
        <f t="shared" si="2"/>
        <v>38564.73863738426</v>
      </c>
      <c r="H12" s="10">
        <f t="shared" si="3"/>
        <v>0.59842934423173222</v>
      </c>
    </row>
    <row r="13" spans="1:8" ht="15" thickBot="1" x14ac:dyDescent="0.4">
      <c r="A13" s="2" t="s">
        <v>34</v>
      </c>
      <c r="B13" s="6">
        <f>VLOOKUP(A13,'Price Break Model'!$A$2:$I$21,9,0)</f>
        <v>270</v>
      </c>
      <c r="C13" s="6">
        <f>VLOOKUP(A13,Data!$A$2:$H$21,2,0)</f>
        <v>176</v>
      </c>
      <c r="D13" s="6">
        <f>VLOOKUP(A13,'Price Break Model'!$A$2:$I$21,2,0)</f>
        <v>52839.35479640399</v>
      </c>
      <c r="E13" s="8">
        <f t="shared" si="0"/>
        <v>432</v>
      </c>
      <c r="F13" s="9">
        <f t="shared" si="1"/>
        <v>76032</v>
      </c>
      <c r="G13" s="8">
        <f t="shared" si="2"/>
        <v>23192.64520359601</v>
      </c>
      <c r="H13" s="10">
        <f t="shared" si="3"/>
        <v>0.43892748677495957</v>
      </c>
    </row>
    <row r="14" spans="1:8" ht="15" thickBot="1" x14ac:dyDescent="0.4">
      <c r="A14" s="2" t="s">
        <v>35</v>
      </c>
      <c r="B14" s="6">
        <f>VLOOKUP(A14,'Price Break Model'!$A$2:$I$21,9,0)</f>
        <v>288</v>
      </c>
      <c r="C14" s="6">
        <f>VLOOKUP(A14,Data!$A$2:$H$21,2,0)</f>
        <v>250</v>
      </c>
      <c r="D14" s="6">
        <f>VLOOKUP(A14,'Price Break Model'!$A$2:$I$21,2,0)</f>
        <v>80049.699094559153</v>
      </c>
      <c r="E14" s="8">
        <f t="shared" si="0"/>
        <v>460.79999999999995</v>
      </c>
      <c r="F14" s="9">
        <f t="shared" si="1"/>
        <v>115199.99999999999</v>
      </c>
      <c r="G14" s="8">
        <f t="shared" si="2"/>
        <v>35150.300905440832</v>
      </c>
      <c r="H14" s="10">
        <f t="shared" si="3"/>
        <v>0.439105971702896</v>
      </c>
    </row>
    <row r="15" spans="1:8" ht="15" thickBot="1" x14ac:dyDescent="0.4">
      <c r="A15" s="2" t="s">
        <v>36</v>
      </c>
      <c r="B15" s="6">
        <f>VLOOKUP(A15,'Price Break Model'!$A$2:$I$21,9,0)</f>
        <v>477</v>
      </c>
      <c r="C15" s="6">
        <f>VLOOKUP(A15,Data!$A$2:$H$21,2,0)</f>
        <v>345</v>
      </c>
      <c r="D15" s="6">
        <f>VLOOKUP(A15,'Price Break Model'!$A$2:$I$21,2,0)</f>
        <v>182913.04284257552</v>
      </c>
      <c r="E15" s="8">
        <f t="shared" si="0"/>
        <v>763.2</v>
      </c>
      <c r="F15" s="9">
        <f t="shared" si="1"/>
        <v>263304</v>
      </c>
      <c r="G15" s="8">
        <f t="shared" si="2"/>
        <v>80390.957157424476</v>
      </c>
      <c r="H15" s="10">
        <f t="shared" si="3"/>
        <v>0.43950368933839845</v>
      </c>
    </row>
    <row r="16" spans="1:8" ht="15" thickBot="1" x14ac:dyDescent="0.4">
      <c r="A16" s="2" t="s">
        <v>37</v>
      </c>
      <c r="B16" s="6">
        <f>VLOOKUP(A16,'Price Break Model'!$A$2:$I$21,9,0)</f>
        <v>5000</v>
      </c>
      <c r="C16" s="6">
        <f>VLOOKUP(A16,Data!$A$2:$H$21,2,0)</f>
        <v>243</v>
      </c>
      <c r="D16" s="6">
        <f>VLOOKUP(A16,'Price Break Model'!$A$2:$I$21,2,0)</f>
        <v>1215047.3848076919</v>
      </c>
      <c r="E16" s="8">
        <f t="shared" si="0"/>
        <v>8000</v>
      </c>
      <c r="F16" s="9">
        <f t="shared" si="1"/>
        <v>1944000</v>
      </c>
      <c r="G16" s="8">
        <f t="shared" si="2"/>
        <v>728952.61519230809</v>
      </c>
      <c r="H16" s="10">
        <f t="shared" si="3"/>
        <v>0.59993760268673058</v>
      </c>
    </row>
    <row r="17" spans="1:8" ht="15" thickBot="1" x14ac:dyDescent="0.4">
      <c r="A17" s="2" t="s">
        <v>38</v>
      </c>
      <c r="B17" s="6">
        <f>VLOOKUP(A17,'Price Break Model'!$A$2:$I$21,9,0)</f>
        <v>585</v>
      </c>
      <c r="C17" s="6">
        <f>VLOOKUP(A17,Data!$A$2:$H$21,2,0)</f>
        <v>278</v>
      </c>
      <c r="D17" s="6">
        <f>VLOOKUP(A17,'Price Break Model'!$A$2:$I$21,2,0)</f>
        <v>180753.40674114751</v>
      </c>
      <c r="E17" s="8">
        <f t="shared" si="0"/>
        <v>936</v>
      </c>
      <c r="F17" s="9">
        <f t="shared" si="1"/>
        <v>260208</v>
      </c>
      <c r="G17" s="8">
        <f t="shared" si="2"/>
        <v>79454.593258852488</v>
      </c>
      <c r="H17" s="10">
        <f t="shared" si="3"/>
        <v>0.43957452692793475</v>
      </c>
    </row>
    <row r="18" spans="1:8" ht="15" thickBot="1" x14ac:dyDescent="0.4">
      <c r="A18" s="2" t="s">
        <v>39</v>
      </c>
      <c r="B18" s="6">
        <f>VLOOKUP(A18,'Price Break Model'!$A$2:$I$21,9,0)</f>
        <v>640</v>
      </c>
      <c r="C18" s="6">
        <f>VLOOKUP(A18,Data!$A$2:$H$21,2,0)</f>
        <v>390</v>
      </c>
      <c r="D18" s="6">
        <f>VLOOKUP(A18,'Price Break Model'!$A$2:$I$21,2,0)</f>
        <v>249667.54998149519</v>
      </c>
      <c r="E18" s="8">
        <f t="shared" si="0"/>
        <v>1024</v>
      </c>
      <c r="F18" s="9">
        <f t="shared" si="1"/>
        <v>399360</v>
      </c>
      <c r="G18" s="8">
        <f t="shared" si="2"/>
        <v>149692.45001850481</v>
      </c>
      <c r="H18" s="10">
        <f t="shared" si="3"/>
        <v>0.59956710445390149</v>
      </c>
    </row>
    <row r="19" spans="1:8" ht="15" thickBot="1" x14ac:dyDescent="0.4">
      <c r="A19" s="2" t="s">
        <v>40</v>
      </c>
      <c r="B19" s="6">
        <f>VLOOKUP(A19,'Price Break Model'!$A$2:$I$21,9,0)</f>
        <v>324</v>
      </c>
      <c r="C19" s="6">
        <f>VLOOKUP(A19,Data!$A$2:$H$21,2,0)</f>
        <v>350</v>
      </c>
      <c r="D19" s="6">
        <f>VLOOKUP(A19,'Price Break Model'!$A$2:$I$21,2,0)</f>
        <v>126059.74947698516</v>
      </c>
      <c r="E19" s="8">
        <f t="shared" si="0"/>
        <v>518.4</v>
      </c>
      <c r="F19" s="9">
        <f t="shared" si="1"/>
        <v>181440</v>
      </c>
      <c r="G19" s="8">
        <f t="shared" si="2"/>
        <v>55380.250523014838</v>
      </c>
      <c r="H19" s="10">
        <f t="shared" si="3"/>
        <v>0.43931747249050068</v>
      </c>
    </row>
    <row r="20" spans="1:8" ht="15" thickBot="1" x14ac:dyDescent="0.4">
      <c r="A20" s="2" t="s">
        <v>41</v>
      </c>
      <c r="B20" s="6">
        <f>VLOOKUP(A20,'Price Break Model'!$A$2:$I$21,9,0)</f>
        <v>486</v>
      </c>
      <c r="C20" s="6">
        <f>VLOOKUP(A20,Data!$A$2:$H$21,2,0)</f>
        <v>450</v>
      </c>
      <c r="D20" s="6">
        <f>VLOOKUP(A20,'Price Break Model'!$A$2:$I$21,2,0)</f>
        <v>243066.74578638386</v>
      </c>
      <c r="E20" s="8">
        <f t="shared" si="0"/>
        <v>777.59999999999991</v>
      </c>
      <c r="F20" s="9">
        <f t="shared" si="1"/>
        <v>349919.99999999994</v>
      </c>
      <c r="G20" s="8">
        <f t="shared" si="2"/>
        <v>106853.25421361608</v>
      </c>
      <c r="H20" s="10">
        <f t="shared" si="3"/>
        <v>0.43960457802616371</v>
      </c>
    </row>
    <row r="21" spans="1:8" ht="15" thickBot="1" x14ac:dyDescent="0.4">
      <c r="A21" s="2" t="s">
        <v>42</v>
      </c>
      <c r="B21" s="6">
        <f>VLOOKUP(A21,'Price Break Model'!$A$2:$I$21,9,0)</f>
        <v>360</v>
      </c>
      <c r="C21" s="6">
        <f>VLOOKUP(A21,Data!$A$2:$H$21,2,0)</f>
        <v>256</v>
      </c>
      <c r="D21" s="6">
        <f>VLOOKUP(A21,'Price Break Model'!$A$2:$I$21,2,0)</f>
        <v>102449.57418683145</v>
      </c>
      <c r="E21" s="8">
        <f t="shared" si="0"/>
        <v>576</v>
      </c>
      <c r="F21" s="9">
        <f t="shared" si="1"/>
        <v>147456</v>
      </c>
      <c r="G21" s="8">
        <f t="shared" si="2"/>
        <v>45006.425813168549</v>
      </c>
      <c r="H21" s="10">
        <f t="shared" si="3"/>
        <v>0.43930320033437031</v>
      </c>
    </row>
    <row r="22" spans="1:8" ht="16" thickBot="1" x14ac:dyDescent="0.4">
      <c r="C22" s="11" t="s">
        <v>17</v>
      </c>
      <c r="D22" s="1">
        <f>SUM(D2:D21)</f>
        <v>2700447.8033403591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3044B-E91F-4033-BBA7-975CE3C96FF0}">
  <dimension ref="A1:I376"/>
  <sheetViews>
    <sheetView topLeftCell="A353" workbookViewId="0">
      <selection activeCell="L367" sqref="L367"/>
    </sheetView>
  </sheetViews>
  <sheetFormatPr defaultRowHeight="14.5" x14ac:dyDescent="0.35"/>
  <cols>
    <col min="1" max="1" width="10.453125" bestFit="1" customWidth="1"/>
    <col min="2" max="2" width="10.36328125" bestFit="1" customWidth="1"/>
    <col min="3" max="3" width="13.1796875" bestFit="1" customWidth="1"/>
    <col min="4" max="4" width="11.7265625" bestFit="1" customWidth="1"/>
    <col min="5" max="5" width="15.90625" bestFit="1" customWidth="1"/>
    <col min="6" max="6" width="14.81640625" bestFit="1" customWidth="1"/>
  </cols>
  <sheetData>
    <row r="1" spans="1:9" s="36" customFormat="1" ht="15.5" x14ac:dyDescent="0.35">
      <c r="A1" s="36" t="s">
        <v>163</v>
      </c>
      <c r="B1" s="36" t="s">
        <v>175</v>
      </c>
      <c r="C1" s="36" t="s">
        <v>176</v>
      </c>
      <c r="D1" s="36" t="s">
        <v>177</v>
      </c>
      <c r="E1" s="36" t="s">
        <v>178</v>
      </c>
      <c r="F1" s="36" t="s">
        <v>179</v>
      </c>
      <c r="G1" s="36" t="s">
        <v>184</v>
      </c>
      <c r="H1" s="36" t="s">
        <v>185</v>
      </c>
      <c r="I1" s="36" t="s">
        <v>186</v>
      </c>
    </row>
    <row r="2" spans="1:9" x14ac:dyDescent="0.35">
      <c r="A2" s="37">
        <v>44562</v>
      </c>
      <c r="B2" s="15" t="s">
        <v>23</v>
      </c>
      <c r="C2" s="25">
        <v>10</v>
      </c>
      <c r="D2" s="39">
        <v>3</v>
      </c>
      <c r="E2" s="38">
        <v>2.7</v>
      </c>
      <c r="F2" s="40" t="s">
        <v>180</v>
      </c>
      <c r="G2" s="15">
        <f>DAY(A2)</f>
        <v>1</v>
      </c>
      <c r="H2" s="15" t="str">
        <f>TEXT(A2,"mmm")</f>
        <v>Jan</v>
      </c>
      <c r="I2" s="15">
        <f>YEAR(A2)</f>
        <v>2022</v>
      </c>
    </row>
    <row r="3" spans="1:9" x14ac:dyDescent="0.35">
      <c r="A3" s="37">
        <v>44563</v>
      </c>
      <c r="B3" s="15" t="s">
        <v>24</v>
      </c>
      <c r="C3" s="25">
        <v>15</v>
      </c>
      <c r="D3" s="39">
        <v>45</v>
      </c>
      <c r="E3" s="38">
        <v>40.5</v>
      </c>
      <c r="F3" s="40" t="s">
        <v>181</v>
      </c>
      <c r="G3" s="15">
        <f t="shared" ref="G3:G66" si="0">DAY(A3)</f>
        <v>2</v>
      </c>
      <c r="H3" s="15" t="str">
        <f t="shared" ref="H3:H66" si="1">TEXT(A3,"mmm")</f>
        <v>Jan</v>
      </c>
      <c r="I3" s="15">
        <f t="shared" ref="I3:I66" si="2">YEAR(A3)</f>
        <v>2022</v>
      </c>
    </row>
    <row r="4" spans="1:9" x14ac:dyDescent="0.35">
      <c r="A4" s="37">
        <v>44564</v>
      </c>
      <c r="B4" s="15" t="s">
        <v>25</v>
      </c>
      <c r="C4" s="25">
        <v>20</v>
      </c>
      <c r="D4" s="39">
        <v>90</v>
      </c>
      <c r="E4" s="38">
        <v>81</v>
      </c>
      <c r="F4" s="40" t="s">
        <v>180</v>
      </c>
      <c r="G4" s="15">
        <f t="shared" si="0"/>
        <v>3</v>
      </c>
      <c r="H4" s="15" t="str">
        <f t="shared" si="1"/>
        <v>Jan</v>
      </c>
      <c r="I4" s="15">
        <f t="shared" si="2"/>
        <v>2022</v>
      </c>
    </row>
    <row r="5" spans="1:9" x14ac:dyDescent="0.35">
      <c r="A5" s="37">
        <v>44565</v>
      </c>
      <c r="B5" s="15" t="s">
        <v>26</v>
      </c>
      <c r="C5" s="25">
        <v>25</v>
      </c>
      <c r="D5" s="39">
        <v>35</v>
      </c>
      <c r="E5" s="38">
        <v>31.5</v>
      </c>
      <c r="F5" s="40" t="s">
        <v>181</v>
      </c>
      <c r="G5" s="15">
        <f t="shared" si="0"/>
        <v>4</v>
      </c>
      <c r="H5" s="15" t="str">
        <f t="shared" si="1"/>
        <v>Jan</v>
      </c>
      <c r="I5" s="15">
        <f t="shared" si="2"/>
        <v>2022</v>
      </c>
    </row>
    <row r="6" spans="1:9" x14ac:dyDescent="0.35">
      <c r="A6" s="37">
        <v>44566</v>
      </c>
      <c r="B6" s="15" t="s">
        <v>27</v>
      </c>
      <c r="C6" s="25">
        <v>30</v>
      </c>
      <c r="D6" s="39">
        <v>145</v>
      </c>
      <c r="E6" s="38">
        <v>130.5</v>
      </c>
      <c r="F6" s="40" t="s">
        <v>182</v>
      </c>
      <c r="G6" s="15">
        <f t="shared" si="0"/>
        <v>5</v>
      </c>
      <c r="H6" s="15" t="str">
        <f t="shared" si="1"/>
        <v>Jan</v>
      </c>
      <c r="I6" s="15">
        <f t="shared" si="2"/>
        <v>2022</v>
      </c>
    </row>
    <row r="7" spans="1:9" x14ac:dyDescent="0.35">
      <c r="A7" s="37">
        <v>44567</v>
      </c>
      <c r="B7" s="15" t="s">
        <v>28</v>
      </c>
      <c r="C7" s="25">
        <v>10</v>
      </c>
      <c r="D7" s="39">
        <v>125</v>
      </c>
      <c r="E7" s="38">
        <v>112.5</v>
      </c>
      <c r="F7" s="40" t="s">
        <v>180</v>
      </c>
      <c r="G7" s="15">
        <f t="shared" si="0"/>
        <v>6</v>
      </c>
      <c r="H7" s="15" t="str">
        <f t="shared" si="1"/>
        <v>Jan</v>
      </c>
      <c r="I7" s="15">
        <f t="shared" si="2"/>
        <v>2022</v>
      </c>
    </row>
    <row r="8" spans="1:9" x14ac:dyDescent="0.35">
      <c r="A8" s="37">
        <v>44568</v>
      </c>
      <c r="B8" s="15" t="s">
        <v>29</v>
      </c>
      <c r="C8" s="25">
        <v>5</v>
      </c>
      <c r="D8" s="39">
        <v>56</v>
      </c>
      <c r="E8" s="38">
        <v>50.4</v>
      </c>
      <c r="F8" s="40" t="s">
        <v>183</v>
      </c>
      <c r="G8" s="15">
        <f t="shared" si="0"/>
        <v>7</v>
      </c>
      <c r="H8" s="15" t="str">
        <f t="shared" si="1"/>
        <v>Jan</v>
      </c>
      <c r="I8" s="15">
        <f t="shared" si="2"/>
        <v>2022</v>
      </c>
    </row>
    <row r="9" spans="1:9" x14ac:dyDescent="0.35">
      <c r="A9" s="37">
        <v>44569</v>
      </c>
      <c r="B9" s="15" t="s">
        <v>30</v>
      </c>
      <c r="C9" s="25">
        <v>20</v>
      </c>
      <c r="D9" s="39">
        <v>34</v>
      </c>
      <c r="E9" s="38">
        <v>30.6</v>
      </c>
      <c r="F9" s="40" t="s">
        <v>182</v>
      </c>
      <c r="G9" s="15">
        <f t="shared" si="0"/>
        <v>8</v>
      </c>
      <c r="H9" s="15" t="str">
        <f t="shared" si="1"/>
        <v>Jan</v>
      </c>
      <c r="I9" s="15">
        <f t="shared" si="2"/>
        <v>2022</v>
      </c>
    </row>
    <row r="10" spans="1:9" x14ac:dyDescent="0.35">
      <c r="A10" s="37">
        <v>44570</v>
      </c>
      <c r="B10" s="15" t="s">
        <v>31</v>
      </c>
      <c r="C10" s="25">
        <v>15</v>
      </c>
      <c r="D10" s="39">
        <v>87</v>
      </c>
      <c r="E10" s="38">
        <v>78.3</v>
      </c>
      <c r="F10" s="40" t="s">
        <v>181</v>
      </c>
      <c r="G10" s="15">
        <f t="shared" si="0"/>
        <v>9</v>
      </c>
      <c r="H10" s="15" t="str">
        <f t="shared" si="1"/>
        <v>Jan</v>
      </c>
      <c r="I10" s="15">
        <f t="shared" si="2"/>
        <v>2022</v>
      </c>
    </row>
    <row r="11" spans="1:9" x14ac:dyDescent="0.35">
      <c r="A11" s="37">
        <v>44571</v>
      </c>
      <c r="B11" s="15" t="s">
        <v>32</v>
      </c>
      <c r="C11" s="25">
        <v>10</v>
      </c>
      <c r="D11" s="39">
        <v>120</v>
      </c>
      <c r="E11" s="38">
        <v>108</v>
      </c>
      <c r="F11" s="40" t="s">
        <v>182</v>
      </c>
      <c r="G11" s="15">
        <f t="shared" si="0"/>
        <v>10</v>
      </c>
      <c r="H11" s="15" t="str">
        <f t="shared" si="1"/>
        <v>Jan</v>
      </c>
      <c r="I11" s="15">
        <f t="shared" si="2"/>
        <v>2022</v>
      </c>
    </row>
    <row r="12" spans="1:9" x14ac:dyDescent="0.35">
      <c r="A12" s="37">
        <v>44572</v>
      </c>
      <c r="B12" s="15" t="s">
        <v>33</v>
      </c>
      <c r="C12" s="25">
        <v>25</v>
      </c>
      <c r="D12" s="39">
        <v>148</v>
      </c>
      <c r="E12" s="38">
        <v>133.19999999999999</v>
      </c>
      <c r="F12" s="40" t="s">
        <v>180</v>
      </c>
      <c r="G12" s="15">
        <f t="shared" si="0"/>
        <v>11</v>
      </c>
      <c r="H12" s="15" t="str">
        <f t="shared" si="1"/>
        <v>Jan</v>
      </c>
      <c r="I12" s="15">
        <f t="shared" si="2"/>
        <v>2022</v>
      </c>
    </row>
    <row r="13" spans="1:9" x14ac:dyDescent="0.35">
      <c r="A13" s="37">
        <v>44573</v>
      </c>
      <c r="B13" s="15" t="s">
        <v>34</v>
      </c>
      <c r="C13" s="25">
        <v>30</v>
      </c>
      <c r="D13" s="39">
        <v>300</v>
      </c>
      <c r="E13" s="38">
        <v>270</v>
      </c>
      <c r="F13" s="40" t="s">
        <v>183</v>
      </c>
      <c r="G13" s="15">
        <f t="shared" si="0"/>
        <v>12</v>
      </c>
      <c r="H13" s="15" t="str">
        <f t="shared" si="1"/>
        <v>Jan</v>
      </c>
      <c r="I13" s="15">
        <f t="shared" si="2"/>
        <v>2022</v>
      </c>
    </row>
    <row r="14" spans="1:9" x14ac:dyDescent="0.35">
      <c r="A14" s="37">
        <v>44574</v>
      </c>
      <c r="B14" s="15" t="s">
        <v>35</v>
      </c>
      <c r="C14" s="25">
        <v>10</v>
      </c>
      <c r="D14" s="39">
        <v>320</v>
      </c>
      <c r="E14" s="38">
        <v>288</v>
      </c>
      <c r="F14" s="40" t="s">
        <v>182</v>
      </c>
      <c r="G14" s="15">
        <f t="shared" si="0"/>
        <v>13</v>
      </c>
      <c r="H14" s="15" t="str">
        <f t="shared" si="1"/>
        <v>Jan</v>
      </c>
      <c r="I14" s="15">
        <f t="shared" si="2"/>
        <v>2022</v>
      </c>
    </row>
    <row r="15" spans="1:9" x14ac:dyDescent="0.35">
      <c r="A15" s="37">
        <v>44575</v>
      </c>
      <c r="B15" s="15" t="s">
        <v>36</v>
      </c>
      <c r="C15" s="25">
        <v>20</v>
      </c>
      <c r="D15" s="39">
        <v>530</v>
      </c>
      <c r="E15" s="38">
        <v>477</v>
      </c>
      <c r="F15" s="40" t="s">
        <v>181</v>
      </c>
      <c r="G15" s="15">
        <f t="shared" si="0"/>
        <v>14</v>
      </c>
      <c r="H15" s="15" t="str">
        <f t="shared" si="1"/>
        <v>Jan</v>
      </c>
      <c r="I15" s="15">
        <f t="shared" si="2"/>
        <v>2022</v>
      </c>
    </row>
    <row r="16" spans="1:9" x14ac:dyDescent="0.35">
      <c r="A16" s="37">
        <v>44576</v>
      </c>
      <c r="B16" s="15" t="s">
        <v>37</v>
      </c>
      <c r="C16" s="25">
        <v>5</v>
      </c>
      <c r="D16" s="39">
        <v>5000</v>
      </c>
      <c r="E16" s="38">
        <v>4500</v>
      </c>
      <c r="F16" s="40" t="s">
        <v>182</v>
      </c>
      <c r="G16" s="15">
        <f t="shared" si="0"/>
        <v>15</v>
      </c>
      <c r="H16" s="15" t="str">
        <f t="shared" si="1"/>
        <v>Jan</v>
      </c>
      <c r="I16" s="15">
        <f t="shared" si="2"/>
        <v>2022</v>
      </c>
    </row>
    <row r="17" spans="1:9" x14ac:dyDescent="0.35">
      <c r="A17" s="37">
        <v>44577</v>
      </c>
      <c r="B17" s="15" t="s">
        <v>38</v>
      </c>
      <c r="C17" s="25">
        <v>15</v>
      </c>
      <c r="D17" s="39">
        <v>650</v>
      </c>
      <c r="E17" s="38">
        <v>585</v>
      </c>
      <c r="F17" s="40" t="s">
        <v>180</v>
      </c>
      <c r="G17" s="15">
        <f t="shared" si="0"/>
        <v>16</v>
      </c>
      <c r="H17" s="15" t="str">
        <f t="shared" si="1"/>
        <v>Jan</v>
      </c>
      <c r="I17" s="15">
        <f t="shared" si="2"/>
        <v>2022</v>
      </c>
    </row>
    <row r="18" spans="1:9" x14ac:dyDescent="0.35">
      <c r="A18" s="37">
        <v>44578</v>
      </c>
      <c r="B18" s="15" t="s">
        <v>39</v>
      </c>
      <c r="C18" s="25">
        <v>20</v>
      </c>
      <c r="D18" s="39">
        <v>640</v>
      </c>
      <c r="E18" s="38">
        <v>576</v>
      </c>
      <c r="F18" s="40" t="s">
        <v>181</v>
      </c>
      <c r="G18" s="15">
        <f t="shared" si="0"/>
        <v>17</v>
      </c>
      <c r="H18" s="15" t="str">
        <f t="shared" si="1"/>
        <v>Jan</v>
      </c>
      <c r="I18" s="15">
        <f t="shared" si="2"/>
        <v>2022</v>
      </c>
    </row>
    <row r="19" spans="1:9" x14ac:dyDescent="0.35">
      <c r="A19" s="37">
        <v>44579</v>
      </c>
      <c r="B19" s="15" t="s">
        <v>40</v>
      </c>
      <c r="C19" s="25">
        <v>30</v>
      </c>
      <c r="D19" s="39">
        <v>360</v>
      </c>
      <c r="E19" s="38">
        <v>324</v>
      </c>
      <c r="F19" s="40" t="s">
        <v>182</v>
      </c>
      <c r="G19" s="15">
        <f t="shared" si="0"/>
        <v>18</v>
      </c>
      <c r="H19" s="15" t="str">
        <f t="shared" si="1"/>
        <v>Jan</v>
      </c>
      <c r="I19" s="15">
        <f t="shared" si="2"/>
        <v>2022</v>
      </c>
    </row>
    <row r="20" spans="1:9" x14ac:dyDescent="0.35">
      <c r="A20" s="37">
        <v>44580</v>
      </c>
      <c r="B20" s="15" t="s">
        <v>41</v>
      </c>
      <c r="C20" s="25">
        <v>10</v>
      </c>
      <c r="D20" s="39">
        <v>540</v>
      </c>
      <c r="E20" s="38">
        <v>486</v>
      </c>
      <c r="F20" s="40" t="s">
        <v>180</v>
      </c>
      <c r="G20" s="15">
        <f t="shared" si="0"/>
        <v>19</v>
      </c>
      <c r="H20" s="15" t="str">
        <f t="shared" si="1"/>
        <v>Jan</v>
      </c>
      <c r="I20" s="15">
        <f t="shared" si="2"/>
        <v>2022</v>
      </c>
    </row>
    <row r="21" spans="1:9" x14ac:dyDescent="0.35">
      <c r="A21" s="37">
        <v>44581</v>
      </c>
      <c r="B21" s="15" t="s">
        <v>42</v>
      </c>
      <c r="C21" s="25">
        <v>5</v>
      </c>
      <c r="D21" s="39">
        <v>400</v>
      </c>
      <c r="E21" s="38">
        <v>360</v>
      </c>
      <c r="F21" s="40" t="s">
        <v>183</v>
      </c>
      <c r="G21" s="15">
        <f t="shared" si="0"/>
        <v>20</v>
      </c>
      <c r="H21" s="15" t="str">
        <f t="shared" si="1"/>
        <v>Jan</v>
      </c>
      <c r="I21" s="15">
        <f t="shared" si="2"/>
        <v>2022</v>
      </c>
    </row>
    <row r="22" spans="1:9" x14ac:dyDescent="0.35">
      <c r="A22" s="37">
        <v>44582</v>
      </c>
      <c r="B22" s="15" t="s">
        <v>23</v>
      </c>
      <c r="C22" s="25">
        <v>10</v>
      </c>
      <c r="D22" s="39">
        <v>3</v>
      </c>
      <c r="E22" s="38">
        <v>2.7</v>
      </c>
      <c r="F22" s="40" t="s">
        <v>182</v>
      </c>
      <c r="G22" s="15">
        <f t="shared" si="0"/>
        <v>21</v>
      </c>
      <c r="H22" s="15" t="str">
        <f t="shared" si="1"/>
        <v>Jan</v>
      </c>
      <c r="I22" s="15">
        <f t="shared" si="2"/>
        <v>2022</v>
      </c>
    </row>
    <row r="23" spans="1:9" x14ac:dyDescent="0.35">
      <c r="A23" s="37">
        <v>44583</v>
      </c>
      <c r="B23" s="15" t="s">
        <v>24</v>
      </c>
      <c r="C23" s="25">
        <v>15</v>
      </c>
      <c r="D23" s="39">
        <v>45</v>
      </c>
      <c r="E23" s="38">
        <v>40.5</v>
      </c>
      <c r="F23" s="40" t="s">
        <v>181</v>
      </c>
      <c r="G23" s="15">
        <f t="shared" si="0"/>
        <v>22</v>
      </c>
      <c r="H23" s="15" t="str">
        <f t="shared" si="1"/>
        <v>Jan</v>
      </c>
      <c r="I23" s="15">
        <f t="shared" si="2"/>
        <v>2022</v>
      </c>
    </row>
    <row r="24" spans="1:9" x14ac:dyDescent="0.35">
      <c r="A24" s="37">
        <v>44584</v>
      </c>
      <c r="B24" s="15" t="s">
        <v>25</v>
      </c>
      <c r="C24" s="25">
        <v>20</v>
      </c>
      <c r="D24" s="39">
        <v>90</v>
      </c>
      <c r="E24" s="38">
        <v>81</v>
      </c>
      <c r="F24" s="40" t="s">
        <v>182</v>
      </c>
      <c r="G24" s="15">
        <f t="shared" si="0"/>
        <v>23</v>
      </c>
      <c r="H24" s="15" t="str">
        <f t="shared" si="1"/>
        <v>Jan</v>
      </c>
      <c r="I24" s="15">
        <f t="shared" si="2"/>
        <v>2022</v>
      </c>
    </row>
    <row r="25" spans="1:9" x14ac:dyDescent="0.35">
      <c r="A25" s="37">
        <v>44585</v>
      </c>
      <c r="B25" s="15" t="s">
        <v>26</v>
      </c>
      <c r="C25" s="25">
        <v>25</v>
      </c>
      <c r="D25" s="39">
        <v>35</v>
      </c>
      <c r="E25" s="38">
        <v>31.5</v>
      </c>
      <c r="F25" s="40" t="s">
        <v>180</v>
      </c>
      <c r="G25" s="15">
        <f t="shared" si="0"/>
        <v>24</v>
      </c>
      <c r="H25" s="15" t="str">
        <f t="shared" si="1"/>
        <v>Jan</v>
      </c>
      <c r="I25" s="15">
        <f t="shared" si="2"/>
        <v>2022</v>
      </c>
    </row>
    <row r="26" spans="1:9" x14ac:dyDescent="0.35">
      <c r="A26" s="37">
        <v>44586</v>
      </c>
      <c r="B26" s="15" t="s">
        <v>27</v>
      </c>
      <c r="C26" s="25">
        <v>30</v>
      </c>
      <c r="D26" s="39">
        <v>145</v>
      </c>
      <c r="E26" s="38">
        <v>130.5</v>
      </c>
      <c r="F26" s="40" t="s">
        <v>183</v>
      </c>
      <c r="G26" s="15">
        <f t="shared" si="0"/>
        <v>25</v>
      </c>
      <c r="H26" s="15" t="str">
        <f t="shared" si="1"/>
        <v>Jan</v>
      </c>
      <c r="I26" s="15">
        <f t="shared" si="2"/>
        <v>2022</v>
      </c>
    </row>
    <row r="27" spans="1:9" x14ac:dyDescent="0.35">
      <c r="A27" s="37">
        <v>44587</v>
      </c>
      <c r="B27" s="15" t="s">
        <v>28</v>
      </c>
      <c r="C27" s="25">
        <v>10</v>
      </c>
      <c r="D27" s="39">
        <v>125</v>
      </c>
      <c r="E27" s="38">
        <v>112.5</v>
      </c>
      <c r="F27" s="40" t="s">
        <v>182</v>
      </c>
      <c r="G27" s="15">
        <f t="shared" si="0"/>
        <v>26</v>
      </c>
      <c r="H27" s="15" t="str">
        <f t="shared" si="1"/>
        <v>Jan</v>
      </c>
      <c r="I27" s="15">
        <f t="shared" si="2"/>
        <v>2022</v>
      </c>
    </row>
    <row r="28" spans="1:9" x14ac:dyDescent="0.35">
      <c r="A28" s="37">
        <v>44588</v>
      </c>
      <c r="B28" s="15" t="s">
        <v>29</v>
      </c>
      <c r="C28" s="25">
        <v>5</v>
      </c>
      <c r="D28" s="39">
        <v>56</v>
      </c>
      <c r="E28" s="38">
        <v>50.4</v>
      </c>
      <c r="F28" s="40" t="s">
        <v>181</v>
      </c>
      <c r="G28" s="15">
        <f t="shared" si="0"/>
        <v>27</v>
      </c>
      <c r="H28" s="15" t="str">
        <f t="shared" si="1"/>
        <v>Jan</v>
      </c>
      <c r="I28" s="15">
        <f t="shared" si="2"/>
        <v>2022</v>
      </c>
    </row>
    <row r="29" spans="1:9" x14ac:dyDescent="0.35">
      <c r="A29" s="37">
        <v>44589</v>
      </c>
      <c r="B29" s="15" t="s">
        <v>30</v>
      </c>
      <c r="C29" s="25">
        <v>20</v>
      </c>
      <c r="D29" s="39">
        <v>34</v>
      </c>
      <c r="E29" s="38">
        <v>30.6</v>
      </c>
      <c r="F29" s="40" t="s">
        <v>182</v>
      </c>
      <c r="G29" s="15">
        <f t="shared" si="0"/>
        <v>28</v>
      </c>
      <c r="H29" s="15" t="str">
        <f t="shared" si="1"/>
        <v>Jan</v>
      </c>
      <c r="I29" s="15">
        <f t="shared" si="2"/>
        <v>2022</v>
      </c>
    </row>
    <row r="30" spans="1:9" x14ac:dyDescent="0.35">
      <c r="A30" s="37">
        <v>44590</v>
      </c>
      <c r="B30" s="15" t="s">
        <v>31</v>
      </c>
      <c r="C30" s="25">
        <v>15</v>
      </c>
      <c r="D30" s="39">
        <v>87</v>
      </c>
      <c r="E30" s="38">
        <v>78.3</v>
      </c>
      <c r="F30" s="40" t="s">
        <v>180</v>
      </c>
      <c r="G30" s="15">
        <f t="shared" si="0"/>
        <v>29</v>
      </c>
      <c r="H30" s="15" t="str">
        <f t="shared" si="1"/>
        <v>Jan</v>
      </c>
      <c r="I30" s="15">
        <f t="shared" si="2"/>
        <v>2022</v>
      </c>
    </row>
    <row r="31" spans="1:9" x14ac:dyDescent="0.35">
      <c r="A31" s="37">
        <v>44591</v>
      </c>
      <c r="B31" s="15" t="s">
        <v>32</v>
      </c>
      <c r="C31" s="25">
        <v>10</v>
      </c>
      <c r="D31" s="39">
        <v>120</v>
      </c>
      <c r="E31" s="38">
        <v>108</v>
      </c>
      <c r="F31" s="40" t="s">
        <v>183</v>
      </c>
      <c r="G31" s="15">
        <f t="shared" si="0"/>
        <v>30</v>
      </c>
      <c r="H31" s="15" t="str">
        <f t="shared" si="1"/>
        <v>Jan</v>
      </c>
      <c r="I31" s="15">
        <f t="shared" si="2"/>
        <v>2022</v>
      </c>
    </row>
    <row r="32" spans="1:9" x14ac:dyDescent="0.35">
      <c r="A32" s="37">
        <v>44592</v>
      </c>
      <c r="B32" s="15" t="s">
        <v>33</v>
      </c>
      <c r="C32" s="25">
        <v>25</v>
      </c>
      <c r="D32" s="39">
        <v>148</v>
      </c>
      <c r="E32" s="38">
        <v>133.19999999999999</v>
      </c>
      <c r="F32" s="40" t="s">
        <v>182</v>
      </c>
      <c r="G32" s="15">
        <f t="shared" si="0"/>
        <v>31</v>
      </c>
      <c r="H32" s="15" t="str">
        <f t="shared" si="1"/>
        <v>Jan</v>
      </c>
      <c r="I32" s="15">
        <f t="shared" si="2"/>
        <v>2022</v>
      </c>
    </row>
    <row r="33" spans="1:9" x14ac:dyDescent="0.35">
      <c r="A33" s="37">
        <v>44593</v>
      </c>
      <c r="B33" s="15" t="s">
        <v>34</v>
      </c>
      <c r="C33" s="25">
        <v>30</v>
      </c>
      <c r="D33" s="39">
        <v>300</v>
      </c>
      <c r="E33" s="38">
        <v>270</v>
      </c>
      <c r="F33" s="40" t="s">
        <v>181</v>
      </c>
      <c r="G33" s="15">
        <f t="shared" si="0"/>
        <v>1</v>
      </c>
      <c r="H33" s="15" t="str">
        <f t="shared" si="1"/>
        <v>Feb</v>
      </c>
      <c r="I33" s="15">
        <f t="shared" si="2"/>
        <v>2022</v>
      </c>
    </row>
    <row r="34" spans="1:9" x14ac:dyDescent="0.35">
      <c r="A34" s="37">
        <v>44594</v>
      </c>
      <c r="B34" s="15" t="s">
        <v>35</v>
      </c>
      <c r="C34" s="25">
        <v>10</v>
      </c>
      <c r="D34" s="39">
        <v>320</v>
      </c>
      <c r="E34" s="38">
        <v>288</v>
      </c>
      <c r="F34" s="40" t="s">
        <v>182</v>
      </c>
      <c r="G34" s="15">
        <f t="shared" si="0"/>
        <v>2</v>
      </c>
      <c r="H34" s="15" t="str">
        <f t="shared" si="1"/>
        <v>Feb</v>
      </c>
      <c r="I34" s="15">
        <f t="shared" si="2"/>
        <v>2022</v>
      </c>
    </row>
    <row r="35" spans="1:9" x14ac:dyDescent="0.35">
      <c r="A35" s="37">
        <v>44595</v>
      </c>
      <c r="B35" s="15" t="s">
        <v>36</v>
      </c>
      <c r="C35" s="25">
        <v>20</v>
      </c>
      <c r="D35" s="39">
        <v>530</v>
      </c>
      <c r="E35" s="38">
        <v>477</v>
      </c>
      <c r="F35" s="40" t="s">
        <v>180</v>
      </c>
      <c r="G35" s="15">
        <f t="shared" si="0"/>
        <v>3</v>
      </c>
      <c r="H35" s="15" t="str">
        <f t="shared" si="1"/>
        <v>Feb</v>
      </c>
      <c r="I35" s="15">
        <f t="shared" si="2"/>
        <v>2022</v>
      </c>
    </row>
    <row r="36" spans="1:9" x14ac:dyDescent="0.35">
      <c r="A36" s="37">
        <v>44596</v>
      </c>
      <c r="B36" s="15" t="s">
        <v>37</v>
      </c>
      <c r="C36" s="25">
        <v>5</v>
      </c>
      <c r="D36" s="39">
        <v>5000</v>
      </c>
      <c r="E36" s="38">
        <v>4500</v>
      </c>
      <c r="F36" s="40" t="s">
        <v>183</v>
      </c>
      <c r="G36" s="15">
        <f t="shared" si="0"/>
        <v>4</v>
      </c>
      <c r="H36" s="15" t="str">
        <f t="shared" si="1"/>
        <v>Feb</v>
      </c>
      <c r="I36" s="15">
        <f t="shared" si="2"/>
        <v>2022</v>
      </c>
    </row>
    <row r="37" spans="1:9" x14ac:dyDescent="0.35">
      <c r="A37" s="37">
        <v>44597</v>
      </c>
      <c r="B37" s="15" t="s">
        <v>38</v>
      </c>
      <c r="C37" s="25">
        <v>15</v>
      </c>
      <c r="D37" s="39">
        <v>650</v>
      </c>
      <c r="E37" s="38">
        <v>585</v>
      </c>
      <c r="F37" s="40" t="s">
        <v>182</v>
      </c>
      <c r="G37" s="15">
        <f t="shared" si="0"/>
        <v>5</v>
      </c>
      <c r="H37" s="15" t="str">
        <f t="shared" si="1"/>
        <v>Feb</v>
      </c>
      <c r="I37" s="15">
        <f t="shared" si="2"/>
        <v>2022</v>
      </c>
    </row>
    <row r="38" spans="1:9" x14ac:dyDescent="0.35">
      <c r="A38" s="37">
        <v>44598</v>
      </c>
      <c r="B38" s="15" t="s">
        <v>39</v>
      </c>
      <c r="C38" s="25">
        <v>20</v>
      </c>
      <c r="D38" s="39">
        <v>640</v>
      </c>
      <c r="E38" s="38">
        <v>576</v>
      </c>
      <c r="F38" s="40" t="s">
        <v>180</v>
      </c>
      <c r="G38" s="15">
        <f t="shared" si="0"/>
        <v>6</v>
      </c>
      <c r="H38" s="15" t="str">
        <f t="shared" si="1"/>
        <v>Feb</v>
      </c>
      <c r="I38" s="15">
        <f t="shared" si="2"/>
        <v>2022</v>
      </c>
    </row>
    <row r="39" spans="1:9" x14ac:dyDescent="0.35">
      <c r="A39" s="37">
        <v>44599</v>
      </c>
      <c r="B39" s="15" t="s">
        <v>40</v>
      </c>
      <c r="C39" s="25">
        <v>30</v>
      </c>
      <c r="D39" s="39">
        <v>360</v>
      </c>
      <c r="E39" s="38">
        <v>324</v>
      </c>
      <c r="F39" s="40" t="s">
        <v>183</v>
      </c>
      <c r="G39" s="15">
        <f t="shared" si="0"/>
        <v>7</v>
      </c>
      <c r="H39" s="15" t="str">
        <f t="shared" si="1"/>
        <v>Feb</v>
      </c>
      <c r="I39" s="15">
        <f t="shared" si="2"/>
        <v>2022</v>
      </c>
    </row>
    <row r="40" spans="1:9" x14ac:dyDescent="0.35">
      <c r="A40" s="37">
        <v>44600</v>
      </c>
      <c r="B40" s="15" t="s">
        <v>41</v>
      </c>
      <c r="C40" s="25">
        <v>10</v>
      </c>
      <c r="D40" s="39">
        <v>540</v>
      </c>
      <c r="E40" s="38">
        <v>486</v>
      </c>
      <c r="F40" s="40" t="s">
        <v>181</v>
      </c>
      <c r="G40" s="15">
        <f t="shared" si="0"/>
        <v>8</v>
      </c>
      <c r="H40" s="15" t="str">
        <f t="shared" si="1"/>
        <v>Feb</v>
      </c>
      <c r="I40" s="15">
        <f t="shared" si="2"/>
        <v>2022</v>
      </c>
    </row>
    <row r="41" spans="1:9" x14ac:dyDescent="0.35">
      <c r="A41" s="37">
        <v>44601</v>
      </c>
      <c r="B41" s="15" t="s">
        <v>42</v>
      </c>
      <c r="C41" s="25">
        <v>5</v>
      </c>
      <c r="D41" s="39">
        <v>400</v>
      </c>
      <c r="E41" s="38">
        <v>360</v>
      </c>
      <c r="F41" s="40" t="s">
        <v>180</v>
      </c>
      <c r="G41" s="15">
        <f t="shared" si="0"/>
        <v>9</v>
      </c>
      <c r="H41" s="15" t="str">
        <f t="shared" si="1"/>
        <v>Feb</v>
      </c>
      <c r="I41" s="15">
        <f t="shared" si="2"/>
        <v>2022</v>
      </c>
    </row>
    <row r="42" spans="1:9" x14ac:dyDescent="0.35">
      <c r="A42" s="37">
        <v>44602</v>
      </c>
      <c r="B42" s="15" t="s">
        <v>23</v>
      </c>
      <c r="C42" s="25">
        <v>10</v>
      </c>
      <c r="D42" s="39">
        <v>3</v>
      </c>
      <c r="E42" s="38">
        <v>2.7</v>
      </c>
      <c r="F42" s="40" t="s">
        <v>181</v>
      </c>
      <c r="G42" s="15">
        <f t="shared" si="0"/>
        <v>10</v>
      </c>
      <c r="H42" s="15" t="str">
        <f t="shared" si="1"/>
        <v>Feb</v>
      </c>
      <c r="I42" s="15">
        <f t="shared" si="2"/>
        <v>2022</v>
      </c>
    </row>
    <row r="43" spans="1:9" x14ac:dyDescent="0.35">
      <c r="A43" s="37">
        <v>44603</v>
      </c>
      <c r="B43" s="15" t="s">
        <v>24</v>
      </c>
      <c r="C43" s="25">
        <v>15</v>
      </c>
      <c r="D43" s="39">
        <v>45</v>
      </c>
      <c r="E43" s="38">
        <v>40.5</v>
      </c>
      <c r="F43" s="40" t="s">
        <v>182</v>
      </c>
      <c r="G43" s="15">
        <f t="shared" si="0"/>
        <v>11</v>
      </c>
      <c r="H43" s="15" t="str">
        <f t="shared" si="1"/>
        <v>Feb</v>
      </c>
      <c r="I43" s="15">
        <f t="shared" si="2"/>
        <v>2022</v>
      </c>
    </row>
    <row r="44" spans="1:9" x14ac:dyDescent="0.35">
      <c r="A44" s="37">
        <v>44604</v>
      </c>
      <c r="B44" s="15" t="s">
        <v>25</v>
      </c>
      <c r="C44" s="25">
        <v>20</v>
      </c>
      <c r="D44" s="39">
        <v>90</v>
      </c>
      <c r="E44" s="38">
        <v>81</v>
      </c>
      <c r="F44" s="40" t="s">
        <v>180</v>
      </c>
      <c r="G44" s="15">
        <f t="shared" si="0"/>
        <v>12</v>
      </c>
      <c r="H44" s="15" t="str">
        <f t="shared" si="1"/>
        <v>Feb</v>
      </c>
      <c r="I44" s="15">
        <f t="shared" si="2"/>
        <v>2022</v>
      </c>
    </row>
    <row r="45" spans="1:9" x14ac:dyDescent="0.35">
      <c r="A45" s="37">
        <v>44605</v>
      </c>
      <c r="B45" s="15" t="s">
        <v>26</v>
      </c>
      <c r="C45" s="25">
        <v>25</v>
      </c>
      <c r="D45" s="39">
        <v>35</v>
      </c>
      <c r="E45" s="38">
        <v>31.5</v>
      </c>
      <c r="F45" s="40" t="s">
        <v>183</v>
      </c>
      <c r="G45" s="15">
        <f t="shared" si="0"/>
        <v>13</v>
      </c>
      <c r="H45" s="15" t="str">
        <f t="shared" si="1"/>
        <v>Feb</v>
      </c>
      <c r="I45" s="15">
        <f t="shared" si="2"/>
        <v>2022</v>
      </c>
    </row>
    <row r="46" spans="1:9" x14ac:dyDescent="0.35">
      <c r="A46" s="37">
        <v>44606</v>
      </c>
      <c r="B46" s="15" t="s">
        <v>27</v>
      </c>
      <c r="C46" s="25">
        <v>30</v>
      </c>
      <c r="D46" s="39">
        <v>145</v>
      </c>
      <c r="E46" s="38">
        <v>130.5</v>
      </c>
      <c r="F46" s="40" t="s">
        <v>182</v>
      </c>
      <c r="G46" s="15">
        <f t="shared" si="0"/>
        <v>14</v>
      </c>
      <c r="H46" s="15" t="str">
        <f t="shared" si="1"/>
        <v>Feb</v>
      </c>
      <c r="I46" s="15">
        <f t="shared" si="2"/>
        <v>2022</v>
      </c>
    </row>
    <row r="47" spans="1:9" x14ac:dyDescent="0.35">
      <c r="A47" s="37">
        <v>44607</v>
      </c>
      <c r="B47" s="15" t="s">
        <v>28</v>
      </c>
      <c r="C47" s="25">
        <v>10</v>
      </c>
      <c r="D47" s="39">
        <v>125</v>
      </c>
      <c r="E47" s="38">
        <v>112.5</v>
      </c>
      <c r="F47" s="40" t="s">
        <v>181</v>
      </c>
      <c r="G47" s="15">
        <f t="shared" si="0"/>
        <v>15</v>
      </c>
      <c r="H47" s="15" t="str">
        <f t="shared" si="1"/>
        <v>Feb</v>
      </c>
      <c r="I47" s="15">
        <f t="shared" si="2"/>
        <v>2022</v>
      </c>
    </row>
    <row r="48" spans="1:9" x14ac:dyDescent="0.35">
      <c r="A48" s="37">
        <v>44608</v>
      </c>
      <c r="B48" s="15" t="s">
        <v>29</v>
      </c>
      <c r="C48" s="25">
        <v>5</v>
      </c>
      <c r="D48" s="39">
        <v>56</v>
      </c>
      <c r="E48" s="38">
        <v>50.4</v>
      </c>
      <c r="F48" s="40" t="s">
        <v>181</v>
      </c>
      <c r="G48" s="15">
        <f t="shared" si="0"/>
        <v>16</v>
      </c>
      <c r="H48" s="15" t="str">
        <f t="shared" si="1"/>
        <v>Feb</v>
      </c>
      <c r="I48" s="15">
        <f t="shared" si="2"/>
        <v>2022</v>
      </c>
    </row>
    <row r="49" spans="1:9" x14ac:dyDescent="0.35">
      <c r="A49" s="37">
        <v>44609</v>
      </c>
      <c r="B49" s="15" t="s">
        <v>30</v>
      </c>
      <c r="C49" s="25">
        <v>20</v>
      </c>
      <c r="D49" s="39">
        <v>34</v>
      </c>
      <c r="E49" s="38">
        <v>30.6</v>
      </c>
      <c r="F49" s="40" t="s">
        <v>182</v>
      </c>
      <c r="G49" s="15">
        <f t="shared" si="0"/>
        <v>17</v>
      </c>
      <c r="H49" s="15" t="str">
        <f t="shared" si="1"/>
        <v>Feb</v>
      </c>
      <c r="I49" s="15">
        <f t="shared" si="2"/>
        <v>2022</v>
      </c>
    </row>
    <row r="50" spans="1:9" x14ac:dyDescent="0.35">
      <c r="A50" s="37">
        <v>44610</v>
      </c>
      <c r="B50" s="15" t="s">
        <v>31</v>
      </c>
      <c r="C50" s="25">
        <v>15</v>
      </c>
      <c r="D50" s="39">
        <v>87</v>
      </c>
      <c r="E50" s="38">
        <v>78.3</v>
      </c>
      <c r="F50" s="40" t="s">
        <v>180</v>
      </c>
      <c r="G50" s="15">
        <f t="shared" si="0"/>
        <v>18</v>
      </c>
      <c r="H50" s="15" t="str">
        <f t="shared" si="1"/>
        <v>Feb</v>
      </c>
      <c r="I50" s="15">
        <f t="shared" si="2"/>
        <v>2022</v>
      </c>
    </row>
    <row r="51" spans="1:9" x14ac:dyDescent="0.35">
      <c r="A51" s="37">
        <v>44611</v>
      </c>
      <c r="B51" s="15" t="s">
        <v>32</v>
      </c>
      <c r="C51" s="25">
        <v>10</v>
      </c>
      <c r="D51" s="39">
        <v>120</v>
      </c>
      <c r="E51" s="38">
        <v>108</v>
      </c>
      <c r="F51" s="40" t="s">
        <v>183</v>
      </c>
      <c r="G51" s="15">
        <f t="shared" si="0"/>
        <v>19</v>
      </c>
      <c r="H51" s="15" t="str">
        <f t="shared" si="1"/>
        <v>Feb</v>
      </c>
      <c r="I51" s="15">
        <f t="shared" si="2"/>
        <v>2022</v>
      </c>
    </row>
    <row r="52" spans="1:9" x14ac:dyDescent="0.35">
      <c r="A52" s="37">
        <v>44612</v>
      </c>
      <c r="B52" s="15" t="s">
        <v>33</v>
      </c>
      <c r="C52" s="25">
        <v>25</v>
      </c>
      <c r="D52" s="39">
        <v>148</v>
      </c>
      <c r="E52" s="38">
        <v>133.19999999999999</v>
      </c>
      <c r="F52" s="40" t="s">
        <v>182</v>
      </c>
      <c r="G52" s="15">
        <f t="shared" si="0"/>
        <v>20</v>
      </c>
      <c r="H52" s="15" t="str">
        <f t="shared" si="1"/>
        <v>Feb</v>
      </c>
      <c r="I52" s="15">
        <f t="shared" si="2"/>
        <v>2022</v>
      </c>
    </row>
    <row r="53" spans="1:9" x14ac:dyDescent="0.35">
      <c r="A53" s="37">
        <v>44613</v>
      </c>
      <c r="B53" s="15" t="s">
        <v>34</v>
      </c>
      <c r="C53" s="25">
        <v>30</v>
      </c>
      <c r="D53" s="39">
        <v>300</v>
      </c>
      <c r="E53" s="38">
        <v>270</v>
      </c>
      <c r="F53" s="40" t="s">
        <v>182</v>
      </c>
      <c r="G53" s="15">
        <f t="shared" si="0"/>
        <v>21</v>
      </c>
      <c r="H53" s="15" t="str">
        <f t="shared" si="1"/>
        <v>Feb</v>
      </c>
      <c r="I53" s="15">
        <f t="shared" si="2"/>
        <v>2022</v>
      </c>
    </row>
    <row r="54" spans="1:9" x14ac:dyDescent="0.35">
      <c r="A54" s="37">
        <v>44614</v>
      </c>
      <c r="B54" s="15" t="s">
        <v>35</v>
      </c>
      <c r="C54" s="25">
        <v>10</v>
      </c>
      <c r="D54" s="39">
        <v>320</v>
      </c>
      <c r="E54" s="38">
        <v>288</v>
      </c>
      <c r="F54" s="40" t="s">
        <v>180</v>
      </c>
      <c r="G54" s="15">
        <f t="shared" si="0"/>
        <v>22</v>
      </c>
      <c r="H54" s="15" t="str">
        <f t="shared" si="1"/>
        <v>Feb</v>
      </c>
      <c r="I54" s="15">
        <f t="shared" si="2"/>
        <v>2022</v>
      </c>
    </row>
    <row r="55" spans="1:9" x14ac:dyDescent="0.35">
      <c r="A55" s="37">
        <v>44615</v>
      </c>
      <c r="B55" s="15" t="s">
        <v>36</v>
      </c>
      <c r="C55" s="25">
        <v>20</v>
      </c>
      <c r="D55" s="39">
        <v>530</v>
      </c>
      <c r="E55" s="38">
        <v>477</v>
      </c>
      <c r="F55" s="40" t="s">
        <v>181</v>
      </c>
      <c r="G55" s="15">
        <f t="shared" si="0"/>
        <v>23</v>
      </c>
      <c r="H55" s="15" t="str">
        <f t="shared" si="1"/>
        <v>Feb</v>
      </c>
      <c r="I55" s="15">
        <f t="shared" si="2"/>
        <v>2022</v>
      </c>
    </row>
    <row r="56" spans="1:9" x14ac:dyDescent="0.35">
      <c r="A56" s="37">
        <v>44616</v>
      </c>
      <c r="B56" s="15" t="s">
        <v>37</v>
      </c>
      <c r="C56" s="25">
        <v>5</v>
      </c>
      <c r="D56" s="39">
        <v>5000</v>
      </c>
      <c r="E56" s="38">
        <v>4500</v>
      </c>
      <c r="F56" s="40" t="s">
        <v>182</v>
      </c>
      <c r="G56" s="15">
        <f t="shared" si="0"/>
        <v>24</v>
      </c>
      <c r="H56" s="15" t="str">
        <f t="shared" si="1"/>
        <v>Feb</v>
      </c>
      <c r="I56" s="15">
        <f t="shared" si="2"/>
        <v>2022</v>
      </c>
    </row>
    <row r="57" spans="1:9" x14ac:dyDescent="0.35">
      <c r="A57" s="37">
        <v>44617</v>
      </c>
      <c r="B57" s="15" t="s">
        <v>38</v>
      </c>
      <c r="C57" s="25">
        <v>15</v>
      </c>
      <c r="D57" s="39">
        <v>650</v>
      </c>
      <c r="E57" s="38">
        <v>585</v>
      </c>
      <c r="F57" s="40" t="s">
        <v>180</v>
      </c>
      <c r="G57" s="15">
        <f t="shared" si="0"/>
        <v>25</v>
      </c>
      <c r="H57" s="15" t="str">
        <f t="shared" si="1"/>
        <v>Feb</v>
      </c>
      <c r="I57" s="15">
        <f t="shared" si="2"/>
        <v>2022</v>
      </c>
    </row>
    <row r="58" spans="1:9" x14ac:dyDescent="0.35">
      <c r="A58" s="37">
        <v>44618</v>
      </c>
      <c r="B58" s="15" t="s">
        <v>39</v>
      </c>
      <c r="C58" s="25">
        <v>20</v>
      </c>
      <c r="D58" s="39">
        <v>640</v>
      </c>
      <c r="E58" s="38">
        <v>576</v>
      </c>
      <c r="F58" s="40" t="s">
        <v>183</v>
      </c>
      <c r="G58" s="15">
        <f t="shared" si="0"/>
        <v>26</v>
      </c>
      <c r="H58" s="15" t="str">
        <f t="shared" si="1"/>
        <v>Feb</v>
      </c>
      <c r="I58" s="15">
        <f t="shared" si="2"/>
        <v>2022</v>
      </c>
    </row>
    <row r="59" spans="1:9" x14ac:dyDescent="0.35">
      <c r="A59" s="37">
        <v>44619</v>
      </c>
      <c r="B59" s="15" t="s">
        <v>40</v>
      </c>
      <c r="C59" s="25">
        <v>30</v>
      </c>
      <c r="D59" s="39">
        <v>360</v>
      </c>
      <c r="E59" s="38">
        <v>324</v>
      </c>
      <c r="F59" s="40" t="s">
        <v>182</v>
      </c>
      <c r="G59" s="15">
        <f t="shared" si="0"/>
        <v>27</v>
      </c>
      <c r="H59" s="15" t="str">
        <f t="shared" si="1"/>
        <v>Feb</v>
      </c>
      <c r="I59" s="15">
        <f t="shared" si="2"/>
        <v>2022</v>
      </c>
    </row>
    <row r="60" spans="1:9" x14ac:dyDescent="0.35">
      <c r="A60" s="37">
        <v>44620</v>
      </c>
      <c r="B60" s="15" t="s">
        <v>41</v>
      </c>
      <c r="C60" s="25">
        <v>10</v>
      </c>
      <c r="D60" s="39">
        <v>540</v>
      </c>
      <c r="E60" s="38">
        <v>486</v>
      </c>
      <c r="F60" s="40" t="s">
        <v>180</v>
      </c>
      <c r="G60" s="15">
        <f t="shared" si="0"/>
        <v>28</v>
      </c>
      <c r="H60" s="15" t="str">
        <f t="shared" si="1"/>
        <v>Feb</v>
      </c>
      <c r="I60" s="15">
        <f t="shared" si="2"/>
        <v>2022</v>
      </c>
    </row>
    <row r="61" spans="1:9" x14ac:dyDescent="0.35">
      <c r="A61" s="37">
        <v>44621</v>
      </c>
      <c r="B61" s="15" t="s">
        <v>42</v>
      </c>
      <c r="C61" s="25">
        <v>5</v>
      </c>
      <c r="D61" s="39">
        <v>400</v>
      </c>
      <c r="E61" s="38">
        <v>360</v>
      </c>
      <c r="F61" s="40" t="s">
        <v>181</v>
      </c>
      <c r="G61" s="15">
        <f t="shared" si="0"/>
        <v>1</v>
      </c>
      <c r="H61" s="15" t="str">
        <f t="shared" si="1"/>
        <v>Mar</v>
      </c>
      <c r="I61" s="15">
        <f t="shared" si="2"/>
        <v>2022</v>
      </c>
    </row>
    <row r="62" spans="1:9" x14ac:dyDescent="0.35">
      <c r="A62" s="37">
        <v>44622</v>
      </c>
      <c r="B62" s="15" t="s">
        <v>23</v>
      </c>
      <c r="C62" s="25">
        <v>10</v>
      </c>
      <c r="D62" s="39">
        <v>3</v>
      </c>
      <c r="E62" s="38">
        <v>2.7</v>
      </c>
      <c r="F62" s="40" t="s">
        <v>182</v>
      </c>
      <c r="G62" s="15">
        <f t="shared" si="0"/>
        <v>2</v>
      </c>
      <c r="H62" s="15" t="str">
        <f t="shared" si="1"/>
        <v>Mar</v>
      </c>
      <c r="I62" s="15">
        <f t="shared" si="2"/>
        <v>2022</v>
      </c>
    </row>
    <row r="63" spans="1:9" x14ac:dyDescent="0.35">
      <c r="A63" s="37">
        <v>44623</v>
      </c>
      <c r="B63" s="15" t="s">
        <v>24</v>
      </c>
      <c r="C63" s="25">
        <v>15</v>
      </c>
      <c r="D63" s="39">
        <v>45</v>
      </c>
      <c r="E63" s="38">
        <v>40.5</v>
      </c>
      <c r="F63" s="40" t="s">
        <v>180</v>
      </c>
      <c r="G63" s="15">
        <f t="shared" si="0"/>
        <v>3</v>
      </c>
      <c r="H63" s="15" t="str">
        <f t="shared" si="1"/>
        <v>Mar</v>
      </c>
      <c r="I63" s="15">
        <f t="shared" si="2"/>
        <v>2022</v>
      </c>
    </row>
    <row r="64" spans="1:9" x14ac:dyDescent="0.35">
      <c r="A64" s="37">
        <v>44624</v>
      </c>
      <c r="B64" s="15" t="s">
        <v>25</v>
      </c>
      <c r="C64" s="25">
        <v>20</v>
      </c>
      <c r="D64" s="39">
        <v>90</v>
      </c>
      <c r="E64" s="38">
        <v>81</v>
      </c>
      <c r="F64" s="40" t="s">
        <v>183</v>
      </c>
      <c r="G64" s="15">
        <f t="shared" si="0"/>
        <v>4</v>
      </c>
      <c r="H64" s="15" t="str">
        <f t="shared" si="1"/>
        <v>Mar</v>
      </c>
      <c r="I64" s="15">
        <f t="shared" si="2"/>
        <v>2022</v>
      </c>
    </row>
    <row r="65" spans="1:9" x14ac:dyDescent="0.35">
      <c r="A65" s="37">
        <v>44625</v>
      </c>
      <c r="B65" s="15" t="s">
        <v>26</v>
      </c>
      <c r="C65" s="25">
        <v>25</v>
      </c>
      <c r="D65" s="39">
        <v>35</v>
      </c>
      <c r="E65" s="38">
        <v>31.5</v>
      </c>
      <c r="F65" s="40" t="s">
        <v>182</v>
      </c>
      <c r="G65" s="15">
        <f t="shared" si="0"/>
        <v>5</v>
      </c>
      <c r="H65" s="15" t="str">
        <f t="shared" si="1"/>
        <v>Mar</v>
      </c>
      <c r="I65" s="15">
        <f t="shared" si="2"/>
        <v>2022</v>
      </c>
    </row>
    <row r="66" spans="1:9" x14ac:dyDescent="0.35">
      <c r="A66" s="37">
        <v>44626</v>
      </c>
      <c r="B66" s="15" t="s">
        <v>27</v>
      </c>
      <c r="C66" s="25">
        <v>30</v>
      </c>
      <c r="D66" s="39">
        <v>145</v>
      </c>
      <c r="E66" s="38">
        <v>130.5</v>
      </c>
      <c r="F66" s="40" t="s">
        <v>181</v>
      </c>
      <c r="G66" s="15">
        <f t="shared" si="0"/>
        <v>6</v>
      </c>
      <c r="H66" s="15" t="str">
        <f t="shared" si="1"/>
        <v>Mar</v>
      </c>
      <c r="I66" s="15">
        <f t="shared" si="2"/>
        <v>2022</v>
      </c>
    </row>
    <row r="67" spans="1:9" x14ac:dyDescent="0.35">
      <c r="A67" s="37">
        <v>44627</v>
      </c>
      <c r="B67" s="15" t="s">
        <v>28</v>
      </c>
      <c r="C67" s="25">
        <v>10</v>
      </c>
      <c r="D67" s="39">
        <v>125</v>
      </c>
      <c r="E67" s="38">
        <v>112.5</v>
      </c>
      <c r="F67" s="40" t="s">
        <v>180</v>
      </c>
      <c r="G67" s="15">
        <f t="shared" ref="G67:G130" si="3">DAY(A67)</f>
        <v>7</v>
      </c>
      <c r="H67" s="15" t="str">
        <f t="shared" ref="H67:H130" si="4">TEXT(A67,"mmm")</f>
        <v>Mar</v>
      </c>
      <c r="I67" s="15">
        <f t="shared" ref="I67:I130" si="5">YEAR(A67)</f>
        <v>2022</v>
      </c>
    </row>
    <row r="68" spans="1:9" x14ac:dyDescent="0.35">
      <c r="A68" s="37">
        <v>44628</v>
      </c>
      <c r="B68" s="15" t="s">
        <v>29</v>
      </c>
      <c r="C68" s="25">
        <v>5</v>
      </c>
      <c r="D68" s="39">
        <v>56</v>
      </c>
      <c r="E68" s="38">
        <v>50.4</v>
      </c>
      <c r="F68" s="40" t="s">
        <v>182</v>
      </c>
      <c r="G68" s="15">
        <f t="shared" si="3"/>
        <v>8</v>
      </c>
      <c r="H68" s="15" t="str">
        <f t="shared" si="4"/>
        <v>Mar</v>
      </c>
      <c r="I68" s="15">
        <f t="shared" si="5"/>
        <v>2022</v>
      </c>
    </row>
    <row r="69" spans="1:9" x14ac:dyDescent="0.35">
      <c r="A69" s="37">
        <v>44629</v>
      </c>
      <c r="B69" s="15" t="s">
        <v>30</v>
      </c>
      <c r="C69" s="25">
        <v>20</v>
      </c>
      <c r="D69" s="39">
        <v>34</v>
      </c>
      <c r="E69" s="38">
        <v>30.6</v>
      </c>
      <c r="F69" s="40" t="s">
        <v>182</v>
      </c>
      <c r="G69" s="15">
        <f t="shared" si="3"/>
        <v>9</v>
      </c>
      <c r="H69" s="15" t="str">
        <f t="shared" si="4"/>
        <v>Mar</v>
      </c>
      <c r="I69" s="15">
        <f t="shared" si="5"/>
        <v>2022</v>
      </c>
    </row>
    <row r="70" spans="1:9" x14ac:dyDescent="0.35">
      <c r="A70" s="37">
        <v>44630</v>
      </c>
      <c r="B70" s="15" t="s">
        <v>31</v>
      </c>
      <c r="C70" s="25">
        <v>15</v>
      </c>
      <c r="D70" s="39">
        <v>87</v>
      </c>
      <c r="E70" s="38">
        <v>78.3</v>
      </c>
      <c r="F70" s="40" t="s">
        <v>180</v>
      </c>
      <c r="G70" s="15">
        <f t="shared" si="3"/>
        <v>10</v>
      </c>
      <c r="H70" s="15" t="str">
        <f t="shared" si="4"/>
        <v>Mar</v>
      </c>
      <c r="I70" s="15">
        <f t="shared" si="5"/>
        <v>2022</v>
      </c>
    </row>
    <row r="71" spans="1:9" x14ac:dyDescent="0.35">
      <c r="A71" s="37">
        <v>44631</v>
      </c>
      <c r="B71" s="15" t="s">
        <v>32</v>
      </c>
      <c r="C71" s="25">
        <v>10</v>
      </c>
      <c r="D71" s="39">
        <v>120</v>
      </c>
      <c r="E71" s="38">
        <v>108</v>
      </c>
      <c r="F71" s="40" t="s">
        <v>181</v>
      </c>
      <c r="G71" s="15">
        <f t="shared" si="3"/>
        <v>11</v>
      </c>
      <c r="H71" s="15" t="str">
        <f t="shared" si="4"/>
        <v>Mar</v>
      </c>
      <c r="I71" s="15">
        <f t="shared" si="5"/>
        <v>2022</v>
      </c>
    </row>
    <row r="72" spans="1:9" x14ac:dyDescent="0.35">
      <c r="A72" s="37">
        <v>44632</v>
      </c>
      <c r="B72" s="15" t="s">
        <v>33</v>
      </c>
      <c r="C72" s="25">
        <v>25</v>
      </c>
      <c r="D72" s="39">
        <v>148</v>
      </c>
      <c r="E72" s="38">
        <v>133.19999999999999</v>
      </c>
      <c r="F72" s="40" t="s">
        <v>182</v>
      </c>
      <c r="G72" s="15">
        <f t="shared" si="3"/>
        <v>12</v>
      </c>
      <c r="H72" s="15" t="str">
        <f t="shared" si="4"/>
        <v>Mar</v>
      </c>
      <c r="I72" s="15">
        <f t="shared" si="5"/>
        <v>2022</v>
      </c>
    </row>
    <row r="73" spans="1:9" x14ac:dyDescent="0.35">
      <c r="A73" s="37">
        <v>44633</v>
      </c>
      <c r="B73" s="15" t="s">
        <v>34</v>
      </c>
      <c r="C73" s="25">
        <v>30</v>
      </c>
      <c r="D73" s="39">
        <v>300</v>
      </c>
      <c r="E73" s="38">
        <v>270</v>
      </c>
      <c r="F73" s="40" t="s">
        <v>180</v>
      </c>
      <c r="G73" s="15">
        <f t="shared" si="3"/>
        <v>13</v>
      </c>
      <c r="H73" s="15" t="str">
        <f t="shared" si="4"/>
        <v>Mar</v>
      </c>
      <c r="I73" s="15">
        <f t="shared" si="5"/>
        <v>2022</v>
      </c>
    </row>
    <row r="74" spans="1:9" x14ac:dyDescent="0.35">
      <c r="A74" s="37">
        <v>44634</v>
      </c>
      <c r="B74" s="15" t="s">
        <v>35</v>
      </c>
      <c r="C74" s="25">
        <v>10</v>
      </c>
      <c r="D74" s="39">
        <v>320</v>
      </c>
      <c r="E74" s="38">
        <v>288</v>
      </c>
      <c r="F74" s="40" t="s">
        <v>183</v>
      </c>
      <c r="G74" s="15">
        <f t="shared" si="3"/>
        <v>14</v>
      </c>
      <c r="H74" s="15" t="str">
        <f t="shared" si="4"/>
        <v>Mar</v>
      </c>
      <c r="I74" s="15">
        <f t="shared" si="5"/>
        <v>2022</v>
      </c>
    </row>
    <row r="75" spans="1:9" x14ac:dyDescent="0.35">
      <c r="A75" s="37">
        <v>44635</v>
      </c>
      <c r="B75" s="15" t="s">
        <v>36</v>
      </c>
      <c r="C75" s="25">
        <v>20</v>
      </c>
      <c r="D75" s="39">
        <v>530</v>
      </c>
      <c r="E75" s="38">
        <v>477</v>
      </c>
      <c r="F75" s="40" t="s">
        <v>182</v>
      </c>
      <c r="G75" s="15">
        <f t="shared" si="3"/>
        <v>15</v>
      </c>
      <c r="H75" s="15" t="str">
        <f t="shared" si="4"/>
        <v>Mar</v>
      </c>
      <c r="I75" s="15">
        <f t="shared" si="5"/>
        <v>2022</v>
      </c>
    </row>
    <row r="76" spans="1:9" x14ac:dyDescent="0.35">
      <c r="A76" s="37">
        <v>44636</v>
      </c>
      <c r="B76" s="15" t="s">
        <v>37</v>
      </c>
      <c r="C76" s="25">
        <v>5</v>
      </c>
      <c r="D76" s="39">
        <v>5000</v>
      </c>
      <c r="E76" s="38">
        <v>4500</v>
      </c>
      <c r="F76" s="40" t="s">
        <v>181</v>
      </c>
      <c r="G76" s="15">
        <f t="shared" si="3"/>
        <v>16</v>
      </c>
      <c r="H76" s="15" t="str">
        <f t="shared" si="4"/>
        <v>Mar</v>
      </c>
      <c r="I76" s="15">
        <f t="shared" si="5"/>
        <v>2022</v>
      </c>
    </row>
    <row r="77" spans="1:9" x14ac:dyDescent="0.35">
      <c r="A77" s="37">
        <v>44637</v>
      </c>
      <c r="B77" s="15" t="s">
        <v>38</v>
      </c>
      <c r="C77" s="25">
        <v>15</v>
      </c>
      <c r="D77" s="39">
        <v>650</v>
      </c>
      <c r="E77" s="38">
        <v>585</v>
      </c>
      <c r="F77" s="40" t="s">
        <v>181</v>
      </c>
      <c r="G77" s="15">
        <f t="shared" si="3"/>
        <v>17</v>
      </c>
      <c r="H77" s="15" t="str">
        <f t="shared" si="4"/>
        <v>Mar</v>
      </c>
      <c r="I77" s="15">
        <f t="shared" si="5"/>
        <v>2022</v>
      </c>
    </row>
    <row r="78" spans="1:9" x14ac:dyDescent="0.35">
      <c r="A78" s="37">
        <v>44638</v>
      </c>
      <c r="B78" s="15" t="s">
        <v>39</v>
      </c>
      <c r="C78" s="25">
        <v>20</v>
      </c>
      <c r="D78" s="39">
        <v>640</v>
      </c>
      <c r="E78" s="38">
        <v>576</v>
      </c>
      <c r="F78" s="40" t="s">
        <v>182</v>
      </c>
      <c r="G78" s="15">
        <f t="shared" si="3"/>
        <v>18</v>
      </c>
      <c r="H78" s="15" t="str">
        <f t="shared" si="4"/>
        <v>Mar</v>
      </c>
      <c r="I78" s="15">
        <f t="shared" si="5"/>
        <v>2022</v>
      </c>
    </row>
    <row r="79" spans="1:9" x14ac:dyDescent="0.35">
      <c r="A79" s="37">
        <v>44639</v>
      </c>
      <c r="B79" s="15" t="s">
        <v>40</v>
      </c>
      <c r="C79" s="25">
        <v>30</v>
      </c>
      <c r="D79" s="39">
        <v>360</v>
      </c>
      <c r="E79" s="38">
        <v>324</v>
      </c>
      <c r="F79" s="40" t="s">
        <v>180</v>
      </c>
      <c r="G79" s="15">
        <f t="shared" si="3"/>
        <v>19</v>
      </c>
      <c r="H79" s="15" t="str">
        <f t="shared" si="4"/>
        <v>Mar</v>
      </c>
      <c r="I79" s="15">
        <f t="shared" si="5"/>
        <v>2022</v>
      </c>
    </row>
    <row r="80" spans="1:9" x14ac:dyDescent="0.35">
      <c r="A80" s="37">
        <v>44640</v>
      </c>
      <c r="B80" s="15" t="s">
        <v>41</v>
      </c>
      <c r="C80" s="25">
        <v>10</v>
      </c>
      <c r="D80" s="39">
        <v>540</v>
      </c>
      <c r="E80" s="38">
        <v>486</v>
      </c>
      <c r="F80" s="40" t="s">
        <v>183</v>
      </c>
      <c r="G80" s="15">
        <f t="shared" si="3"/>
        <v>20</v>
      </c>
      <c r="H80" s="15" t="str">
        <f t="shared" si="4"/>
        <v>Mar</v>
      </c>
      <c r="I80" s="15">
        <f t="shared" si="5"/>
        <v>2022</v>
      </c>
    </row>
    <row r="81" spans="1:9" x14ac:dyDescent="0.35">
      <c r="A81" s="37">
        <v>44641</v>
      </c>
      <c r="B81" s="15" t="s">
        <v>42</v>
      </c>
      <c r="C81" s="25">
        <v>5</v>
      </c>
      <c r="D81" s="39">
        <v>400</v>
      </c>
      <c r="E81" s="38">
        <v>360</v>
      </c>
      <c r="F81" s="40" t="s">
        <v>182</v>
      </c>
      <c r="G81" s="15">
        <f t="shared" si="3"/>
        <v>21</v>
      </c>
      <c r="H81" s="15" t="str">
        <f t="shared" si="4"/>
        <v>Mar</v>
      </c>
      <c r="I81" s="15">
        <f t="shared" si="5"/>
        <v>2022</v>
      </c>
    </row>
    <row r="82" spans="1:9" x14ac:dyDescent="0.35">
      <c r="A82" s="37">
        <v>44642</v>
      </c>
      <c r="B82" s="15" t="s">
        <v>23</v>
      </c>
      <c r="C82" s="25">
        <v>10</v>
      </c>
      <c r="D82" s="39">
        <v>3</v>
      </c>
      <c r="E82" s="38">
        <v>2.7</v>
      </c>
      <c r="F82" s="40" t="s">
        <v>181</v>
      </c>
      <c r="G82" s="15">
        <f t="shared" si="3"/>
        <v>22</v>
      </c>
      <c r="H82" s="15" t="str">
        <f t="shared" si="4"/>
        <v>Mar</v>
      </c>
      <c r="I82" s="15">
        <f t="shared" si="5"/>
        <v>2022</v>
      </c>
    </row>
    <row r="83" spans="1:9" x14ac:dyDescent="0.35">
      <c r="A83" s="37">
        <v>44643</v>
      </c>
      <c r="B83" s="15" t="s">
        <v>24</v>
      </c>
      <c r="C83" s="25">
        <v>15</v>
      </c>
      <c r="D83" s="39">
        <v>45</v>
      </c>
      <c r="E83" s="38">
        <v>40.5</v>
      </c>
      <c r="F83" s="40" t="s">
        <v>181</v>
      </c>
      <c r="G83" s="15">
        <f t="shared" si="3"/>
        <v>23</v>
      </c>
      <c r="H83" s="15" t="str">
        <f t="shared" si="4"/>
        <v>Mar</v>
      </c>
      <c r="I83" s="15">
        <f t="shared" si="5"/>
        <v>2022</v>
      </c>
    </row>
    <row r="84" spans="1:9" x14ac:dyDescent="0.35">
      <c r="A84" s="37">
        <v>44644</v>
      </c>
      <c r="B84" s="15" t="s">
        <v>25</v>
      </c>
      <c r="C84" s="25">
        <v>20</v>
      </c>
      <c r="D84" s="39">
        <v>90</v>
      </c>
      <c r="E84" s="38">
        <v>81</v>
      </c>
      <c r="F84" s="40" t="s">
        <v>182</v>
      </c>
      <c r="G84" s="15">
        <f t="shared" si="3"/>
        <v>24</v>
      </c>
      <c r="H84" s="15" t="str">
        <f t="shared" si="4"/>
        <v>Mar</v>
      </c>
      <c r="I84" s="15">
        <f t="shared" si="5"/>
        <v>2022</v>
      </c>
    </row>
    <row r="85" spans="1:9" x14ac:dyDescent="0.35">
      <c r="A85" s="37">
        <v>44645</v>
      </c>
      <c r="B85" s="15" t="s">
        <v>26</v>
      </c>
      <c r="C85" s="25">
        <v>25</v>
      </c>
      <c r="D85" s="39">
        <v>35</v>
      </c>
      <c r="E85" s="38">
        <v>31.5</v>
      </c>
      <c r="F85" s="40" t="s">
        <v>180</v>
      </c>
      <c r="G85" s="15">
        <f t="shared" si="3"/>
        <v>25</v>
      </c>
      <c r="H85" s="15" t="str">
        <f t="shared" si="4"/>
        <v>Mar</v>
      </c>
      <c r="I85" s="15">
        <f t="shared" si="5"/>
        <v>2022</v>
      </c>
    </row>
    <row r="86" spans="1:9" x14ac:dyDescent="0.35">
      <c r="A86" s="37">
        <v>44646</v>
      </c>
      <c r="B86" s="15" t="s">
        <v>27</v>
      </c>
      <c r="C86" s="25">
        <v>30</v>
      </c>
      <c r="D86" s="39">
        <v>145</v>
      </c>
      <c r="E86" s="38">
        <v>130.5</v>
      </c>
      <c r="F86" s="40" t="s">
        <v>183</v>
      </c>
      <c r="G86" s="15">
        <f t="shared" si="3"/>
        <v>26</v>
      </c>
      <c r="H86" s="15" t="str">
        <f t="shared" si="4"/>
        <v>Mar</v>
      </c>
      <c r="I86" s="15">
        <f t="shared" si="5"/>
        <v>2022</v>
      </c>
    </row>
    <row r="87" spans="1:9" x14ac:dyDescent="0.35">
      <c r="A87" s="37">
        <v>44647</v>
      </c>
      <c r="B87" s="15" t="s">
        <v>28</v>
      </c>
      <c r="C87" s="25">
        <v>10</v>
      </c>
      <c r="D87" s="39">
        <v>125</v>
      </c>
      <c r="E87" s="38">
        <v>112.5</v>
      </c>
      <c r="F87" s="40" t="s">
        <v>182</v>
      </c>
      <c r="G87" s="15">
        <f t="shared" si="3"/>
        <v>27</v>
      </c>
      <c r="H87" s="15" t="str">
        <f t="shared" si="4"/>
        <v>Mar</v>
      </c>
      <c r="I87" s="15">
        <f t="shared" si="5"/>
        <v>2022</v>
      </c>
    </row>
    <row r="88" spans="1:9" x14ac:dyDescent="0.35">
      <c r="A88" s="37">
        <v>44648</v>
      </c>
      <c r="B88" s="15" t="s">
        <v>29</v>
      </c>
      <c r="C88" s="25">
        <v>5</v>
      </c>
      <c r="D88" s="39">
        <v>56</v>
      </c>
      <c r="E88" s="38">
        <v>50.4</v>
      </c>
      <c r="F88" s="40" t="s">
        <v>180</v>
      </c>
      <c r="G88" s="15">
        <f t="shared" si="3"/>
        <v>28</v>
      </c>
      <c r="H88" s="15" t="str">
        <f t="shared" si="4"/>
        <v>Mar</v>
      </c>
      <c r="I88" s="15">
        <f t="shared" si="5"/>
        <v>2022</v>
      </c>
    </row>
    <row r="89" spans="1:9" x14ac:dyDescent="0.35">
      <c r="A89" s="37">
        <v>44649</v>
      </c>
      <c r="B89" s="15" t="s">
        <v>30</v>
      </c>
      <c r="C89" s="25">
        <v>20</v>
      </c>
      <c r="D89" s="39">
        <v>34</v>
      </c>
      <c r="E89" s="38">
        <v>30.6</v>
      </c>
      <c r="F89" s="40" t="s">
        <v>182</v>
      </c>
      <c r="G89" s="15">
        <f t="shared" si="3"/>
        <v>29</v>
      </c>
      <c r="H89" s="15" t="str">
        <f t="shared" si="4"/>
        <v>Mar</v>
      </c>
      <c r="I89" s="15">
        <f t="shared" si="5"/>
        <v>2022</v>
      </c>
    </row>
    <row r="90" spans="1:9" x14ac:dyDescent="0.35">
      <c r="A90" s="37">
        <v>44650</v>
      </c>
      <c r="B90" s="15" t="s">
        <v>31</v>
      </c>
      <c r="C90" s="25">
        <v>15</v>
      </c>
      <c r="D90" s="39">
        <v>87</v>
      </c>
      <c r="E90" s="38">
        <v>78.3</v>
      </c>
      <c r="F90" s="40" t="s">
        <v>181</v>
      </c>
      <c r="G90" s="15">
        <f t="shared" si="3"/>
        <v>30</v>
      </c>
      <c r="H90" s="15" t="str">
        <f t="shared" si="4"/>
        <v>Mar</v>
      </c>
      <c r="I90" s="15">
        <f t="shared" si="5"/>
        <v>2022</v>
      </c>
    </row>
    <row r="91" spans="1:9" x14ac:dyDescent="0.35">
      <c r="A91" s="37">
        <v>44651</v>
      </c>
      <c r="B91" s="15" t="s">
        <v>32</v>
      </c>
      <c r="C91" s="25">
        <v>10</v>
      </c>
      <c r="D91" s="39">
        <v>120</v>
      </c>
      <c r="E91" s="38">
        <v>108</v>
      </c>
      <c r="F91" s="40" t="s">
        <v>182</v>
      </c>
      <c r="G91" s="15">
        <f t="shared" si="3"/>
        <v>31</v>
      </c>
      <c r="H91" s="15" t="str">
        <f t="shared" si="4"/>
        <v>Mar</v>
      </c>
      <c r="I91" s="15">
        <f t="shared" si="5"/>
        <v>2022</v>
      </c>
    </row>
    <row r="92" spans="1:9" x14ac:dyDescent="0.35">
      <c r="A92" s="37">
        <v>44652</v>
      </c>
      <c r="B92" s="15" t="s">
        <v>33</v>
      </c>
      <c r="C92" s="25">
        <v>25</v>
      </c>
      <c r="D92" s="39">
        <v>148</v>
      </c>
      <c r="E92" s="38">
        <v>133.19999999999999</v>
      </c>
      <c r="F92" s="40" t="s">
        <v>180</v>
      </c>
      <c r="G92" s="15">
        <f t="shared" si="3"/>
        <v>1</v>
      </c>
      <c r="H92" s="15" t="str">
        <f t="shared" si="4"/>
        <v>Apr</v>
      </c>
      <c r="I92" s="15">
        <f t="shared" si="5"/>
        <v>2022</v>
      </c>
    </row>
    <row r="93" spans="1:9" x14ac:dyDescent="0.35">
      <c r="A93" s="37">
        <v>44653</v>
      </c>
      <c r="B93" s="15" t="s">
        <v>34</v>
      </c>
      <c r="C93" s="25">
        <v>30</v>
      </c>
      <c r="D93" s="39">
        <v>300</v>
      </c>
      <c r="E93" s="38">
        <v>270</v>
      </c>
      <c r="F93" s="40" t="s">
        <v>183</v>
      </c>
      <c r="G93" s="15">
        <f t="shared" si="3"/>
        <v>2</v>
      </c>
      <c r="H93" s="15" t="str">
        <f t="shared" si="4"/>
        <v>Apr</v>
      </c>
      <c r="I93" s="15">
        <f t="shared" si="5"/>
        <v>2022</v>
      </c>
    </row>
    <row r="94" spans="1:9" x14ac:dyDescent="0.35">
      <c r="A94" s="37">
        <v>44654</v>
      </c>
      <c r="B94" s="15" t="s">
        <v>35</v>
      </c>
      <c r="C94" s="25">
        <v>10</v>
      </c>
      <c r="D94" s="39">
        <v>320</v>
      </c>
      <c r="E94" s="38">
        <v>288</v>
      </c>
      <c r="F94" s="40" t="s">
        <v>182</v>
      </c>
      <c r="G94" s="15">
        <f t="shared" si="3"/>
        <v>3</v>
      </c>
      <c r="H94" s="15" t="str">
        <f t="shared" si="4"/>
        <v>Apr</v>
      </c>
      <c r="I94" s="15">
        <f t="shared" si="5"/>
        <v>2022</v>
      </c>
    </row>
    <row r="95" spans="1:9" x14ac:dyDescent="0.35">
      <c r="A95" s="37">
        <v>44655</v>
      </c>
      <c r="B95" s="15" t="s">
        <v>36</v>
      </c>
      <c r="C95" s="25">
        <v>20</v>
      </c>
      <c r="D95" s="39">
        <v>530</v>
      </c>
      <c r="E95" s="38">
        <v>477</v>
      </c>
      <c r="F95" s="40" t="s">
        <v>180</v>
      </c>
      <c r="G95" s="15">
        <f t="shared" si="3"/>
        <v>4</v>
      </c>
      <c r="H95" s="15" t="str">
        <f t="shared" si="4"/>
        <v>Apr</v>
      </c>
      <c r="I95" s="15">
        <f t="shared" si="5"/>
        <v>2022</v>
      </c>
    </row>
    <row r="96" spans="1:9" x14ac:dyDescent="0.35">
      <c r="A96" s="37">
        <v>44656</v>
      </c>
      <c r="B96" s="15" t="s">
        <v>37</v>
      </c>
      <c r="C96" s="25">
        <v>5</v>
      </c>
      <c r="D96" s="39">
        <v>5000</v>
      </c>
      <c r="E96" s="38">
        <v>4500</v>
      </c>
      <c r="F96" s="40" t="s">
        <v>183</v>
      </c>
      <c r="G96" s="15">
        <f t="shared" si="3"/>
        <v>5</v>
      </c>
      <c r="H96" s="15" t="str">
        <f t="shared" si="4"/>
        <v>Apr</v>
      </c>
      <c r="I96" s="15">
        <f t="shared" si="5"/>
        <v>2022</v>
      </c>
    </row>
    <row r="97" spans="1:9" x14ac:dyDescent="0.35">
      <c r="A97" s="37">
        <v>44657</v>
      </c>
      <c r="B97" s="15" t="s">
        <v>38</v>
      </c>
      <c r="C97" s="25">
        <v>15</v>
      </c>
      <c r="D97" s="39">
        <v>650</v>
      </c>
      <c r="E97" s="38">
        <v>585</v>
      </c>
      <c r="F97" s="40" t="s">
        <v>181</v>
      </c>
      <c r="G97" s="15">
        <f t="shared" si="3"/>
        <v>6</v>
      </c>
      <c r="H97" s="15" t="str">
        <f t="shared" si="4"/>
        <v>Apr</v>
      </c>
      <c r="I97" s="15">
        <f t="shared" si="5"/>
        <v>2022</v>
      </c>
    </row>
    <row r="98" spans="1:9" x14ac:dyDescent="0.35">
      <c r="A98" s="37">
        <v>44658</v>
      </c>
      <c r="B98" s="15" t="s">
        <v>39</v>
      </c>
      <c r="C98" s="25">
        <v>20</v>
      </c>
      <c r="D98" s="39">
        <v>640</v>
      </c>
      <c r="E98" s="38">
        <v>576</v>
      </c>
      <c r="F98" s="40" t="s">
        <v>181</v>
      </c>
      <c r="G98" s="15">
        <f t="shared" si="3"/>
        <v>7</v>
      </c>
      <c r="H98" s="15" t="str">
        <f t="shared" si="4"/>
        <v>Apr</v>
      </c>
      <c r="I98" s="15">
        <f t="shared" si="5"/>
        <v>2022</v>
      </c>
    </row>
    <row r="99" spans="1:9" x14ac:dyDescent="0.35">
      <c r="A99" s="37">
        <v>44659</v>
      </c>
      <c r="B99" s="15" t="s">
        <v>40</v>
      </c>
      <c r="C99" s="25">
        <v>30</v>
      </c>
      <c r="D99" s="39">
        <v>360</v>
      </c>
      <c r="E99" s="38">
        <v>324</v>
      </c>
      <c r="F99" s="40" t="s">
        <v>182</v>
      </c>
      <c r="G99" s="15">
        <f t="shared" si="3"/>
        <v>8</v>
      </c>
      <c r="H99" s="15" t="str">
        <f t="shared" si="4"/>
        <v>Apr</v>
      </c>
      <c r="I99" s="15">
        <f t="shared" si="5"/>
        <v>2022</v>
      </c>
    </row>
    <row r="100" spans="1:9" x14ac:dyDescent="0.35">
      <c r="A100" s="37">
        <v>44660</v>
      </c>
      <c r="B100" s="15" t="s">
        <v>41</v>
      </c>
      <c r="C100" s="25">
        <v>10</v>
      </c>
      <c r="D100" s="39">
        <v>540</v>
      </c>
      <c r="E100" s="38">
        <v>486</v>
      </c>
      <c r="F100" s="40" t="s">
        <v>180</v>
      </c>
      <c r="G100" s="15">
        <f t="shared" si="3"/>
        <v>9</v>
      </c>
      <c r="H100" s="15" t="str">
        <f t="shared" si="4"/>
        <v>Apr</v>
      </c>
      <c r="I100" s="15">
        <f t="shared" si="5"/>
        <v>2022</v>
      </c>
    </row>
    <row r="101" spans="1:9" x14ac:dyDescent="0.35">
      <c r="A101" s="37">
        <v>44661</v>
      </c>
      <c r="B101" s="15" t="s">
        <v>42</v>
      </c>
      <c r="C101" s="25">
        <v>5</v>
      </c>
      <c r="D101" s="39">
        <v>400</v>
      </c>
      <c r="E101" s="38">
        <v>360</v>
      </c>
      <c r="F101" s="40" t="s">
        <v>183</v>
      </c>
      <c r="G101" s="15">
        <f t="shared" si="3"/>
        <v>10</v>
      </c>
      <c r="H101" s="15" t="str">
        <f t="shared" si="4"/>
        <v>Apr</v>
      </c>
      <c r="I101" s="15">
        <f t="shared" si="5"/>
        <v>2022</v>
      </c>
    </row>
    <row r="102" spans="1:9" x14ac:dyDescent="0.35">
      <c r="A102" s="37">
        <v>44662</v>
      </c>
      <c r="B102" s="15" t="s">
        <v>23</v>
      </c>
      <c r="C102" s="25">
        <v>10</v>
      </c>
      <c r="D102" s="39">
        <v>3</v>
      </c>
      <c r="E102" s="38">
        <v>2.7</v>
      </c>
      <c r="F102" s="40" t="s">
        <v>182</v>
      </c>
      <c r="G102" s="15">
        <f t="shared" si="3"/>
        <v>11</v>
      </c>
      <c r="H102" s="15" t="str">
        <f t="shared" si="4"/>
        <v>Apr</v>
      </c>
      <c r="I102" s="15">
        <f t="shared" si="5"/>
        <v>2022</v>
      </c>
    </row>
    <row r="103" spans="1:9" x14ac:dyDescent="0.35">
      <c r="A103" s="37">
        <v>44663</v>
      </c>
      <c r="B103" s="15" t="s">
        <v>24</v>
      </c>
      <c r="C103" s="25">
        <v>15</v>
      </c>
      <c r="D103" s="39">
        <v>45</v>
      </c>
      <c r="E103" s="38">
        <v>40.5</v>
      </c>
      <c r="F103" s="40" t="s">
        <v>180</v>
      </c>
      <c r="G103" s="15">
        <f t="shared" si="3"/>
        <v>12</v>
      </c>
      <c r="H103" s="15" t="str">
        <f t="shared" si="4"/>
        <v>Apr</v>
      </c>
      <c r="I103" s="15">
        <f t="shared" si="5"/>
        <v>2022</v>
      </c>
    </row>
    <row r="104" spans="1:9" x14ac:dyDescent="0.35">
      <c r="A104" s="37">
        <v>44664</v>
      </c>
      <c r="B104" s="15" t="s">
        <v>25</v>
      </c>
      <c r="C104" s="25">
        <v>20</v>
      </c>
      <c r="D104" s="39">
        <v>90</v>
      </c>
      <c r="E104" s="38">
        <v>81</v>
      </c>
      <c r="F104" s="40" t="s">
        <v>183</v>
      </c>
      <c r="G104" s="15">
        <f t="shared" si="3"/>
        <v>13</v>
      </c>
      <c r="H104" s="15" t="str">
        <f t="shared" si="4"/>
        <v>Apr</v>
      </c>
      <c r="I104" s="15">
        <f t="shared" si="5"/>
        <v>2022</v>
      </c>
    </row>
    <row r="105" spans="1:9" x14ac:dyDescent="0.35">
      <c r="A105" s="37">
        <v>44665</v>
      </c>
      <c r="B105" s="15" t="s">
        <v>26</v>
      </c>
      <c r="C105" s="25">
        <v>25</v>
      </c>
      <c r="D105" s="39">
        <v>35</v>
      </c>
      <c r="E105" s="38">
        <v>31.5</v>
      </c>
      <c r="F105" s="40" t="s">
        <v>181</v>
      </c>
      <c r="G105" s="15">
        <f t="shared" si="3"/>
        <v>14</v>
      </c>
      <c r="H105" s="15" t="str">
        <f t="shared" si="4"/>
        <v>Apr</v>
      </c>
      <c r="I105" s="15">
        <f t="shared" si="5"/>
        <v>2022</v>
      </c>
    </row>
    <row r="106" spans="1:9" x14ac:dyDescent="0.35">
      <c r="A106" s="37">
        <v>44666</v>
      </c>
      <c r="B106" s="15" t="s">
        <v>27</v>
      </c>
      <c r="C106" s="25">
        <v>30</v>
      </c>
      <c r="D106" s="39">
        <v>145</v>
      </c>
      <c r="E106" s="38">
        <v>130.5</v>
      </c>
      <c r="F106" s="40" t="s">
        <v>182</v>
      </c>
      <c r="G106" s="15">
        <f t="shared" si="3"/>
        <v>15</v>
      </c>
      <c r="H106" s="15" t="str">
        <f t="shared" si="4"/>
        <v>Apr</v>
      </c>
      <c r="I106" s="15">
        <f t="shared" si="5"/>
        <v>2022</v>
      </c>
    </row>
    <row r="107" spans="1:9" x14ac:dyDescent="0.35">
      <c r="A107" s="37">
        <v>44667</v>
      </c>
      <c r="B107" s="15" t="s">
        <v>28</v>
      </c>
      <c r="C107" s="25">
        <v>10</v>
      </c>
      <c r="D107" s="39">
        <v>125</v>
      </c>
      <c r="E107" s="38">
        <v>112.5</v>
      </c>
      <c r="F107" s="40" t="s">
        <v>180</v>
      </c>
      <c r="G107" s="15">
        <f t="shared" si="3"/>
        <v>16</v>
      </c>
      <c r="H107" s="15" t="str">
        <f t="shared" si="4"/>
        <v>Apr</v>
      </c>
      <c r="I107" s="15">
        <f t="shared" si="5"/>
        <v>2022</v>
      </c>
    </row>
    <row r="108" spans="1:9" x14ac:dyDescent="0.35">
      <c r="A108" s="37">
        <v>44668</v>
      </c>
      <c r="B108" s="15" t="s">
        <v>29</v>
      </c>
      <c r="C108" s="25">
        <v>5</v>
      </c>
      <c r="D108" s="39">
        <v>56</v>
      </c>
      <c r="E108" s="38">
        <v>50.4</v>
      </c>
      <c r="F108" s="40" t="s">
        <v>183</v>
      </c>
      <c r="G108" s="15">
        <f t="shared" si="3"/>
        <v>17</v>
      </c>
      <c r="H108" s="15" t="str">
        <f t="shared" si="4"/>
        <v>Apr</v>
      </c>
      <c r="I108" s="15">
        <f t="shared" si="5"/>
        <v>2022</v>
      </c>
    </row>
    <row r="109" spans="1:9" x14ac:dyDescent="0.35">
      <c r="A109" s="37">
        <v>44669</v>
      </c>
      <c r="B109" s="15" t="s">
        <v>30</v>
      </c>
      <c r="C109" s="25">
        <v>20</v>
      </c>
      <c r="D109" s="39">
        <v>34</v>
      </c>
      <c r="E109" s="38">
        <v>30.6</v>
      </c>
      <c r="F109" s="40" t="s">
        <v>180</v>
      </c>
      <c r="G109" s="15">
        <f t="shared" si="3"/>
        <v>18</v>
      </c>
      <c r="H109" s="15" t="str">
        <f t="shared" si="4"/>
        <v>Apr</v>
      </c>
      <c r="I109" s="15">
        <f t="shared" si="5"/>
        <v>2022</v>
      </c>
    </row>
    <row r="110" spans="1:9" x14ac:dyDescent="0.35">
      <c r="A110" s="37">
        <v>44670</v>
      </c>
      <c r="B110" s="15" t="s">
        <v>31</v>
      </c>
      <c r="C110" s="25">
        <v>15</v>
      </c>
      <c r="D110" s="39">
        <v>87</v>
      </c>
      <c r="E110" s="38">
        <v>78.3</v>
      </c>
      <c r="F110" s="40" t="s">
        <v>183</v>
      </c>
      <c r="G110" s="15">
        <f t="shared" si="3"/>
        <v>19</v>
      </c>
      <c r="H110" s="15" t="str">
        <f t="shared" si="4"/>
        <v>Apr</v>
      </c>
      <c r="I110" s="15">
        <f t="shared" si="5"/>
        <v>2022</v>
      </c>
    </row>
    <row r="111" spans="1:9" x14ac:dyDescent="0.35">
      <c r="A111" s="37">
        <v>44671</v>
      </c>
      <c r="B111" s="15" t="s">
        <v>32</v>
      </c>
      <c r="C111" s="25">
        <v>10</v>
      </c>
      <c r="D111" s="39">
        <v>120</v>
      </c>
      <c r="E111" s="38">
        <v>108</v>
      </c>
      <c r="F111" s="40" t="s">
        <v>181</v>
      </c>
      <c r="G111" s="15">
        <f t="shared" si="3"/>
        <v>20</v>
      </c>
      <c r="H111" s="15" t="str">
        <f t="shared" si="4"/>
        <v>Apr</v>
      </c>
      <c r="I111" s="15">
        <f t="shared" si="5"/>
        <v>2022</v>
      </c>
    </row>
    <row r="112" spans="1:9" x14ac:dyDescent="0.35">
      <c r="A112" s="37">
        <v>44672</v>
      </c>
      <c r="B112" s="15" t="s">
        <v>33</v>
      </c>
      <c r="C112" s="25">
        <v>25</v>
      </c>
      <c r="D112" s="39">
        <v>148</v>
      </c>
      <c r="E112" s="38">
        <v>133.19999999999999</v>
      </c>
      <c r="F112" s="40" t="s">
        <v>182</v>
      </c>
      <c r="G112" s="15">
        <f t="shared" si="3"/>
        <v>21</v>
      </c>
      <c r="H112" s="15" t="str">
        <f t="shared" si="4"/>
        <v>Apr</v>
      </c>
      <c r="I112" s="15">
        <f t="shared" si="5"/>
        <v>2022</v>
      </c>
    </row>
    <row r="113" spans="1:9" x14ac:dyDescent="0.35">
      <c r="A113" s="37">
        <v>44673</v>
      </c>
      <c r="B113" s="15" t="s">
        <v>34</v>
      </c>
      <c r="C113" s="25">
        <v>30</v>
      </c>
      <c r="D113" s="39">
        <v>300</v>
      </c>
      <c r="E113" s="38">
        <v>270</v>
      </c>
      <c r="F113" s="40" t="s">
        <v>180</v>
      </c>
      <c r="G113" s="15">
        <f t="shared" si="3"/>
        <v>22</v>
      </c>
      <c r="H113" s="15" t="str">
        <f t="shared" si="4"/>
        <v>Apr</v>
      </c>
      <c r="I113" s="15">
        <f t="shared" si="5"/>
        <v>2022</v>
      </c>
    </row>
    <row r="114" spans="1:9" x14ac:dyDescent="0.35">
      <c r="A114" s="37">
        <v>44674</v>
      </c>
      <c r="B114" s="15" t="s">
        <v>35</v>
      </c>
      <c r="C114" s="25">
        <v>10</v>
      </c>
      <c r="D114" s="39">
        <v>320</v>
      </c>
      <c r="E114" s="38">
        <v>288</v>
      </c>
      <c r="F114" s="40" t="s">
        <v>180</v>
      </c>
      <c r="G114" s="15">
        <f t="shared" si="3"/>
        <v>23</v>
      </c>
      <c r="H114" s="15" t="str">
        <f t="shared" si="4"/>
        <v>Apr</v>
      </c>
      <c r="I114" s="15">
        <f t="shared" si="5"/>
        <v>2022</v>
      </c>
    </row>
    <row r="115" spans="1:9" x14ac:dyDescent="0.35">
      <c r="A115" s="37">
        <v>44675</v>
      </c>
      <c r="B115" s="15" t="s">
        <v>36</v>
      </c>
      <c r="C115" s="25">
        <v>20</v>
      </c>
      <c r="D115" s="39">
        <v>530</v>
      </c>
      <c r="E115" s="38">
        <v>477</v>
      </c>
      <c r="F115" s="40" t="s">
        <v>182</v>
      </c>
      <c r="G115" s="15">
        <f t="shared" si="3"/>
        <v>24</v>
      </c>
      <c r="H115" s="15" t="str">
        <f t="shared" si="4"/>
        <v>Apr</v>
      </c>
      <c r="I115" s="15">
        <f t="shared" si="5"/>
        <v>2022</v>
      </c>
    </row>
    <row r="116" spans="1:9" x14ac:dyDescent="0.35">
      <c r="A116" s="37">
        <v>44676</v>
      </c>
      <c r="B116" s="15" t="s">
        <v>37</v>
      </c>
      <c r="C116" s="25">
        <v>5</v>
      </c>
      <c r="D116" s="39">
        <v>5000</v>
      </c>
      <c r="E116" s="38">
        <v>4500</v>
      </c>
      <c r="F116" s="40" t="s">
        <v>180</v>
      </c>
      <c r="G116" s="15">
        <f t="shared" si="3"/>
        <v>25</v>
      </c>
      <c r="H116" s="15" t="str">
        <f t="shared" si="4"/>
        <v>Apr</v>
      </c>
      <c r="I116" s="15">
        <f t="shared" si="5"/>
        <v>2022</v>
      </c>
    </row>
    <row r="117" spans="1:9" x14ac:dyDescent="0.35">
      <c r="A117" s="37">
        <v>44677</v>
      </c>
      <c r="B117" s="15" t="s">
        <v>38</v>
      </c>
      <c r="C117" s="25">
        <v>15</v>
      </c>
      <c r="D117" s="39">
        <v>650</v>
      </c>
      <c r="E117" s="38">
        <v>585</v>
      </c>
      <c r="F117" s="40" t="s">
        <v>183</v>
      </c>
      <c r="G117" s="15">
        <f t="shared" si="3"/>
        <v>26</v>
      </c>
      <c r="H117" s="15" t="str">
        <f t="shared" si="4"/>
        <v>Apr</v>
      </c>
      <c r="I117" s="15">
        <f t="shared" si="5"/>
        <v>2022</v>
      </c>
    </row>
    <row r="118" spans="1:9" x14ac:dyDescent="0.35">
      <c r="A118" s="37">
        <v>44678</v>
      </c>
      <c r="B118" s="15" t="s">
        <v>39</v>
      </c>
      <c r="C118" s="25">
        <v>20</v>
      </c>
      <c r="D118" s="39">
        <v>640</v>
      </c>
      <c r="E118" s="38">
        <v>576</v>
      </c>
      <c r="F118" s="40" t="s">
        <v>181</v>
      </c>
      <c r="G118" s="15">
        <f t="shared" si="3"/>
        <v>27</v>
      </c>
      <c r="H118" s="15" t="str">
        <f t="shared" si="4"/>
        <v>Apr</v>
      </c>
      <c r="I118" s="15">
        <f t="shared" si="5"/>
        <v>2022</v>
      </c>
    </row>
    <row r="119" spans="1:9" x14ac:dyDescent="0.35">
      <c r="A119" s="37">
        <v>44679</v>
      </c>
      <c r="B119" s="15" t="s">
        <v>40</v>
      </c>
      <c r="C119" s="25">
        <v>30</v>
      </c>
      <c r="D119" s="39">
        <v>360</v>
      </c>
      <c r="E119" s="38">
        <v>324</v>
      </c>
      <c r="F119" s="40" t="s">
        <v>182</v>
      </c>
      <c r="G119" s="15">
        <f t="shared" si="3"/>
        <v>28</v>
      </c>
      <c r="H119" s="15" t="str">
        <f t="shared" si="4"/>
        <v>Apr</v>
      </c>
      <c r="I119" s="15">
        <f t="shared" si="5"/>
        <v>2022</v>
      </c>
    </row>
    <row r="120" spans="1:9" x14ac:dyDescent="0.35">
      <c r="A120" s="37">
        <v>44680</v>
      </c>
      <c r="B120" s="15" t="s">
        <v>41</v>
      </c>
      <c r="C120" s="25">
        <v>10</v>
      </c>
      <c r="D120" s="39">
        <v>540</v>
      </c>
      <c r="E120" s="38">
        <v>486</v>
      </c>
      <c r="F120" s="40" t="s">
        <v>180</v>
      </c>
      <c r="G120" s="15">
        <f t="shared" si="3"/>
        <v>29</v>
      </c>
      <c r="H120" s="15" t="str">
        <f t="shared" si="4"/>
        <v>Apr</v>
      </c>
      <c r="I120" s="15">
        <f t="shared" si="5"/>
        <v>2022</v>
      </c>
    </row>
    <row r="121" spans="1:9" x14ac:dyDescent="0.35">
      <c r="A121" s="37">
        <v>44681</v>
      </c>
      <c r="B121" s="15" t="s">
        <v>42</v>
      </c>
      <c r="C121" s="25">
        <v>5</v>
      </c>
      <c r="D121" s="39">
        <v>400</v>
      </c>
      <c r="E121" s="38">
        <v>360</v>
      </c>
      <c r="F121" s="40" t="s">
        <v>181</v>
      </c>
      <c r="G121" s="15">
        <f t="shared" si="3"/>
        <v>30</v>
      </c>
      <c r="H121" s="15" t="str">
        <f t="shared" si="4"/>
        <v>Apr</v>
      </c>
      <c r="I121" s="15">
        <f t="shared" si="5"/>
        <v>2022</v>
      </c>
    </row>
    <row r="122" spans="1:9" x14ac:dyDescent="0.35">
      <c r="A122" s="37">
        <v>44682</v>
      </c>
      <c r="B122" s="15" t="s">
        <v>23</v>
      </c>
      <c r="C122" s="25">
        <v>10</v>
      </c>
      <c r="D122" s="39">
        <v>3</v>
      </c>
      <c r="E122" s="38">
        <v>2.7</v>
      </c>
      <c r="F122" s="40" t="s">
        <v>180</v>
      </c>
      <c r="G122" s="15">
        <f t="shared" si="3"/>
        <v>1</v>
      </c>
      <c r="H122" s="15" t="str">
        <f t="shared" si="4"/>
        <v>May</v>
      </c>
      <c r="I122" s="15">
        <f t="shared" si="5"/>
        <v>2022</v>
      </c>
    </row>
    <row r="123" spans="1:9" x14ac:dyDescent="0.35">
      <c r="A123" s="37">
        <v>44683</v>
      </c>
      <c r="B123" s="15" t="s">
        <v>24</v>
      </c>
      <c r="C123" s="25">
        <v>15</v>
      </c>
      <c r="D123" s="39">
        <v>45</v>
      </c>
      <c r="E123" s="38">
        <v>40.5</v>
      </c>
      <c r="F123" s="40" t="s">
        <v>182</v>
      </c>
      <c r="G123" s="15">
        <f t="shared" si="3"/>
        <v>2</v>
      </c>
      <c r="H123" s="15" t="str">
        <f t="shared" si="4"/>
        <v>May</v>
      </c>
      <c r="I123" s="15">
        <f t="shared" si="5"/>
        <v>2022</v>
      </c>
    </row>
    <row r="124" spans="1:9" x14ac:dyDescent="0.35">
      <c r="A124" s="37">
        <v>44684</v>
      </c>
      <c r="B124" s="15" t="s">
        <v>25</v>
      </c>
      <c r="C124" s="25">
        <v>20</v>
      </c>
      <c r="D124" s="39">
        <v>90</v>
      </c>
      <c r="E124" s="38">
        <v>81</v>
      </c>
      <c r="F124" s="40" t="s">
        <v>180</v>
      </c>
      <c r="G124" s="15">
        <f t="shared" si="3"/>
        <v>3</v>
      </c>
      <c r="H124" s="15" t="str">
        <f t="shared" si="4"/>
        <v>May</v>
      </c>
      <c r="I124" s="15">
        <f t="shared" si="5"/>
        <v>2022</v>
      </c>
    </row>
    <row r="125" spans="1:9" x14ac:dyDescent="0.35">
      <c r="A125" s="37">
        <v>44685</v>
      </c>
      <c r="B125" s="15" t="s">
        <v>26</v>
      </c>
      <c r="C125" s="25">
        <v>25</v>
      </c>
      <c r="D125" s="39">
        <v>35</v>
      </c>
      <c r="E125" s="38">
        <v>31.5</v>
      </c>
      <c r="F125" s="40" t="s">
        <v>180</v>
      </c>
      <c r="G125" s="15">
        <f t="shared" si="3"/>
        <v>4</v>
      </c>
      <c r="H125" s="15" t="str">
        <f t="shared" si="4"/>
        <v>May</v>
      </c>
      <c r="I125" s="15">
        <f t="shared" si="5"/>
        <v>2022</v>
      </c>
    </row>
    <row r="126" spans="1:9" x14ac:dyDescent="0.35">
      <c r="A126" s="37">
        <v>44686</v>
      </c>
      <c r="B126" s="15" t="s">
        <v>27</v>
      </c>
      <c r="C126" s="25">
        <v>30</v>
      </c>
      <c r="D126" s="39">
        <v>145</v>
      </c>
      <c r="E126" s="38">
        <v>130.5</v>
      </c>
      <c r="F126" s="40" t="s">
        <v>182</v>
      </c>
      <c r="G126" s="15">
        <f t="shared" si="3"/>
        <v>5</v>
      </c>
      <c r="H126" s="15" t="str">
        <f t="shared" si="4"/>
        <v>May</v>
      </c>
      <c r="I126" s="15">
        <f t="shared" si="5"/>
        <v>2022</v>
      </c>
    </row>
    <row r="127" spans="1:9" x14ac:dyDescent="0.35">
      <c r="A127" s="37">
        <v>44687</v>
      </c>
      <c r="B127" s="15" t="s">
        <v>28</v>
      </c>
      <c r="C127" s="25">
        <v>10</v>
      </c>
      <c r="D127" s="39">
        <v>125</v>
      </c>
      <c r="E127" s="38">
        <v>112.5</v>
      </c>
      <c r="F127" s="40" t="s">
        <v>180</v>
      </c>
      <c r="G127" s="15">
        <f t="shared" si="3"/>
        <v>6</v>
      </c>
      <c r="H127" s="15" t="str">
        <f t="shared" si="4"/>
        <v>May</v>
      </c>
      <c r="I127" s="15">
        <f t="shared" si="5"/>
        <v>2022</v>
      </c>
    </row>
    <row r="128" spans="1:9" x14ac:dyDescent="0.35">
      <c r="A128" s="37">
        <v>44688</v>
      </c>
      <c r="B128" s="15" t="s">
        <v>29</v>
      </c>
      <c r="C128" s="25">
        <v>5</v>
      </c>
      <c r="D128" s="39">
        <v>56</v>
      </c>
      <c r="E128" s="38">
        <v>50.4</v>
      </c>
      <c r="F128" s="40" t="s">
        <v>183</v>
      </c>
      <c r="G128" s="15">
        <f t="shared" si="3"/>
        <v>7</v>
      </c>
      <c r="H128" s="15" t="str">
        <f t="shared" si="4"/>
        <v>May</v>
      </c>
      <c r="I128" s="15">
        <f t="shared" si="5"/>
        <v>2022</v>
      </c>
    </row>
    <row r="129" spans="1:9" x14ac:dyDescent="0.35">
      <c r="A129" s="37">
        <v>44689</v>
      </c>
      <c r="B129" s="15" t="s">
        <v>30</v>
      </c>
      <c r="C129" s="25">
        <v>20</v>
      </c>
      <c r="D129" s="39">
        <v>34</v>
      </c>
      <c r="E129" s="38">
        <v>30.6</v>
      </c>
      <c r="F129" s="40" t="s">
        <v>181</v>
      </c>
      <c r="G129" s="15">
        <f t="shared" si="3"/>
        <v>8</v>
      </c>
      <c r="H129" s="15" t="str">
        <f t="shared" si="4"/>
        <v>May</v>
      </c>
      <c r="I129" s="15">
        <f t="shared" si="5"/>
        <v>2022</v>
      </c>
    </row>
    <row r="130" spans="1:9" x14ac:dyDescent="0.35">
      <c r="A130" s="37">
        <v>44690</v>
      </c>
      <c r="B130" s="15" t="s">
        <v>31</v>
      </c>
      <c r="C130" s="25">
        <v>15</v>
      </c>
      <c r="D130" s="39">
        <v>87</v>
      </c>
      <c r="E130" s="38">
        <v>78.3</v>
      </c>
      <c r="F130" s="40" t="s">
        <v>180</v>
      </c>
      <c r="G130" s="15">
        <f t="shared" si="3"/>
        <v>9</v>
      </c>
      <c r="H130" s="15" t="str">
        <f t="shared" si="4"/>
        <v>May</v>
      </c>
      <c r="I130" s="15">
        <f t="shared" si="5"/>
        <v>2022</v>
      </c>
    </row>
    <row r="131" spans="1:9" x14ac:dyDescent="0.35">
      <c r="A131" s="37">
        <v>44691</v>
      </c>
      <c r="B131" s="15" t="s">
        <v>32</v>
      </c>
      <c r="C131" s="25">
        <v>10</v>
      </c>
      <c r="D131" s="39">
        <v>120</v>
      </c>
      <c r="E131" s="38">
        <v>108</v>
      </c>
      <c r="F131" s="40" t="s">
        <v>182</v>
      </c>
      <c r="G131" s="15">
        <f t="shared" ref="G131:G194" si="6">DAY(A131)</f>
        <v>10</v>
      </c>
      <c r="H131" s="15" t="str">
        <f t="shared" ref="H131:H194" si="7">TEXT(A131,"mmm")</f>
        <v>May</v>
      </c>
      <c r="I131" s="15">
        <f t="shared" ref="I131:I194" si="8">YEAR(A131)</f>
        <v>2022</v>
      </c>
    </row>
    <row r="132" spans="1:9" x14ac:dyDescent="0.35">
      <c r="A132" s="37">
        <v>44692</v>
      </c>
      <c r="B132" s="15" t="s">
        <v>33</v>
      </c>
      <c r="C132" s="25">
        <v>25</v>
      </c>
      <c r="D132" s="39">
        <v>148</v>
      </c>
      <c r="E132" s="38">
        <v>133.19999999999999</v>
      </c>
      <c r="F132" s="40" t="s">
        <v>180</v>
      </c>
      <c r="G132" s="15">
        <f t="shared" si="6"/>
        <v>11</v>
      </c>
      <c r="H132" s="15" t="str">
        <f t="shared" si="7"/>
        <v>May</v>
      </c>
      <c r="I132" s="15">
        <f t="shared" si="8"/>
        <v>2022</v>
      </c>
    </row>
    <row r="133" spans="1:9" x14ac:dyDescent="0.35">
      <c r="A133" s="37">
        <v>44693</v>
      </c>
      <c r="B133" s="15" t="s">
        <v>34</v>
      </c>
      <c r="C133" s="25">
        <v>30</v>
      </c>
      <c r="D133" s="39">
        <v>300</v>
      </c>
      <c r="E133" s="38">
        <v>270</v>
      </c>
      <c r="F133" s="40" t="s">
        <v>180</v>
      </c>
      <c r="G133" s="15">
        <f t="shared" si="6"/>
        <v>12</v>
      </c>
      <c r="H133" s="15" t="str">
        <f t="shared" si="7"/>
        <v>May</v>
      </c>
      <c r="I133" s="15">
        <f t="shared" si="8"/>
        <v>2022</v>
      </c>
    </row>
    <row r="134" spans="1:9" x14ac:dyDescent="0.35">
      <c r="A134" s="37">
        <v>44694</v>
      </c>
      <c r="B134" s="15" t="s">
        <v>35</v>
      </c>
      <c r="C134" s="25">
        <v>10</v>
      </c>
      <c r="D134" s="39">
        <v>320</v>
      </c>
      <c r="E134" s="38">
        <v>288</v>
      </c>
      <c r="F134" s="40" t="s">
        <v>182</v>
      </c>
      <c r="G134" s="15">
        <f t="shared" si="6"/>
        <v>13</v>
      </c>
      <c r="H134" s="15" t="str">
        <f t="shared" si="7"/>
        <v>May</v>
      </c>
      <c r="I134" s="15">
        <f t="shared" si="8"/>
        <v>2022</v>
      </c>
    </row>
    <row r="135" spans="1:9" x14ac:dyDescent="0.35">
      <c r="A135" s="37">
        <v>44695</v>
      </c>
      <c r="B135" s="15" t="s">
        <v>36</v>
      </c>
      <c r="C135" s="25">
        <v>20</v>
      </c>
      <c r="D135" s="39">
        <v>530</v>
      </c>
      <c r="E135" s="38">
        <v>477</v>
      </c>
      <c r="F135" s="40" t="s">
        <v>180</v>
      </c>
      <c r="G135" s="15">
        <f t="shared" si="6"/>
        <v>14</v>
      </c>
      <c r="H135" s="15" t="str">
        <f t="shared" si="7"/>
        <v>May</v>
      </c>
      <c r="I135" s="15">
        <f t="shared" si="8"/>
        <v>2022</v>
      </c>
    </row>
    <row r="136" spans="1:9" x14ac:dyDescent="0.35">
      <c r="A136" s="37">
        <v>44696</v>
      </c>
      <c r="B136" s="15" t="s">
        <v>37</v>
      </c>
      <c r="C136" s="25">
        <v>5</v>
      </c>
      <c r="D136" s="39">
        <v>5000</v>
      </c>
      <c r="E136" s="38">
        <v>4500</v>
      </c>
      <c r="F136" s="40" t="s">
        <v>183</v>
      </c>
      <c r="G136" s="15">
        <f t="shared" si="6"/>
        <v>15</v>
      </c>
      <c r="H136" s="15" t="str">
        <f t="shared" si="7"/>
        <v>May</v>
      </c>
      <c r="I136" s="15">
        <f t="shared" si="8"/>
        <v>2022</v>
      </c>
    </row>
    <row r="137" spans="1:9" x14ac:dyDescent="0.35">
      <c r="A137" s="37">
        <v>44697</v>
      </c>
      <c r="B137" s="15" t="s">
        <v>38</v>
      </c>
      <c r="C137" s="25">
        <v>15</v>
      </c>
      <c r="D137" s="39">
        <v>650</v>
      </c>
      <c r="E137" s="38">
        <v>585</v>
      </c>
      <c r="F137" s="40" t="s">
        <v>181</v>
      </c>
      <c r="G137" s="15">
        <f t="shared" si="6"/>
        <v>16</v>
      </c>
      <c r="H137" s="15" t="str">
        <f t="shared" si="7"/>
        <v>May</v>
      </c>
      <c r="I137" s="15">
        <f t="shared" si="8"/>
        <v>2022</v>
      </c>
    </row>
    <row r="138" spans="1:9" x14ac:dyDescent="0.35">
      <c r="A138" s="37">
        <v>44698</v>
      </c>
      <c r="B138" s="15" t="s">
        <v>39</v>
      </c>
      <c r="C138" s="25">
        <v>20</v>
      </c>
      <c r="D138" s="39">
        <v>640</v>
      </c>
      <c r="E138" s="38">
        <v>576</v>
      </c>
      <c r="F138" s="40" t="s">
        <v>181</v>
      </c>
      <c r="G138" s="15">
        <f t="shared" si="6"/>
        <v>17</v>
      </c>
      <c r="H138" s="15" t="str">
        <f t="shared" si="7"/>
        <v>May</v>
      </c>
      <c r="I138" s="15">
        <f t="shared" si="8"/>
        <v>2022</v>
      </c>
    </row>
    <row r="139" spans="1:9" x14ac:dyDescent="0.35">
      <c r="A139" s="37">
        <v>44699</v>
      </c>
      <c r="B139" s="15" t="s">
        <v>40</v>
      </c>
      <c r="C139" s="25">
        <v>30</v>
      </c>
      <c r="D139" s="39">
        <v>360</v>
      </c>
      <c r="E139" s="38">
        <v>324</v>
      </c>
      <c r="F139" s="40" t="s">
        <v>180</v>
      </c>
      <c r="G139" s="15">
        <f t="shared" si="6"/>
        <v>18</v>
      </c>
      <c r="H139" s="15" t="str">
        <f t="shared" si="7"/>
        <v>May</v>
      </c>
      <c r="I139" s="15">
        <f t="shared" si="8"/>
        <v>2022</v>
      </c>
    </row>
    <row r="140" spans="1:9" x14ac:dyDescent="0.35">
      <c r="A140" s="37">
        <v>44700</v>
      </c>
      <c r="B140" s="15" t="s">
        <v>41</v>
      </c>
      <c r="C140" s="25">
        <v>10</v>
      </c>
      <c r="D140" s="39">
        <v>540</v>
      </c>
      <c r="E140" s="38">
        <v>486</v>
      </c>
      <c r="F140" s="40" t="s">
        <v>182</v>
      </c>
      <c r="G140" s="15">
        <f t="shared" si="6"/>
        <v>19</v>
      </c>
      <c r="H140" s="15" t="str">
        <f t="shared" si="7"/>
        <v>May</v>
      </c>
      <c r="I140" s="15">
        <f t="shared" si="8"/>
        <v>2022</v>
      </c>
    </row>
    <row r="141" spans="1:9" x14ac:dyDescent="0.35">
      <c r="A141" s="37">
        <v>44701</v>
      </c>
      <c r="B141" s="15" t="s">
        <v>42</v>
      </c>
      <c r="C141" s="25">
        <v>5</v>
      </c>
      <c r="D141" s="39">
        <v>400</v>
      </c>
      <c r="E141" s="38">
        <v>360</v>
      </c>
      <c r="F141" s="40" t="s">
        <v>180</v>
      </c>
      <c r="G141" s="15">
        <f t="shared" si="6"/>
        <v>20</v>
      </c>
      <c r="H141" s="15" t="str">
        <f t="shared" si="7"/>
        <v>May</v>
      </c>
      <c r="I141" s="15">
        <f t="shared" si="8"/>
        <v>2022</v>
      </c>
    </row>
    <row r="142" spans="1:9" x14ac:dyDescent="0.35">
      <c r="A142" s="37">
        <v>44702</v>
      </c>
      <c r="B142" s="15" t="s">
        <v>23</v>
      </c>
      <c r="C142" s="25">
        <v>10</v>
      </c>
      <c r="D142" s="39">
        <v>3</v>
      </c>
      <c r="E142" s="38">
        <v>2.7</v>
      </c>
      <c r="F142" s="40" t="s">
        <v>180</v>
      </c>
      <c r="G142" s="15">
        <f t="shared" si="6"/>
        <v>21</v>
      </c>
      <c r="H142" s="15" t="str">
        <f t="shared" si="7"/>
        <v>May</v>
      </c>
      <c r="I142" s="15">
        <f t="shared" si="8"/>
        <v>2022</v>
      </c>
    </row>
    <row r="143" spans="1:9" x14ac:dyDescent="0.35">
      <c r="A143" s="37">
        <v>44703</v>
      </c>
      <c r="B143" s="15" t="s">
        <v>24</v>
      </c>
      <c r="C143" s="25">
        <v>15</v>
      </c>
      <c r="D143" s="39">
        <v>45</v>
      </c>
      <c r="E143" s="38">
        <v>40.5</v>
      </c>
      <c r="F143" s="40" t="s">
        <v>182</v>
      </c>
      <c r="G143" s="15">
        <f t="shared" si="6"/>
        <v>22</v>
      </c>
      <c r="H143" s="15" t="str">
        <f t="shared" si="7"/>
        <v>May</v>
      </c>
      <c r="I143" s="15">
        <f t="shared" si="8"/>
        <v>2022</v>
      </c>
    </row>
    <row r="144" spans="1:9" x14ac:dyDescent="0.35">
      <c r="A144" s="37">
        <v>44704</v>
      </c>
      <c r="B144" s="15" t="s">
        <v>25</v>
      </c>
      <c r="C144" s="25">
        <v>20</v>
      </c>
      <c r="D144" s="39">
        <v>90</v>
      </c>
      <c r="E144" s="38">
        <v>81</v>
      </c>
      <c r="F144" s="40" t="s">
        <v>180</v>
      </c>
      <c r="G144" s="15">
        <f t="shared" si="6"/>
        <v>23</v>
      </c>
      <c r="H144" s="15" t="str">
        <f t="shared" si="7"/>
        <v>May</v>
      </c>
      <c r="I144" s="15">
        <f t="shared" si="8"/>
        <v>2022</v>
      </c>
    </row>
    <row r="145" spans="1:9" x14ac:dyDescent="0.35">
      <c r="A145" s="37">
        <v>44705</v>
      </c>
      <c r="B145" s="15" t="s">
        <v>26</v>
      </c>
      <c r="C145" s="25">
        <v>25</v>
      </c>
      <c r="D145" s="39">
        <v>35</v>
      </c>
      <c r="E145" s="38">
        <v>31.5</v>
      </c>
      <c r="F145" s="40" t="s">
        <v>183</v>
      </c>
      <c r="G145" s="15">
        <f t="shared" si="6"/>
        <v>24</v>
      </c>
      <c r="H145" s="15" t="str">
        <f t="shared" si="7"/>
        <v>May</v>
      </c>
      <c r="I145" s="15">
        <f t="shared" si="8"/>
        <v>2022</v>
      </c>
    </row>
    <row r="146" spans="1:9" x14ac:dyDescent="0.35">
      <c r="A146" s="37">
        <v>44706</v>
      </c>
      <c r="B146" s="15" t="s">
        <v>27</v>
      </c>
      <c r="C146" s="25">
        <v>30</v>
      </c>
      <c r="D146" s="39">
        <v>145</v>
      </c>
      <c r="E146" s="38">
        <v>130.5</v>
      </c>
      <c r="F146" s="40" t="s">
        <v>181</v>
      </c>
      <c r="G146" s="15">
        <f t="shared" si="6"/>
        <v>25</v>
      </c>
      <c r="H146" s="15" t="str">
        <f t="shared" si="7"/>
        <v>May</v>
      </c>
      <c r="I146" s="15">
        <f t="shared" si="8"/>
        <v>2022</v>
      </c>
    </row>
    <row r="147" spans="1:9" x14ac:dyDescent="0.35">
      <c r="A147" s="37">
        <v>44707</v>
      </c>
      <c r="B147" s="15" t="s">
        <v>28</v>
      </c>
      <c r="C147" s="25">
        <v>10</v>
      </c>
      <c r="D147" s="39">
        <v>125</v>
      </c>
      <c r="E147" s="38">
        <v>112.5</v>
      </c>
      <c r="F147" s="40" t="s">
        <v>181</v>
      </c>
      <c r="G147" s="15">
        <f t="shared" si="6"/>
        <v>26</v>
      </c>
      <c r="H147" s="15" t="str">
        <f t="shared" si="7"/>
        <v>May</v>
      </c>
      <c r="I147" s="15">
        <f t="shared" si="8"/>
        <v>2022</v>
      </c>
    </row>
    <row r="148" spans="1:9" x14ac:dyDescent="0.35">
      <c r="A148" s="37">
        <v>44708</v>
      </c>
      <c r="B148" s="15" t="s">
        <v>29</v>
      </c>
      <c r="C148" s="25">
        <v>5</v>
      </c>
      <c r="D148" s="39">
        <v>56</v>
      </c>
      <c r="E148" s="38">
        <v>50.4</v>
      </c>
      <c r="F148" s="40" t="s">
        <v>180</v>
      </c>
      <c r="G148" s="15">
        <f t="shared" si="6"/>
        <v>27</v>
      </c>
      <c r="H148" s="15" t="str">
        <f t="shared" si="7"/>
        <v>May</v>
      </c>
      <c r="I148" s="15">
        <f t="shared" si="8"/>
        <v>2022</v>
      </c>
    </row>
    <row r="149" spans="1:9" x14ac:dyDescent="0.35">
      <c r="A149" s="37">
        <v>44709</v>
      </c>
      <c r="B149" s="15" t="s">
        <v>30</v>
      </c>
      <c r="C149" s="25">
        <v>20</v>
      </c>
      <c r="D149" s="39">
        <v>34</v>
      </c>
      <c r="E149" s="38">
        <v>30.6</v>
      </c>
      <c r="F149" s="40" t="s">
        <v>182</v>
      </c>
      <c r="G149" s="15">
        <f t="shared" si="6"/>
        <v>28</v>
      </c>
      <c r="H149" s="15" t="str">
        <f t="shared" si="7"/>
        <v>May</v>
      </c>
      <c r="I149" s="15">
        <f t="shared" si="8"/>
        <v>2022</v>
      </c>
    </row>
    <row r="150" spans="1:9" x14ac:dyDescent="0.35">
      <c r="A150" s="37">
        <v>44710</v>
      </c>
      <c r="B150" s="15" t="s">
        <v>31</v>
      </c>
      <c r="C150" s="25">
        <v>15</v>
      </c>
      <c r="D150" s="39">
        <v>87</v>
      </c>
      <c r="E150" s="38">
        <v>78.3</v>
      </c>
      <c r="F150" s="40" t="s">
        <v>180</v>
      </c>
      <c r="G150" s="15">
        <f t="shared" si="6"/>
        <v>29</v>
      </c>
      <c r="H150" s="15" t="str">
        <f t="shared" si="7"/>
        <v>May</v>
      </c>
      <c r="I150" s="15">
        <f t="shared" si="8"/>
        <v>2022</v>
      </c>
    </row>
    <row r="151" spans="1:9" x14ac:dyDescent="0.35">
      <c r="A151" s="37">
        <v>44711</v>
      </c>
      <c r="B151" s="15" t="s">
        <v>32</v>
      </c>
      <c r="C151" s="25">
        <v>10</v>
      </c>
      <c r="D151" s="39">
        <v>120</v>
      </c>
      <c r="E151" s="38">
        <v>108</v>
      </c>
      <c r="F151" s="40" t="s">
        <v>180</v>
      </c>
      <c r="G151" s="15">
        <f t="shared" si="6"/>
        <v>30</v>
      </c>
      <c r="H151" s="15" t="str">
        <f t="shared" si="7"/>
        <v>May</v>
      </c>
      <c r="I151" s="15">
        <f t="shared" si="8"/>
        <v>2022</v>
      </c>
    </row>
    <row r="152" spans="1:9" x14ac:dyDescent="0.35">
      <c r="A152" s="37">
        <v>44712</v>
      </c>
      <c r="B152" s="15" t="s">
        <v>33</v>
      </c>
      <c r="C152" s="25">
        <v>25</v>
      </c>
      <c r="D152" s="39">
        <v>148</v>
      </c>
      <c r="E152" s="38">
        <v>133.19999999999999</v>
      </c>
      <c r="F152" s="40" t="s">
        <v>182</v>
      </c>
      <c r="G152" s="15">
        <f t="shared" si="6"/>
        <v>31</v>
      </c>
      <c r="H152" s="15" t="str">
        <f t="shared" si="7"/>
        <v>May</v>
      </c>
      <c r="I152" s="15">
        <f t="shared" si="8"/>
        <v>2022</v>
      </c>
    </row>
    <row r="153" spans="1:9" x14ac:dyDescent="0.35">
      <c r="A153" s="37">
        <v>44713</v>
      </c>
      <c r="B153" s="15" t="s">
        <v>34</v>
      </c>
      <c r="C153" s="25">
        <v>30</v>
      </c>
      <c r="D153" s="39">
        <v>300</v>
      </c>
      <c r="E153" s="38">
        <v>270</v>
      </c>
      <c r="F153" s="40" t="s">
        <v>180</v>
      </c>
      <c r="G153" s="15">
        <f t="shared" si="6"/>
        <v>1</v>
      </c>
      <c r="H153" s="15" t="str">
        <f t="shared" si="7"/>
        <v>Jun</v>
      </c>
      <c r="I153" s="15">
        <f t="shared" si="8"/>
        <v>2022</v>
      </c>
    </row>
    <row r="154" spans="1:9" x14ac:dyDescent="0.35">
      <c r="A154" s="37">
        <v>44714</v>
      </c>
      <c r="B154" s="15" t="s">
        <v>35</v>
      </c>
      <c r="C154" s="25">
        <v>10</v>
      </c>
      <c r="D154" s="39">
        <v>320</v>
      </c>
      <c r="E154" s="38">
        <v>288</v>
      </c>
      <c r="F154" s="40" t="s">
        <v>183</v>
      </c>
      <c r="G154" s="15">
        <f t="shared" si="6"/>
        <v>2</v>
      </c>
      <c r="H154" s="15" t="str">
        <f t="shared" si="7"/>
        <v>Jun</v>
      </c>
      <c r="I154" s="15">
        <f t="shared" si="8"/>
        <v>2022</v>
      </c>
    </row>
    <row r="155" spans="1:9" x14ac:dyDescent="0.35">
      <c r="A155" s="37">
        <v>44715</v>
      </c>
      <c r="B155" s="15" t="s">
        <v>36</v>
      </c>
      <c r="C155" s="25">
        <v>20</v>
      </c>
      <c r="D155" s="39">
        <v>530</v>
      </c>
      <c r="E155" s="38">
        <v>477</v>
      </c>
      <c r="F155" s="40" t="s">
        <v>181</v>
      </c>
      <c r="G155" s="15">
        <f t="shared" si="6"/>
        <v>3</v>
      </c>
      <c r="H155" s="15" t="str">
        <f t="shared" si="7"/>
        <v>Jun</v>
      </c>
      <c r="I155" s="15">
        <f t="shared" si="8"/>
        <v>2022</v>
      </c>
    </row>
    <row r="156" spans="1:9" x14ac:dyDescent="0.35">
      <c r="A156" s="37">
        <v>44716</v>
      </c>
      <c r="B156" s="15" t="s">
        <v>37</v>
      </c>
      <c r="C156" s="25">
        <v>5</v>
      </c>
      <c r="D156" s="39">
        <v>5000</v>
      </c>
      <c r="E156" s="38">
        <v>4500</v>
      </c>
      <c r="F156" s="40" t="s">
        <v>181</v>
      </c>
      <c r="G156" s="15">
        <f t="shared" si="6"/>
        <v>4</v>
      </c>
      <c r="H156" s="15" t="str">
        <f t="shared" si="7"/>
        <v>Jun</v>
      </c>
      <c r="I156" s="15">
        <f t="shared" si="8"/>
        <v>2022</v>
      </c>
    </row>
    <row r="157" spans="1:9" x14ac:dyDescent="0.35">
      <c r="A157" s="37">
        <v>44717</v>
      </c>
      <c r="B157" s="15" t="s">
        <v>38</v>
      </c>
      <c r="C157" s="25">
        <v>15</v>
      </c>
      <c r="D157" s="39">
        <v>650</v>
      </c>
      <c r="E157" s="38">
        <v>585</v>
      </c>
      <c r="F157" s="40" t="s">
        <v>180</v>
      </c>
      <c r="G157" s="15">
        <f t="shared" si="6"/>
        <v>5</v>
      </c>
      <c r="H157" s="15" t="str">
        <f t="shared" si="7"/>
        <v>Jun</v>
      </c>
      <c r="I157" s="15">
        <f t="shared" si="8"/>
        <v>2022</v>
      </c>
    </row>
    <row r="158" spans="1:9" x14ac:dyDescent="0.35">
      <c r="A158" s="37">
        <v>44718</v>
      </c>
      <c r="B158" s="15" t="s">
        <v>39</v>
      </c>
      <c r="C158" s="25">
        <v>20</v>
      </c>
      <c r="D158" s="39">
        <v>640</v>
      </c>
      <c r="E158" s="38">
        <v>576</v>
      </c>
      <c r="F158" s="40" t="s">
        <v>182</v>
      </c>
      <c r="G158" s="15">
        <f t="shared" si="6"/>
        <v>6</v>
      </c>
      <c r="H158" s="15" t="str">
        <f t="shared" si="7"/>
        <v>Jun</v>
      </c>
      <c r="I158" s="15">
        <f t="shared" si="8"/>
        <v>2022</v>
      </c>
    </row>
    <row r="159" spans="1:9" x14ac:dyDescent="0.35">
      <c r="A159" s="37">
        <v>44719</v>
      </c>
      <c r="B159" s="15" t="s">
        <v>40</v>
      </c>
      <c r="C159" s="25">
        <v>30</v>
      </c>
      <c r="D159" s="39">
        <v>360</v>
      </c>
      <c r="E159" s="38">
        <v>324</v>
      </c>
      <c r="F159" s="40" t="s">
        <v>180</v>
      </c>
      <c r="G159" s="15">
        <f t="shared" si="6"/>
        <v>7</v>
      </c>
      <c r="H159" s="15" t="str">
        <f t="shared" si="7"/>
        <v>Jun</v>
      </c>
      <c r="I159" s="15">
        <f t="shared" si="8"/>
        <v>2022</v>
      </c>
    </row>
    <row r="160" spans="1:9" x14ac:dyDescent="0.35">
      <c r="A160" s="37">
        <v>44720</v>
      </c>
      <c r="B160" s="15" t="s">
        <v>41</v>
      </c>
      <c r="C160" s="25">
        <v>10</v>
      </c>
      <c r="D160" s="39">
        <v>540</v>
      </c>
      <c r="E160" s="38">
        <v>486</v>
      </c>
      <c r="F160" s="40" t="s">
        <v>180</v>
      </c>
      <c r="G160" s="15">
        <f t="shared" si="6"/>
        <v>8</v>
      </c>
      <c r="H160" s="15" t="str">
        <f t="shared" si="7"/>
        <v>Jun</v>
      </c>
      <c r="I160" s="15">
        <f t="shared" si="8"/>
        <v>2022</v>
      </c>
    </row>
    <row r="161" spans="1:9" x14ac:dyDescent="0.35">
      <c r="A161" s="37">
        <v>44721</v>
      </c>
      <c r="B161" s="15" t="s">
        <v>42</v>
      </c>
      <c r="C161" s="25">
        <v>5</v>
      </c>
      <c r="D161" s="39">
        <v>400</v>
      </c>
      <c r="E161" s="38">
        <v>360</v>
      </c>
      <c r="F161" s="40" t="s">
        <v>182</v>
      </c>
      <c r="G161" s="15">
        <f t="shared" si="6"/>
        <v>9</v>
      </c>
      <c r="H161" s="15" t="str">
        <f t="shared" si="7"/>
        <v>Jun</v>
      </c>
      <c r="I161" s="15">
        <f t="shared" si="8"/>
        <v>2022</v>
      </c>
    </row>
    <row r="162" spans="1:9" x14ac:dyDescent="0.35">
      <c r="A162" s="37">
        <v>44722</v>
      </c>
      <c r="B162" s="15" t="s">
        <v>23</v>
      </c>
      <c r="C162" s="25">
        <v>10</v>
      </c>
      <c r="D162" s="39">
        <v>3</v>
      </c>
      <c r="E162" s="38">
        <v>2.7</v>
      </c>
      <c r="F162" s="40" t="s">
        <v>180</v>
      </c>
      <c r="G162" s="15">
        <f t="shared" si="6"/>
        <v>10</v>
      </c>
      <c r="H162" s="15" t="str">
        <f t="shared" si="7"/>
        <v>Jun</v>
      </c>
      <c r="I162" s="15">
        <f t="shared" si="8"/>
        <v>2022</v>
      </c>
    </row>
    <row r="163" spans="1:9" x14ac:dyDescent="0.35">
      <c r="A163" s="37">
        <v>44723</v>
      </c>
      <c r="B163" s="15" t="s">
        <v>24</v>
      </c>
      <c r="C163" s="25">
        <v>15</v>
      </c>
      <c r="D163" s="39">
        <v>45</v>
      </c>
      <c r="E163" s="38">
        <v>40.5</v>
      </c>
      <c r="F163" s="40" t="s">
        <v>183</v>
      </c>
      <c r="G163" s="15">
        <f t="shared" si="6"/>
        <v>11</v>
      </c>
      <c r="H163" s="15" t="str">
        <f t="shared" si="7"/>
        <v>Jun</v>
      </c>
      <c r="I163" s="15">
        <f t="shared" si="8"/>
        <v>2022</v>
      </c>
    </row>
    <row r="164" spans="1:9" x14ac:dyDescent="0.35">
      <c r="A164" s="37">
        <v>44724</v>
      </c>
      <c r="B164" s="15" t="s">
        <v>25</v>
      </c>
      <c r="C164" s="25">
        <v>20</v>
      </c>
      <c r="D164" s="39">
        <v>90</v>
      </c>
      <c r="E164" s="38">
        <v>81</v>
      </c>
      <c r="F164" s="40" t="s">
        <v>181</v>
      </c>
      <c r="G164" s="15">
        <f t="shared" si="6"/>
        <v>12</v>
      </c>
      <c r="H164" s="15" t="str">
        <f t="shared" si="7"/>
        <v>Jun</v>
      </c>
      <c r="I164" s="15">
        <f t="shared" si="8"/>
        <v>2022</v>
      </c>
    </row>
    <row r="165" spans="1:9" x14ac:dyDescent="0.35">
      <c r="A165" s="37">
        <v>44725</v>
      </c>
      <c r="B165" s="15" t="s">
        <v>26</v>
      </c>
      <c r="C165" s="25">
        <v>25</v>
      </c>
      <c r="D165" s="39">
        <v>35</v>
      </c>
      <c r="E165" s="38">
        <v>31.5</v>
      </c>
      <c r="F165" s="40" t="s">
        <v>181</v>
      </c>
      <c r="G165" s="15">
        <f t="shared" si="6"/>
        <v>13</v>
      </c>
      <c r="H165" s="15" t="str">
        <f t="shared" si="7"/>
        <v>Jun</v>
      </c>
      <c r="I165" s="15">
        <f t="shared" si="8"/>
        <v>2022</v>
      </c>
    </row>
    <row r="166" spans="1:9" x14ac:dyDescent="0.35">
      <c r="A166" s="37">
        <v>44726</v>
      </c>
      <c r="B166" s="15" t="s">
        <v>27</v>
      </c>
      <c r="C166" s="25">
        <v>30</v>
      </c>
      <c r="D166" s="39">
        <v>145</v>
      </c>
      <c r="E166" s="38">
        <v>130.5</v>
      </c>
      <c r="F166" s="40" t="s">
        <v>180</v>
      </c>
      <c r="G166" s="15">
        <f t="shared" si="6"/>
        <v>14</v>
      </c>
      <c r="H166" s="15" t="str">
        <f t="shared" si="7"/>
        <v>Jun</v>
      </c>
      <c r="I166" s="15">
        <f t="shared" si="8"/>
        <v>2022</v>
      </c>
    </row>
    <row r="167" spans="1:9" x14ac:dyDescent="0.35">
      <c r="A167" s="37">
        <v>44727</v>
      </c>
      <c r="B167" s="15" t="s">
        <v>28</v>
      </c>
      <c r="C167" s="25">
        <v>10</v>
      </c>
      <c r="D167" s="39">
        <v>125</v>
      </c>
      <c r="E167" s="38">
        <v>112.5</v>
      </c>
      <c r="F167" s="40" t="s">
        <v>182</v>
      </c>
      <c r="G167" s="15">
        <f t="shared" si="6"/>
        <v>15</v>
      </c>
      <c r="H167" s="15" t="str">
        <f t="shared" si="7"/>
        <v>Jun</v>
      </c>
      <c r="I167" s="15">
        <f t="shared" si="8"/>
        <v>2022</v>
      </c>
    </row>
    <row r="168" spans="1:9" x14ac:dyDescent="0.35">
      <c r="A168" s="37">
        <v>44728</v>
      </c>
      <c r="B168" s="15" t="s">
        <v>29</v>
      </c>
      <c r="C168" s="25">
        <v>5</v>
      </c>
      <c r="D168" s="39">
        <v>56</v>
      </c>
      <c r="E168" s="38">
        <v>50.4</v>
      </c>
      <c r="F168" s="40" t="s">
        <v>180</v>
      </c>
      <c r="G168" s="15">
        <f t="shared" si="6"/>
        <v>16</v>
      </c>
      <c r="H168" s="15" t="str">
        <f t="shared" si="7"/>
        <v>Jun</v>
      </c>
      <c r="I168" s="15">
        <f t="shared" si="8"/>
        <v>2022</v>
      </c>
    </row>
    <row r="169" spans="1:9" x14ac:dyDescent="0.35">
      <c r="A169" s="37">
        <v>44729</v>
      </c>
      <c r="B169" s="15" t="s">
        <v>30</v>
      </c>
      <c r="C169" s="25">
        <v>20</v>
      </c>
      <c r="D169" s="39">
        <v>34</v>
      </c>
      <c r="E169" s="38">
        <v>30.6</v>
      </c>
      <c r="F169" s="40" t="s">
        <v>180</v>
      </c>
      <c r="G169" s="15">
        <f t="shared" si="6"/>
        <v>17</v>
      </c>
      <c r="H169" s="15" t="str">
        <f t="shared" si="7"/>
        <v>Jun</v>
      </c>
      <c r="I169" s="15">
        <f t="shared" si="8"/>
        <v>2022</v>
      </c>
    </row>
    <row r="170" spans="1:9" x14ac:dyDescent="0.35">
      <c r="A170" s="37">
        <v>44730</v>
      </c>
      <c r="B170" s="15" t="s">
        <v>31</v>
      </c>
      <c r="C170" s="25">
        <v>15</v>
      </c>
      <c r="D170" s="39">
        <v>87</v>
      </c>
      <c r="E170" s="38">
        <v>78.3</v>
      </c>
      <c r="F170" s="40" t="s">
        <v>182</v>
      </c>
      <c r="G170" s="15">
        <f t="shared" si="6"/>
        <v>18</v>
      </c>
      <c r="H170" s="15" t="str">
        <f t="shared" si="7"/>
        <v>Jun</v>
      </c>
      <c r="I170" s="15">
        <f t="shared" si="8"/>
        <v>2022</v>
      </c>
    </row>
    <row r="171" spans="1:9" x14ac:dyDescent="0.35">
      <c r="A171" s="37">
        <v>44731</v>
      </c>
      <c r="B171" s="15" t="s">
        <v>32</v>
      </c>
      <c r="C171" s="25">
        <v>10</v>
      </c>
      <c r="D171" s="39">
        <v>120</v>
      </c>
      <c r="E171" s="38">
        <v>108</v>
      </c>
      <c r="F171" s="40" t="s">
        <v>180</v>
      </c>
      <c r="G171" s="15">
        <f t="shared" si="6"/>
        <v>19</v>
      </c>
      <c r="H171" s="15" t="str">
        <f t="shared" si="7"/>
        <v>Jun</v>
      </c>
      <c r="I171" s="15">
        <f t="shared" si="8"/>
        <v>2022</v>
      </c>
    </row>
    <row r="172" spans="1:9" x14ac:dyDescent="0.35">
      <c r="A172" s="37">
        <v>44732</v>
      </c>
      <c r="B172" s="15" t="s">
        <v>33</v>
      </c>
      <c r="C172" s="25">
        <v>25</v>
      </c>
      <c r="D172" s="39">
        <v>148</v>
      </c>
      <c r="E172" s="38">
        <v>133.19999999999999</v>
      </c>
      <c r="F172" s="40" t="s">
        <v>183</v>
      </c>
      <c r="G172" s="15">
        <f t="shared" si="6"/>
        <v>20</v>
      </c>
      <c r="H172" s="15" t="str">
        <f t="shared" si="7"/>
        <v>Jun</v>
      </c>
      <c r="I172" s="15">
        <f t="shared" si="8"/>
        <v>2022</v>
      </c>
    </row>
    <row r="173" spans="1:9" x14ac:dyDescent="0.35">
      <c r="A173" s="37">
        <v>44733</v>
      </c>
      <c r="B173" s="15" t="s">
        <v>34</v>
      </c>
      <c r="C173" s="25">
        <v>30</v>
      </c>
      <c r="D173" s="39">
        <v>300</v>
      </c>
      <c r="E173" s="38">
        <v>270</v>
      </c>
      <c r="F173" s="40" t="s">
        <v>182</v>
      </c>
      <c r="G173" s="15">
        <f t="shared" si="6"/>
        <v>21</v>
      </c>
      <c r="H173" s="15" t="str">
        <f t="shared" si="7"/>
        <v>Jun</v>
      </c>
      <c r="I173" s="15">
        <f t="shared" si="8"/>
        <v>2022</v>
      </c>
    </row>
    <row r="174" spans="1:9" x14ac:dyDescent="0.35">
      <c r="A174" s="37">
        <v>44734</v>
      </c>
      <c r="B174" s="15" t="s">
        <v>35</v>
      </c>
      <c r="C174" s="25">
        <v>10</v>
      </c>
      <c r="D174" s="39">
        <v>320</v>
      </c>
      <c r="E174" s="38">
        <v>288</v>
      </c>
      <c r="F174" s="40" t="s">
        <v>180</v>
      </c>
      <c r="G174" s="15">
        <f t="shared" si="6"/>
        <v>22</v>
      </c>
      <c r="H174" s="15" t="str">
        <f t="shared" si="7"/>
        <v>Jun</v>
      </c>
      <c r="I174" s="15">
        <f t="shared" si="8"/>
        <v>2022</v>
      </c>
    </row>
    <row r="175" spans="1:9" x14ac:dyDescent="0.35">
      <c r="A175" s="37">
        <v>44735</v>
      </c>
      <c r="B175" s="15" t="s">
        <v>36</v>
      </c>
      <c r="C175" s="25">
        <v>20</v>
      </c>
      <c r="D175" s="39">
        <v>530</v>
      </c>
      <c r="E175" s="38">
        <v>477</v>
      </c>
      <c r="F175" s="40" t="s">
        <v>180</v>
      </c>
      <c r="G175" s="15">
        <f t="shared" si="6"/>
        <v>23</v>
      </c>
      <c r="H175" s="15" t="str">
        <f t="shared" si="7"/>
        <v>Jun</v>
      </c>
      <c r="I175" s="15">
        <f t="shared" si="8"/>
        <v>2022</v>
      </c>
    </row>
    <row r="176" spans="1:9" x14ac:dyDescent="0.35">
      <c r="A176" s="37">
        <v>44736</v>
      </c>
      <c r="B176" s="15" t="s">
        <v>37</v>
      </c>
      <c r="C176" s="25">
        <v>5</v>
      </c>
      <c r="D176" s="39">
        <v>5000</v>
      </c>
      <c r="E176" s="38">
        <v>4500</v>
      </c>
      <c r="F176" s="40" t="s">
        <v>182</v>
      </c>
      <c r="G176" s="15">
        <f t="shared" si="6"/>
        <v>24</v>
      </c>
      <c r="H176" s="15" t="str">
        <f t="shared" si="7"/>
        <v>Jun</v>
      </c>
      <c r="I176" s="15">
        <f t="shared" si="8"/>
        <v>2022</v>
      </c>
    </row>
    <row r="177" spans="1:9" x14ac:dyDescent="0.35">
      <c r="A177" s="37">
        <v>44737</v>
      </c>
      <c r="B177" s="15" t="s">
        <v>38</v>
      </c>
      <c r="C177" s="25">
        <v>15</v>
      </c>
      <c r="D177" s="39">
        <v>650</v>
      </c>
      <c r="E177" s="38">
        <v>585</v>
      </c>
      <c r="F177" s="40" t="s">
        <v>180</v>
      </c>
      <c r="G177" s="15">
        <f t="shared" si="6"/>
        <v>25</v>
      </c>
      <c r="H177" s="15" t="str">
        <f t="shared" si="7"/>
        <v>Jun</v>
      </c>
      <c r="I177" s="15">
        <f t="shared" si="8"/>
        <v>2022</v>
      </c>
    </row>
    <row r="178" spans="1:9" x14ac:dyDescent="0.35">
      <c r="A178" s="37">
        <v>44738</v>
      </c>
      <c r="B178" s="15" t="s">
        <v>39</v>
      </c>
      <c r="C178" s="25">
        <v>20</v>
      </c>
      <c r="D178" s="39">
        <v>640</v>
      </c>
      <c r="E178" s="38">
        <v>576</v>
      </c>
      <c r="F178" s="40" t="s">
        <v>183</v>
      </c>
      <c r="G178" s="15">
        <f t="shared" si="6"/>
        <v>26</v>
      </c>
      <c r="H178" s="15" t="str">
        <f t="shared" si="7"/>
        <v>Jun</v>
      </c>
      <c r="I178" s="15">
        <f t="shared" si="8"/>
        <v>2022</v>
      </c>
    </row>
    <row r="179" spans="1:9" x14ac:dyDescent="0.35">
      <c r="A179" s="37">
        <v>44739</v>
      </c>
      <c r="B179" s="15" t="s">
        <v>40</v>
      </c>
      <c r="C179" s="25">
        <v>30</v>
      </c>
      <c r="D179" s="39">
        <v>360</v>
      </c>
      <c r="E179" s="38">
        <v>324</v>
      </c>
      <c r="F179" s="40" t="s">
        <v>182</v>
      </c>
      <c r="G179" s="15">
        <f t="shared" si="6"/>
        <v>27</v>
      </c>
      <c r="H179" s="15" t="str">
        <f t="shared" si="7"/>
        <v>Jun</v>
      </c>
      <c r="I179" s="15">
        <f t="shared" si="8"/>
        <v>2022</v>
      </c>
    </row>
    <row r="180" spans="1:9" x14ac:dyDescent="0.35">
      <c r="A180" s="37">
        <v>44740</v>
      </c>
      <c r="B180" s="15" t="s">
        <v>41</v>
      </c>
      <c r="C180" s="25">
        <v>10</v>
      </c>
      <c r="D180" s="39">
        <v>540</v>
      </c>
      <c r="E180" s="38">
        <v>486</v>
      </c>
      <c r="F180" s="40" t="s">
        <v>180</v>
      </c>
      <c r="G180" s="15">
        <f t="shared" si="6"/>
        <v>28</v>
      </c>
      <c r="H180" s="15" t="str">
        <f t="shared" si="7"/>
        <v>Jun</v>
      </c>
      <c r="I180" s="15">
        <f t="shared" si="8"/>
        <v>2022</v>
      </c>
    </row>
    <row r="181" spans="1:9" x14ac:dyDescent="0.35">
      <c r="A181" s="37">
        <v>44741</v>
      </c>
      <c r="B181" s="15" t="s">
        <v>42</v>
      </c>
      <c r="C181" s="25">
        <v>5</v>
      </c>
      <c r="D181" s="39">
        <v>400</v>
      </c>
      <c r="E181" s="38">
        <v>360</v>
      </c>
      <c r="F181" s="40" t="s">
        <v>180</v>
      </c>
      <c r="G181" s="15">
        <f t="shared" si="6"/>
        <v>29</v>
      </c>
      <c r="H181" s="15" t="str">
        <f t="shared" si="7"/>
        <v>Jun</v>
      </c>
      <c r="I181" s="15">
        <f t="shared" si="8"/>
        <v>2022</v>
      </c>
    </row>
    <row r="182" spans="1:9" x14ac:dyDescent="0.35">
      <c r="A182" s="37">
        <v>44742</v>
      </c>
      <c r="B182" s="15" t="s">
        <v>23</v>
      </c>
      <c r="C182" s="25">
        <v>10</v>
      </c>
      <c r="D182" s="39">
        <v>3</v>
      </c>
      <c r="E182" s="38">
        <v>2.7</v>
      </c>
      <c r="F182" s="40" t="s">
        <v>182</v>
      </c>
      <c r="G182" s="15">
        <f t="shared" si="6"/>
        <v>30</v>
      </c>
      <c r="H182" s="15" t="str">
        <f t="shared" si="7"/>
        <v>Jun</v>
      </c>
      <c r="I182" s="15">
        <f t="shared" si="8"/>
        <v>2022</v>
      </c>
    </row>
    <row r="183" spans="1:9" x14ac:dyDescent="0.35">
      <c r="A183" s="37">
        <v>44743</v>
      </c>
      <c r="B183" s="15" t="s">
        <v>24</v>
      </c>
      <c r="C183" s="25">
        <v>15</v>
      </c>
      <c r="D183" s="39">
        <v>45</v>
      </c>
      <c r="E183" s="38">
        <v>40.5</v>
      </c>
      <c r="F183" s="40" t="s">
        <v>180</v>
      </c>
      <c r="G183" s="15">
        <f t="shared" si="6"/>
        <v>1</v>
      </c>
      <c r="H183" s="15" t="str">
        <f t="shared" si="7"/>
        <v>Jul</v>
      </c>
      <c r="I183" s="15">
        <f t="shared" si="8"/>
        <v>2022</v>
      </c>
    </row>
    <row r="184" spans="1:9" x14ac:dyDescent="0.35">
      <c r="A184" s="37">
        <v>44744</v>
      </c>
      <c r="B184" s="15" t="s">
        <v>25</v>
      </c>
      <c r="C184" s="25">
        <v>20</v>
      </c>
      <c r="D184" s="39">
        <v>90</v>
      </c>
      <c r="E184" s="38">
        <v>81</v>
      </c>
      <c r="F184" s="40" t="s">
        <v>183</v>
      </c>
      <c r="G184" s="15">
        <f t="shared" si="6"/>
        <v>2</v>
      </c>
      <c r="H184" s="15" t="str">
        <f t="shared" si="7"/>
        <v>Jul</v>
      </c>
      <c r="I184" s="15">
        <f t="shared" si="8"/>
        <v>2022</v>
      </c>
    </row>
    <row r="185" spans="1:9" x14ac:dyDescent="0.35">
      <c r="A185" s="37">
        <v>44745</v>
      </c>
      <c r="B185" s="15" t="s">
        <v>26</v>
      </c>
      <c r="C185" s="25">
        <v>25</v>
      </c>
      <c r="D185" s="39">
        <v>35</v>
      </c>
      <c r="E185" s="38">
        <v>31.5</v>
      </c>
      <c r="F185" s="40" t="s">
        <v>182</v>
      </c>
      <c r="G185" s="15">
        <f t="shared" si="6"/>
        <v>3</v>
      </c>
      <c r="H185" s="15" t="str">
        <f t="shared" si="7"/>
        <v>Jul</v>
      </c>
      <c r="I185" s="15">
        <f t="shared" si="8"/>
        <v>2022</v>
      </c>
    </row>
    <row r="186" spans="1:9" x14ac:dyDescent="0.35">
      <c r="A186" s="37">
        <v>44746</v>
      </c>
      <c r="B186" s="15" t="s">
        <v>27</v>
      </c>
      <c r="C186" s="25">
        <v>30</v>
      </c>
      <c r="D186" s="39">
        <v>145</v>
      </c>
      <c r="E186" s="38">
        <v>130.5</v>
      </c>
      <c r="F186" s="40" t="s">
        <v>180</v>
      </c>
      <c r="G186" s="15">
        <f t="shared" si="6"/>
        <v>4</v>
      </c>
      <c r="H186" s="15" t="str">
        <f t="shared" si="7"/>
        <v>Jul</v>
      </c>
      <c r="I186" s="15">
        <f t="shared" si="8"/>
        <v>2022</v>
      </c>
    </row>
    <row r="187" spans="1:9" x14ac:dyDescent="0.35">
      <c r="A187" s="37">
        <v>44747</v>
      </c>
      <c r="B187" s="15" t="s">
        <v>28</v>
      </c>
      <c r="C187" s="25">
        <v>10</v>
      </c>
      <c r="D187" s="39">
        <v>125</v>
      </c>
      <c r="E187" s="38">
        <v>112.5</v>
      </c>
      <c r="F187" s="40" t="s">
        <v>180</v>
      </c>
      <c r="G187" s="15">
        <f t="shared" si="6"/>
        <v>5</v>
      </c>
      <c r="H187" s="15" t="str">
        <f t="shared" si="7"/>
        <v>Jul</v>
      </c>
      <c r="I187" s="15">
        <f t="shared" si="8"/>
        <v>2022</v>
      </c>
    </row>
    <row r="188" spans="1:9" x14ac:dyDescent="0.35">
      <c r="A188" s="37">
        <v>44748</v>
      </c>
      <c r="B188" s="15" t="s">
        <v>29</v>
      </c>
      <c r="C188" s="25">
        <v>5</v>
      </c>
      <c r="D188" s="39">
        <v>56</v>
      </c>
      <c r="E188" s="38">
        <v>50.4</v>
      </c>
      <c r="F188" s="40" t="s">
        <v>182</v>
      </c>
      <c r="G188" s="15">
        <f t="shared" si="6"/>
        <v>6</v>
      </c>
      <c r="H188" s="15" t="str">
        <f t="shared" si="7"/>
        <v>Jul</v>
      </c>
      <c r="I188" s="15">
        <f t="shared" si="8"/>
        <v>2022</v>
      </c>
    </row>
    <row r="189" spans="1:9" x14ac:dyDescent="0.35">
      <c r="A189" s="37">
        <v>44749</v>
      </c>
      <c r="B189" s="15" t="s">
        <v>30</v>
      </c>
      <c r="C189" s="25">
        <v>20</v>
      </c>
      <c r="D189" s="39">
        <v>34</v>
      </c>
      <c r="E189" s="38">
        <v>30.6</v>
      </c>
      <c r="F189" s="40" t="s">
        <v>180</v>
      </c>
      <c r="G189" s="15">
        <f t="shared" si="6"/>
        <v>7</v>
      </c>
      <c r="H189" s="15" t="str">
        <f t="shared" si="7"/>
        <v>Jul</v>
      </c>
      <c r="I189" s="15">
        <f t="shared" si="8"/>
        <v>2022</v>
      </c>
    </row>
    <row r="190" spans="1:9" x14ac:dyDescent="0.35">
      <c r="A190" s="37">
        <v>44750</v>
      </c>
      <c r="B190" s="15" t="s">
        <v>31</v>
      </c>
      <c r="C190" s="25">
        <v>15</v>
      </c>
      <c r="D190" s="39">
        <v>87</v>
      </c>
      <c r="E190" s="38">
        <v>78.3</v>
      </c>
      <c r="F190" s="40" t="s">
        <v>183</v>
      </c>
      <c r="G190" s="15">
        <f t="shared" si="6"/>
        <v>8</v>
      </c>
      <c r="H190" s="15" t="str">
        <f t="shared" si="7"/>
        <v>Jul</v>
      </c>
      <c r="I190" s="15">
        <f t="shared" si="8"/>
        <v>2022</v>
      </c>
    </row>
    <row r="191" spans="1:9" x14ac:dyDescent="0.35">
      <c r="A191" s="37">
        <v>44751</v>
      </c>
      <c r="B191" s="15" t="s">
        <v>32</v>
      </c>
      <c r="C191" s="25">
        <v>10</v>
      </c>
      <c r="D191" s="39">
        <v>120</v>
      </c>
      <c r="E191" s="38">
        <v>108</v>
      </c>
      <c r="F191" s="40" t="s">
        <v>182</v>
      </c>
      <c r="G191" s="15">
        <f t="shared" si="6"/>
        <v>9</v>
      </c>
      <c r="H191" s="15" t="str">
        <f t="shared" si="7"/>
        <v>Jul</v>
      </c>
      <c r="I191" s="15">
        <f t="shared" si="8"/>
        <v>2022</v>
      </c>
    </row>
    <row r="192" spans="1:9" x14ac:dyDescent="0.35">
      <c r="A192" s="37">
        <v>44752</v>
      </c>
      <c r="B192" s="15" t="s">
        <v>33</v>
      </c>
      <c r="C192" s="25">
        <v>25</v>
      </c>
      <c r="D192" s="39">
        <v>148</v>
      </c>
      <c r="E192" s="38">
        <v>133.19999999999999</v>
      </c>
      <c r="F192" s="40" t="s">
        <v>180</v>
      </c>
      <c r="G192" s="15">
        <f t="shared" si="6"/>
        <v>10</v>
      </c>
      <c r="H192" s="15" t="str">
        <f t="shared" si="7"/>
        <v>Jul</v>
      </c>
      <c r="I192" s="15">
        <f t="shared" si="8"/>
        <v>2022</v>
      </c>
    </row>
    <row r="193" spans="1:9" x14ac:dyDescent="0.35">
      <c r="A193" s="37">
        <v>44753</v>
      </c>
      <c r="B193" s="15" t="s">
        <v>34</v>
      </c>
      <c r="C193" s="25">
        <v>30</v>
      </c>
      <c r="D193" s="39">
        <v>300</v>
      </c>
      <c r="E193" s="38">
        <v>270</v>
      </c>
      <c r="F193" s="40" t="s">
        <v>180</v>
      </c>
      <c r="G193" s="15">
        <f t="shared" si="6"/>
        <v>11</v>
      </c>
      <c r="H193" s="15" t="str">
        <f t="shared" si="7"/>
        <v>Jul</v>
      </c>
      <c r="I193" s="15">
        <f t="shared" si="8"/>
        <v>2022</v>
      </c>
    </row>
    <row r="194" spans="1:9" x14ac:dyDescent="0.35">
      <c r="A194" s="37">
        <v>44754</v>
      </c>
      <c r="B194" s="15" t="s">
        <v>35</v>
      </c>
      <c r="C194" s="25">
        <v>10</v>
      </c>
      <c r="D194" s="39">
        <v>320</v>
      </c>
      <c r="E194" s="38">
        <v>288</v>
      </c>
      <c r="F194" s="40" t="s">
        <v>182</v>
      </c>
      <c r="G194" s="15">
        <f t="shared" si="6"/>
        <v>12</v>
      </c>
      <c r="H194" s="15" t="str">
        <f t="shared" si="7"/>
        <v>Jul</v>
      </c>
      <c r="I194" s="15">
        <f t="shared" si="8"/>
        <v>2022</v>
      </c>
    </row>
    <row r="195" spans="1:9" x14ac:dyDescent="0.35">
      <c r="A195" s="37">
        <v>44755</v>
      </c>
      <c r="B195" s="15" t="s">
        <v>36</v>
      </c>
      <c r="C195" s="25">
        <v>20</v>
      </c>
      <c r="D195" s="39">
        <v>530</v>
      </c>
      <c r="E195" s="38">
        <v>477</v>
      </c>
      <c r="F195" s="40" t="s">
        <v>180</v>
      </c>
      <c r="G195" s="15">
        <f t="shared" ref="G195:G258" si="9">DAY(A195)</f>
        <v>13</v>
      </c>
      <c r="H195" s="15" t="str">
        <f t="shared" ref="H195:H258" si="10">TEXT(A195,"mmm")</f>
        <v>Jul</v>
      </c>
      <c r="I195" s="15">
        <f t="shared" ref="I195:I258" si="11">YEAR(A195)</f>
        <v>2022</v>
      </c>
    </row>
    <row r="196" spans="1:9" x14ac:dyDescent="0.35">
      <c r="A196" s="37">
        <v>44756</v>
      </c>
      <c r="B196" s="15" t="s">
        <v>37</v>
      </c>
      <c r="C196" s="25">
        <v>5</v>
      </c>
      <c r="D196" s="39">
        <v>5000</v>
      </c>
      <c r="E196" s="38">
        <v>4500</v>
      </c>
      <c r="F196" s="40" t="s">
        <v>183</v>
      </c>
      <c r="G196" s="15">
        <f t="shared" si="9"/>
        <v>14</v>
      </c>
      <c r="H196" s="15" t="str">
        <f t="shared" si="10"/>
        <v>Jul</v>
      </c>
      <c r="I196" s="15">
        <f t="shared" si="11"/>
        <v>2022</v>
      </c>
    </row>
    <row r="197" spans="1:9" x14ac:dyDescent="0.35">
      <c r="A197" s="37">
        <v>44757</v>
      </c>
      <c r="B197" s="15" t="s">
        <v>38</v>
      </c>
      <c r="C197" s="25">
        <v>15</v>
      </c>
      <c r="D197" s="39">
        <v>650</v>
      </c>
      <c r="E197" s="38">
        <v>585</v>
      </c>
      <c r="F197" s="40" t="s">
        <v>182</v>
      </c>
      <c r="G197" s="15">
        <f t="shared" si="9"/>
        <v>15</v>
      </c>
      <c r="H197" s="15" t="str">
        <f t="shared" si="10"/>
        <v>Jul</v>
      </c>
      <c r="I197" s="15">
        <f t="shared" si="11"/>
        <v>2022</v>
      </c>
    </row>
    <row r="198" spans="1:9" x14ac:dyDescent="0.35">
      <c r="A198" s="37">
        <v>44758</v>
      </c>
      <c r="B198" s="15" t="s">
        <v>39</v>
      </c>
      <c r="C198" s="25">
        <v>20</v>
      </c>
      <c r="D198" s="39">
        <v>640</v>
      </c>
      <c r="E198" s="38">
        <v>576</v>
      </c>
      <c r="F198" s="40" t="s">
        <v>180</v>
      </c>
      <c r="G198" s="15">
        <f t="shared" si="9"/>
        <v>16</v>
      </c>
      <c r="H198" s="15" t="str">
        <f t="shared" si="10"/>
        <v>Jul</v>
      </c>
      <c r="I198" s="15">
        <f t="shared" si="11"/>
        <v>2022</v>
      </c>
    </row>
    <row r="199" spans="1:9" x14ac:dyDescent="0.35">
      <c r="A199" s="37">
        <v>44759</v>
      </c>
      <c r="B199" s="15" t="s">
        <v>40</v>
      </c>
      <c r="C199" s="25">
        <v>30</v>
      </c>
      <c r="D199" s="39">
        <v>360</v>
      </c>
      <c r="E199" s="38">
        <v>324</v>
      </c>
      <c r="F199" s="40" t="s">
        <v>180</v>
      </c>
      <c r="G199" s="15">
        <f t="shared" si="9"/>
        <v>17</v>
      </c>
      <c r="H199" s="15" t="str">
        <f t="shared" si="10"/>
        <v>Jul</v>
      </c>
      <c r="I199" s="15">
        <f t="shared" si="11"/>
        <v>2022</v>
      </c>
    </row>
    <row r="200" spans="1:9" x14ac:dyDescent="0.35">
      <c r="A200" s="37">
        <v>44760</v>
      </c>
      <c r="B200" s="15" t="s">
        <v>41</v>
      </c>
      <c r="C200" s="25">
        <v>10</v>
      </c>
      <c r="D200" s="39">
        <v>540</v>
      </c>
      <c r="E200" s="38">
        <v>486</v>
      </c>
      <c r="F200" s="40" t="s">
        <v>182</v>
      </c>
      <c r="G200" s="15">
        <f t="shared" si="9"/>
        <v>18</v>
      </c>
      <c r="H200" s="15" t="str">
        <f t="shared" si="10"/>
        <v>Jul</v>
      </c>
      <c r="I200" s="15">
        <f t="shared" si="11"/>
        <v>2022</v>
      </c>
    </row>
    <row r="201" spans="1:9" x14ac:dyDescent="0.35">
      <c r="A201" s="37">
        <v>44761</v>
      </c>
      <c r="B201" s="15" t="s">
        <v>42</v>
      </c>
      <c r="C201" s="25">
        <v>5</v>
      </c>
      <c r="D201" s="39">
        <v>400</v>
      </c>
      <c r="E201" s="38">
        <v>360</v>
      </c>
      <c r="F201" s="40" t="s">
        <v>180</v>
      </c>
      <c r="G201" s="15">
        <f t="shared" si="9"/>
        <v>19</v>
      </c>
      <c r="H201" s="15" t="str">
        <f t="shared" si="10"/>
        <v>Jul</v>
      </c>
      <c r="I201" s="15">
        <f t="shared" si="11"/>
        <v>2022</v>
      </c>
    </row>
    <row r="202" spans="1:9" x14ac:dyDescent="0.35">
      <c r="A202" s="37">
        <v>44762</v>
      </c>
      <c r="B202" s="15" t="s">
        <v>23</v>
      </c>
      <c r="C202" s="25">
        <v>10</v>
      </c>
      <c r="D202" s="39">
        <v>3</v>
      </c>
      <c r="E202" s="38">
        <v>2.7</v>
      </c>
      <c r="F202" s="40" t="s">
        <v>183</v>
      </c>
      <c r="G202" s="15">
        <f t="shared" si="9"/>
        <v>20</v>
      </c>
      <c r="H202" s="15" t="str">
        <f t="shared" si="10"/>
        <v>Jul</v>
      </c>
      <c r="I202" s="15">
        <f t="shared" si="11"/>
        <v>2022</v>
      </c>
    </row>
    <row r="203" spans="1:9" x14ac:dyDescent="0.35">
      <c r="A203" s="37">
        <v>44763</v>
      </c>
      <c r="B203" s="15" t="s">
        <v>24</v>
      </c>
      <c r="C203" s="25">
        <v>15</v>
      </c>
      <c r="D203" s="39">
        <v>45</v>
      </c>
      <c r="E203" s="38">
        <v>40.5</v>
      </c>
      <c r="F203" s="40" t="s">
        <v>182</v>
      </c>
      <c r="G203" s="15">
        <f t="shared" si="9"/>
        <v>21</v>
      </c>
      <c r="H203" s="15" t="str">
        <f t="shared" si="10"/>
        <v>Jul</v>
      </c>
      <c r="I203" s="15">
        <f t="shared" si="11"/>
        <v>2022</v>
      </c>
    </row>
    <row r="204" spans="1:9" x14ac:dyDescent="0.35">
      <c r="A204" s="37">
        <v>44764</v>
      </c>
      <c r="B204" s="15" t="s">
        <v>25</v>
      </c>
      <c r="C204" s="25">
        <v>20</v>
      </c>
      <c r="D204" s="39">
        <v>90</v>
      </c>
      <c r="E204" s="38">
        <v>81</v>
      </c>
      <c r="F204" s="40" t="s">
        <v>180</v>
      </c>
      <c r="G204" s="15">
        <f t="shared" si="9"/>
        <v>22</v>
      </c>
      <c r="H204" s="15" t="str">
        <f t="shared" si="10"/>
        <v>Jul</v>
      </c>
      <c r="I204" s="15">
        <f t="shared" si="11"/>
        <v>2022</v>
      </c>
    </row>
    <row r="205" spans="1:9" x14ac:dyDescent="0.35">
      <c r="A205" s="37">
        <v>44765</v>
      </c>
      <c r="B205" s="15" t="s">
        <v>26</v>
      </c>
      <c r="C205" s="25">
        <v>25</v>
      </c>
      <c r="D205" s="39">
        <v>35</v>
      </c>
      <c r="E205" s="38">
        <v>31.5</v>
      </c>
      <c r="F205" s="40" t="s">
        <v>180</v>
      </c>
      <c r="G205" s="15">
        <f t="shared" si="9"/>
        <v>23</v>
      </c>
      <c r="H205" s="15" t="str">
        <f t="shared" si="10"/>
        <v>Jul</v>
      </c>
      <c r="I205" s="15">
        <f t="shared" si="11"/>
        <v>2022</v>
      </c>
    </row>
    <row r="206" spans="1:9" x14ac:dyDescent="0.35">
      <c r="A206" s="37">
        <v>44766</v>
      </c>
      <c r="B206" s="15" t="s">
        <v>27</v>
      </c>
      <c r="C206" s="25">
        <v>30</v>
      </c>
      <c r="D206" s="39">
        <v>145</v>
      </c>
      <c r="E206" s="38">
        <v>130.5</v>
      </c>
      <c r="F206" s="40" t="s">
        <v>182</v>
      </c>
      <c r="G206" s="15">
        <f t="shared" si="9"/>
        <v>24</v>
      </c>
      <c r="H206" s="15" t="str">
        <f t="shared" si="10"/>
        <v>Jul</v>
      </c>
      <c r="I206" s="15">
        <f t="shared" si="11"/>
        <v>2022</v>
      </c>
    </row>
    <row r="207" spans="1:9" x14ac:dyDescent="0.35">
      <c r="A207" s="37">
        <v>44767</v>
      </c>
      <c r="B207" s="15" t="s">
        <v>28</v>
      </c>
      <c r="C207" s="25">
        <v>10</v>
      </c>
      <c r="D207" s="39">
        <v>125</v>
      </c>
      <c r="E207" s="38">
        <v>112.5</v>
      </c>
      <c r="F207" s="40" t="s">
        <v>180</v>
      </c>
      <c r="G207" s="15">
        <f t="shared" si="9"/>
        <v>25</v>
      </c>
      <c r="H207" s="15" t="str">
        <f t="shared" si="10"/>
        <v>Jul</v>
      </c>
      <c r="I207" s="15">
        <f t="shared" si="11"/>
        <v>2022</v>
      </c>
    </row>
    <row r="208" spans="1:9" x14ac:dyDescent="0.35">
      <c r="A208" s="37">
        <v>44768</v>
      </c>
      <c r="B208" s="15" t="s">
        <v>29</v>
      </c>
      <c r="C208" s="25">
        <v>5</v>
      </c>
      <c r="D208" s="39">
        <v>56</v>
      </c>
      <c r="E208" s="38">
        <v>50.4</v>
      </c>
      <c r="F208" s="40" t="s">
        <v>183</v>
      </c>
      <c r="G208" s="15">
        <f t="shared" si="9"/>
        <v>26</v>
      </c>
      <c r="H208" s="15" t="str">
        <f t="shared" si="10"/>
        <v>Jul</v>
      </c>
      <c r="I208" s="15">
        <f t="shared" si="11"/>
        <v>2022</v>
      </c>
    </row>
    <row r="209" spans="1:9" x14ac:dyDescent="0.35">
      <c r="A209" s="37">
        <v>44769</v>
      </c>
      <c r="B209" s="15" t="s">
        <v>30</v>
      </c>
      <c r="C209" s="25">
        <v>20</v>
      </c>
      <c r="D209" s="39">
        <v>34</v>
      </c>
      <c r="E209" s="38">
        <v>30.6</v>
      </c>
      <c r="F209" s="40" t="s">
        <v>182</v>
      </c>
      <c r="G209" s="15">
        <f t="shared" si="9"/>
        <v>27</v>
      </c>
      <c r="H209" s="15" t="str">
        <f t="shared" si="10"/>
        <v>Jul</v>
      </c>
      <c r="I209" s="15">
        <f t="shared" si="11"/>
        <v>2022</v>
      </c>
    </row>
    <row r="210" spans="1:9" x14ac:dyDescent="0.35">
      <c r="A210" s="37">
        <v>44770</v>
      </c>
      <c r="B210" s="15" t="s">
        <v>31</v>
      </c>
      <c r="C210" s="25">
        <v>15</v>
      </c>
      <c r="D210" s="39">
        <v>87</v>
      </c>
      <c r="E210" s="38">
        <v>78.3</v>
      </c>
      <c r="F210" s="40" t="s">
        <v>180</v>
      </c>
      <c r="G210" s="15">
        <f t="shared" si="9"/>
        <v>28</v>
      </c>
      <c r="H210" s="15" t="str">
        <f t="shared" si="10"/>
        <v>Jul</v>
      </c>
      <c r="I210" s="15">
        <f t="shared" si="11"/>
        <v>2022</v>
      </c>
    </row>
    <row r="211" spans="1:9" x14ac:dyDescent="0.35">
      <c r="A211" s="37">
        <v>44771</v>
      </c>
      <c r="B211" s="15" t="s">
        <v>32</v>
      </c>
      <c r="C211" s="25">
        <v>10</v>
      </c>
      <c r="D211" s="39">
        <v>120</v>
      </c>
      <c r="E211" s="38">
        <v>108</v>
      </c>
      <c r="F211" s="40" t="s">
        <v>180</v>
      </c>
      <c r="G211" s="15">
        <f t="shared" si="9"/>
        <v>29</v>
      </c>
      <c r="H211" s="15" t="str">
        <f t="shared" si="10"/>
        <v>Jul</v>
      </c>
      <c r="I211" s="15">
        <f t="shared" si="11"/>
        <v>2022</v>
      </c>
    </row>
    <row r="212" spans="1:9" x14ac:dyDescent="0.35">
      <c r="A212" s="37">
        <v>44772</v>
      </c>
      <c r="B212" s="15" t="s">
        <v>33</v>
      </c>
      <c r="C212" s="25">
        <v>25</v>
      </c>
      <c r="D212" s="39">
        <v>148</v>
      </c>
      <c r="E212" s="38">
        <v>133.19999999999999</v>
      </c>
      <c r="F212" s="40" t="s">
        <v>182</v>
      </c>
      <c r="G212" s="15">
        <f t="shared" si="9"/>
        <v>30</v>
      </c>
      <c r="H212" s="15" t="str">
        <f t="shared" si="10"/>
        <v>Jul</v>
      </c>
      <c r="I212" s="15">
        <f t="shared" si="11"/>
        <v>2022</v>
      </c>
    </row>
    <row r="213" spans="1:9" x14ac:dyDescent="0.35">
      <c r="A213" s="37">
        <v>44773</v>
      </c>
      <c r="B213" s="15" t="s">
        <v>34</v>
      </c>
      <c r="C213" s="25">
        <v>30</v>
      </c>
      <c r="D213" s="39">
        <v>300</v>
      </c>
      <c r="E213" s="38">
        <v>270</v>
      </c>
      <c r="F213" s="40" t="s">
        <v>180</v>
      </c>
      <c r="G213" s="15">
        <f t="shared" si="9"/>
        <v>31</v>
      </c>
      <c r="H213" s="15" t="str">
        <f t="shared" si="10"/>
        <v>Jul</v>
      </c>
      <c r="I213" s="15">
        <f t="shared" si="11"/>
        <v>2022</v>
      </c>
    </row>
    <row r="214" spans="1:9" x14ac:dyDescent="0.35">
      <c r="A214" s="37">
        <v>44774</v>
      </c>
      <c r="B214" s="15" t="s">
        <v>35</v>
      </c>
      <c r="C214" s="25">
        <v>10</v>
      </c>
      <c r="D214" s="39">
        <v>320</v>
      </c>
      <c r="E214" s="38">
        <v>288</v>
      </c>
      <c r="F214" s="40" t="s">
        <v>183</v>
      </c>
      <c r="G214" s="15">
        <f t="shared" si="9"/>
        <v>1</v>
      </c>
      <c r="H214" s="15" t="str">
        <f t="shared" si="10"/>
        <v>Aug</v>
      </c>
      <c r="I214" s="15">
        <f t="shared" si="11"/>
        <v>2022</v>
      </c>
    </row>
    <row r="215" spans="1:9" x14ac:dyDescent="0.35">
      <c r="A215" s="37">
        <v>44775</v>
      </c>
      <c r="B215" s="15" t="s">
        <v>36</v>
      </c>
      <c r="C215" s="25">
        <v>20</v>
      </c>
      <c r="D215" s="39">
        <v>530</v>
      </c>
      <c r="E215" s="38">
        <v>477</v>
      </c>
      <c r="F215" s="40" t="s">
        <v>182</v>
      </c>
      <c r="G215" s="15">
        <f t="shared" si="9"/>
        <v>2</v>
      </c>
      <c r="H215" s="15" t="str">
        <f t="shared" si="10"/>
        <v>Aug</v>
      </c>
      <c r="I215" s="15">
        <f t="shared" si="11"/>
        <v>2022</v>
      </c>
    </row>
    <row r="216" spans="1:9" x14ac:dyDescent="0.35">
      <c r="A216" s="37">
        <v>44776</v>
      </c>
      <c r="B216" s="15" t="s">
        <v>37</v>
      </c>
      <c r="C216" s="25">
        <v>5</v>
      </c>
      <c r="D216" s="39">
        <v>5000</v>
      </c>
      <c r="E216" s="38">
        <v>4500</v>
      </c>
      <c r="F216" s="40" t="s">
        <v>180</v>
      </c>
      <c r="G216" s="15">
        <f t="shared" si="9"/>
        <v>3</v>
      </c>
      <c r="H216" s="15" t="str">
        <f t="shared" si="10"/>
        <v>Aug</v>
      </c>
      <c r="I216" s="15">
        <f t="shared" si="11"/>
        <v>2022</v>
      </c>
    </row>
    <row r="217" spans="1:9" x14ac:dyDescent="0.35">
      <c r="A217" s="37">
        <v>44777</v>
      </c>
      <c r="B217" s="15" t="s">
        <v>38</v>
      </c>
      <c r="C217" s="25">
        <v>15</v>
      </c>
      <c r="D217" s="39">
        <v>650</v>
      </c>
      <c r="E217" s="38">
        <v>585</v>
      </c>
      <c r="F217" s="40" t="s">
        <v>180</v>
      </c>
      <c r="G217" s="15">
        <f t="shared" si="9"/>
        <v>4</v>
      </c>
      <c r="H217" s="15" t="str">
        <f t="shared" si="10"/>
        <v>Aug</v>
      </c>
      <c r="I217" s="15">
        <f t="shared" si="11"/>
        <v>2022</v>
      </c>
    </row>
    <row r="218" spans="1:9" x14ac:dyDescent="0.35">
      <c r="A218" s="37">
        <v>44778</v>
      </c>
      <c r="B218" s="15" t="s">
        <v>39</v>
      </c>
      <c r="C218" s="25">
        <v>20</v>
      </c>
      <c r="D218" s="39">
        <v>640</v>
      </c>
      <c r="E218" s="38">
        <v>576</v>
      </c>
      <c r="F218" s="40" t="s">
        <v>182</v>
      </c>
      <c r="G218" s="15">
        <f t="shared" si="9"/>
        <v>5</v>
      </c>
      <c r="H218" s="15" t="str">
        <f t="shared" si="10"/>
        <v>Aug</v>
      </c>
      <c r="I218" s="15">
        <f t="shared" si="11"/>
        <v>2022</v>
      </c>
    </row>
    <row r="219" spans="1:9" x14ac:dyDescent="0.35">
      <c r="A219" s="37">
        <v>44779</v>
      </c>
      <c r="B219" s="15" t="s">
        <v>40</v>
      </c>
      <c r="C219" s="25">
        <v>30</v>
      </c>
      <c r="D219" s="39">
        <v>360</v>
      </c>
      <c r="E219" s="38">
        <v>324</v>
      </c>
      <c r="F219" s="40" t="s">
        <v>180</v>
      </c>
      <c r="G219" s="15">
        <f t="shared" si="9"/>
        <v>6</v>
      </c>
      <c r="H219" s="15" t="str">
        <f t="shared" si="10"/>
        <v>Aug</v>
      </c>
      <c r="I219" s="15">
        <f t="shared" si="11"/>
        <v>2022</v>
      </c>
    </row>
    <row r="220" spans="1:9" x14ac:dyDescent="0.35">
      <c r="A220" s="37">
        <v>44780</v>
      </c>
      <c r="B220" s="15" t="s">
        <v>41</v>
      </c>
      <c r="C220" s="25">
        <v>10</v>
      </c>
      <c r="D220" s="39">
        <v>540</v>
      </c>
      <c r="E220" s="38">
        <v>486</v>
      </c>
      <c r="F220" s="40" t="s">
        <v>183</v>
      </c>
      <c r="G220" s="15">
        <f t="shared" si="9"/>
        <v>7</v>
      </c>
      <c r="H220" s="15" t="str">
        <f t="shared" si="10"/>
        <v>Aug</v>
      </c>
      <c r="I220" s="15">
        <f t="shared" si="11"/>
        <v>2022</v>
      </c>
    </row>
    <row r="221" spans="1:9" x14ac:dyDescent="0.35">
      <c r="A221" s="37">
        <v>44781</v>
      </c>
      <c r="B221" s="15" t="s">
        <v>42</v>
      </c>
      <c r="C221" s="25">
        <v>5</v>
      </c>
      <c r="D221" s="39">
        <v>400</v>
      </c>
      <c r="E221" s="38">
        <v>360</v>
      </c>
      <c r="F221" s="40" t="s">
        <v>183</v>
      </c>
      <c r="G221" s="15">
        <f t="shared" si="9"/>
        <v>8</v>
      </c>
      <c r="H221" s="15" t="str">
        <f t="shared" si="10"/>
        <v>Aug</v>
      </c>
      <c r="I221" s="15">
        <f t="shared" si="11"/>
        <v>2022</v>
      </c>
    </row>
    <row r="222" spans="1:9" x14ac:dyDescent="0.35">
      <c r="A222" s="37">
        <v>44782</v>
      </c>
      <c r="B222" s="15" t="s">
        <v>23</v>
      </c>
      <c r="C222" s="25">
        <v>10</v>
      </c>
      <c r="D222" s="39">
        <v>3</v>
      </c>
      <c r="E222" s="38">
        <v>2.7</v>
      </c>
      <c r="F222" s="40" t="s">
        <v>181</v>
      </c>
      <c r="G222" s="15">
        <f t="shared" si="9"/>
        <v>9</v>
      </c>
      <c r="H222" s="15" t="str">
        <f t="shared" si="10"/>
        <v>Aug</v>
      </c>
      <c r="I222" s="15">
        <f t="shared" si="11"/>
        <v>2022</v>
      </c>
    </row>
    <row r="223" spans="1:9" x14ac:dyDescent="0.35">
      <c r="A223" s="37">
        <v>44783</v>
      </c>
      <c r="B223" s="15" t="s">
        <v>24</v>
      </c>
      <c r="C223" s="25">
        <v>15</v>
      </c>
      <c r="D223" s="39">
        <v>45</v>
      </c>
      <c r="E223" s="38">
        <v>40.5</v>
      </c>
      <c r="F223" s="40" t="s">
        <v>180</v>
      </c>
      <c r="G223" s="15">
        <f t="shared" si="9"/>
        <v>10</v>
      </c>
      <c r="H223" s="15" t="str">
        <f t="shared" si="10"/>
        <v>Aug</v>
      </c>
      <c r="I223" s="15">
        <f t="shared" si="11"/>
        <v>2022</v>
      </c>
    </row>
    <row r="224" spans="1:9" x14ac:dyDescent="0.35">
      <c r="A224" s="37">
        <v>44784</v>
      </c>
      <c r="B224" s="15" t="s">
        <v>25</v>
      </c>
      <c r="C224" s="25">
        <v>20</v>
      </c>
      <c r="D224" s="39">
        <v>90</v>
      </c>
      <c r="E224" s="38">
        <v>81</v>
      </c>
      <c r="F224" s="40" t="s">
        <v>182</v>
      </c>
      <c r="G224" s="15">
        <f t="shared" si="9"/>
        <v>11</v>
      </c>
      <c r="H224" s="15" t="str">
        <f t="shared" si="10"/>
        <v>Aug</v>
      </c>
      <c r="I224" s="15">
        <f t="shared" si="11"/>
        <v>2022</v>
      </c>
    </row>
    <row r="225" spans="1:9" x14ac:dyDescent="0.35">
      <c r="A225" s="37">
        <v>44785</v>
      </c>
      <c r="B225" s="15" t="s">
        <v>26</v>
      </c>
      <c r="C225" s="25">
        <v>25</v>
      </c>
      <c r="D225" s="39">
        <v>35</v>
      </c>
      <c r="E225" s="38">
        <v>31.5</v>
      </c>
      <c r="F225" s="40" t="s">
        <v>180</v>
      </c>
      <c r="G225" s="15">
        <f t="shared" si="9"/>
        <v>12</v>
      </c>
      <c r="H225" s="15" t="str">
        <f t="shared" si="10"/>
        <v>Aug</v>
      </c>
      <c r="I225" s="15">
        <f t="shared" si="11"/>
        <v>2022</v>
      </c>
    </row>
    <row r="226" spans="1:9" x14ac:dyDescent="0.35">
      <c r="A226" s="37">
        <v>44786</v>
      </c>
      <c r="B226" s="15" t="s">
        <v>27</v>
      </c>
      <c r="C226" s="25">
        <v>30</v>
      </c>
      <c r="D226" s="39">
        <v>145</v>
      </c>
      <c r="E226" s="38">
        <v>130.5</v>
      </c>
      <c r="F226" s="40" t="s">
        <v>183</v>
      </c>
      <c r="G226" s="15">
        <f t="shared" si="9"/>
        <v>13</v>
      </c>
      <c r="H226" s="15" t="str">
        <f t="shared" si="10"/>
        <v>Aug</v>
      </c>
      <c r="I226" s="15">
        <f t="shared" si="11"/>
        <v>2022</v>
      </c>
    </row>
    <row r="227" spans="1:9" x14ac:dyDescent="0.35">
      <c r="A227" s="37">
        <v>44787</v>
      </c>
      <c r="B227" s="15" t="s">
        <v>28</v>
      </c>
      <c r="C227" s="25">
        <v>10</v>
      </c>
      <c r="D227" s="39">
        <v>125</v>
      </c>
      <c r="E227" s="38">
        <v>112.5</v>
      </c>
      <c r="F227" s="40" t="s">
        <v>183</v>
      </c>
      <c r="G227" s="15">
        <f t="shared" si="9"/>
        <v>14</v>
      </c>
      <c r="H227" s="15" t="str">
        <f t="shared" si="10"/>
        <v>Aug</v>
      </c>
      <c r="I227" s="15">
        <f t="shared" si="11"/>
        <v>2022</v>
      </c>
    </row>
    <row r="228" spans="1:9" x14ac:dyDescent="0.35">
      <c r="A228" s="37">
        <v>44788</v>
      </c>
      <c r="B228" s="15" t="s">
        <v>29</v>
      </c>
      <c r="C228" s="25">
        <v>5</v>
      </c>
      <c r="D228" s="39">
        <v>56</v>
      </c>
      <c r="E228" s="38">
        <v>50.4</v>
      </c>
      <c r="F228" s="40" t="s">
        <v>181</v>
      </c>
      <c r="G228" s="15">
        <f t="shared" si="9"/>
        <v>15</v>
      </c>
      <c r="H228" s="15" t="str">
        <f t="shared" si="10"/>
        <v>Aug</v>
      </c>
      <c r="I228" s="15">
        <f t="shared" si="11"/>
        <v>2022</v>
      </c>
    </row>
    <row r="229" spans="1:9" x14ac:dyDescent="0.35">
      <c r="A229" s="37">
        <v>44789</v>
      </c>
      <c r="B229" s="15" t="s">
        <v>30</v>
      </c>
      <c r="C229" s="25">
        <v>20</v>
      </c>
      <c r="D229" s="39">
        <v>34</v>
      </c>
      <c r="E229" s="38">
        <v>30.6</v>
      </c>
      <c r="F229" s="40" t="s">
        <v>180</v>
      </c>
      <c r="G229" s="15">
        <f t="shared" si="9"/>
        <v>16</v>
      </c>
      <c r="H229" s="15" t="str">
        <f t="shared" si="10"/>
        <v>Aug</v>
      </c>
      <c r="I229" s="15">
        <f t="shared" si="11"/>
        <v>2022</v>
      </c>
    </row>
    <row r="230" spans="1:9" x14ac:dyDescent="0.35">
      <c r="A230" s="37">
        <v>44790</v>
      </c>
      <c r="B230" s="15" t="s">
        <v>31</v>
      </c>
      <c r="C230" s="25">
        <v>15</v>
      </c>
      <c r="D230" s="39">
        <v>87</v>
      </c>
      <c r="E230" s="38">
        <v>78.3</v>
      </c>
      <c r="F230" s="40" t="s">
        <v>182</v>
      </c>
      <c r="G230" s="15">
        <f t="shared" si="9"/>
        <v>17</v>
      </c>
      <c r="H230" s="15" t="str">
        <f t="shared" si="10"/>
        <v>Aug</v>
      </c>
      <c r="I230" s="15">
        <f t="shared" si="11"/>
        <v>2022</v>
      </c>
    </row>
    <row r="231" spans="1:9" x14ac:dyDescent="0.35">
      <c r="A231" s="37">
        <v>44791</v>
      </c>
      <c r="B231" s="15" t="s">
        <v>32</v>
      </c>
      <c r="C231" s="25">
        <v>10</v>
      </c>
      <c r="D231" s="39">
        <v>120</v>
      </c>
      <c r="E231" s="38">
        <v>108</v>
      </c>
      <c r="F231" s="40" t="s">
        <v>180</v>
      </c>
      <c r="G231" s="15">
        <f t="shared" si="9"/>
        <v>18</v>
      </c>
      <c r="H231" s="15" t="str">
        <f t="shared" si="10"/>
        <v>Aug</v>
      </c>
      <c r="I231" s="15">
        <f t="shared" si="11"/>
        <v>2022</v>
      </c>
    </row>
    <row r="232" spans="1:9" x14ac:dyDescent="0.35">
      <c r="A232" s="37">
        <v>44792</v>
      </c>
      <c r="B232" s="15" t="s">
        <v>33</v>
      </c>
      <c r="C232" s="25">
        <v>25</v>
      </c>
      <c r="D232" s="39">
        <v>148</v>
      </c>
      <c r="E232" s="38">
        <v>133.19999999999999</v>
      </c>
      <c r="F232" s="40" t="s">
        <v>183</v>
      </c>
      <c r="G232" s="15">
        <f t="shared" si="9"/>
        <v>19</v>
      </c>
      <c r="H232" s="15" t="str">
        <f t="shared" si="10"/>
        <v>Aug</v>
      </c>
      <c r="I232" s="15">
        <f t="shared" si="11"/>
        <v>2022</v>
      </c>
    </row>
    <row r="233" spans="1:9" x14ac:dyDescent="0.35">
      <c r="A233" s="37">
        <v>44793</v>
      </c>
      <c r="B233" s="15" t="s">
        <v>34</v>
      </c>
      <c r="C233" s="25">
        <v>30</v>
      </c>
      <c r="D233" s="39">
        <v>300</v>
      </c>
      <c r="E233" s="38">
        <v>270</v>
      </c>
      <c r="F233" s="40" t="s">
        <v>183</v>
      </c>
      <c r="G233" s="15">
        <f t="shared" si="9"/>
        <v>20</v>
      </c>
      <c r="H233" s="15" t="str">
        <f t="shared" si="10"/>
        <v>Aug</v>
      </c>
      <c r="I233" s="15">
        <f t="shared" si="11"/>
        <v>2022</v>
      </c>
    </row>
    <row r="234" spans="1:9" x14ac:dyDescent="0.35">
      <c r="A234" s="37">
        <v>44794</v>
      </c>
      <c r="B234" s="15" t="s">
        <v>35</v>
      </c>
      <c r="C234" s="25">
        <v>10</v>
      </c>
      <c r="D234" s="39">
        <v>320</v>
      </c>
      <c r="E234" s="38">
        <v>288</v>
      </c>
      <c r="F234" s="40" t="s">
        <v>181</v>
      </c>
      <c r="G234" s="15">
        <f t="shared" si="9"/>
        <v>21</v>
      </c>
      <c r="H234" s="15" t="str">
        <f t="shared" si="10"/>
        <v>Aug</v>
      </c>
      <c r="I234" s="15">
        <f t="shared" si="11"/>
        <v>2022</v>
      </c>
    </row>
    <row r="235" spans="1:9" x14ac:dyDescent="0.35">
      <c r="A235" s="37">
        <v>44795</v>
      </c>
      <c r="B235" s="15" t="s">
        <v>36</v>
      </c>
      <c r="C235" s="25">
        <v>20</v>
      </c>
      <c r="D235" s="39">
        <v>530</v>
      </c>
      <c r="E235" s="38">
        <v>477</v>
      </c>
      <c r="F235" s="40" t="s">
        <v>180</v>
      </c>
      <c r="G235" s="15">
        <f t="shared" si="9"/>
        <v>22</v>
      </c>
      <c r="H235" s="15" t="str">
        <f t="shared" si="10"/>
        <v>Aug</v>
      </c>
      <c r="I235" s="15">
        <f t="shared" si="11"/>
        <v>2022</v>
      </c>
    </row>
    <row r="236" spans="1:9" x14ac:dyDescent="0.35">
      <c r="A236" s="37">
        <v>44796</v>
      </c>
      <c r="B236" s="15" t="s">
        <v>37</v>
      </c>
      <c r="C236" s="25">
        <v>5</v>
      </c>
      <c r="D236" s="39">
        <v>5000</v>
      </c>
      <c r="E236" s="38">
        <v>4500</v>
      </c>
      <c r="F236" s="40" t="s">
        <v>183</v>
      </c>
      <c r="G236" s="15">
        <f t="shared" si="9"/>
        <v>23</v>
      </c>
      <c r="H236" s="15" t="str">
        <f t="shared" si="10"/>
        <v>Aug</v>
      </c>
      <c r="I236" s="15">
        <f t="shared" si="11"/>
        <v>2022</v>
      </c>
    </row>
    <row r="237" spans="1:9" x14ac:dyDescent="0.35">
      <c r="A237" s="37">
        <v>44797</v>
      </c>
      <c r="B237" s="15" t="s">
        <v>38</v>
      </c>
      <c r="C237" s="25">
        <v>15</v>
      </c>
      <c r="D237" s="39">
        <v>650</v>
      </c>
      <c r="E237" s="38">
        <v>585</v>
      </c>
      <c r="F237" s="40" t="s">
        <v>181</v>
      </c>
      <c r="G237" s="15">
        <f t="shared" si="9"/>
        <v>24</v>
      </c>
      <c r="H237" s="15" t="str">
        <f t="shared" si="10"/>
        <v>Aug</v>
      </c>
      <c r="I237" s="15">
        <f t="shared" si="11"/>
        <v>2022</v>
      </c>
    </row>
    <row r="238" spans="1:9" x14ac:dyDescent="0.35">
      <c r="A238" s="37">
        <v>44798</v>
      </c>
      <c r="B238" s="15" t="s">
        <v>39</v>
      </c>
      <c r="C238" s="25">
        <v>20</v>
      </c>
      <c r="D238" s="39">
        <v>640</v>
      </c>
      <c r="E238" s="38">
        <v>576</v>
      </c>
      <c r="F238" s="40" t="s">
        <v>182</v>
      </c>
      <c r="G238" s="15">
        <f t="shared" si="9"/>
        <v>25</v>
      </c>
      <c r="H238" s="15" t="str">
        <f t="shared" si="10"/>
        <v>Aug</v>
      </c>
      <c r="I238" s="15">
        <f t="shared" si="11"/>
        <v>2022</v>
      </c>
    </row>
    <row r="239" spans="1:9" x14ac:dyDescent="0.35">
      <c r="A239" s="37">
        <v>44799</v>
      </c>
      <c r="B239" s="15" t="s">
        <v>40</v>
      </c>
      <c r="C239" s="25">
        <v>30</v>
      </c>
      <c r="D239" s="39">
        <v>360</v>
      </c>
      <c r="E239" s="38">
        <v>324</v>
      </c>
      <c r="F239" s="40" t="s">
        <v>180</v>
      </c>
      <c r="G239" s="15">
        <f t="shared" si="9"/>
        <v>26</v>
      </c>
      <c r="H239" s="15" t="str">
        <f t="shared" si="10"/>
        <v>Aug</v>
      </c>
      <c r="I239" s="15">
        <f t="shared" si="11"/>
        <v>2022</v>
      </c>
    </row>
    <row r="240" spans="1:9" x14ac:dyDescent="0.35">
      <c r="A240" s="37">
        <v>44800</v>
      </c>
      <c r="B240" s="15" t="s">
        <v>41</v>
      </c>
      <c r="C240" s="25">
        <v>10</v>
      </c>
      <c r="D240" s="39">
        <v>540</v>
      </c>
      <c r="E240" s="38">
        <v>486</v>
      </c>
      <c r="F240" s="40" t="s">
        <v>183</v>
      </c>
      <c r="G240" s="15">
        <f t="shared" si="9"/>
        <v>27</v>
      </c>
      <c r="H240" s="15" t="str">
        <f t="shared" si="10"/>
        <v>Aug</v>
      </c>
      <c r="I240" s="15">
        <f t="shared" si="11"/>
        <v>2022</v>
      </c>
    </row>
    <row r="241" spans="1:9" x14ac:dyDescent="0.35">
      <c r="A241" s="37">
        <v>44801</v>
      </c>
      <c r="B241" s="15" t="s">
        <v>42</v>
      </c>
      <c r="C241" s="25">
        <v>5</v>
      </c>
      <c r="D241" s="39">
        <v>400</v>
      </c>
      <c r="E241" s="38">
        <v>360</v>
      </c>
      <c r="F241" s="40" t="s">
        <v>183</v>
      </c>
      <c r="G241" s="15">
        <f t="shared" si="9"/>
        <v>28</v>
      </c>
      <c r="H241" s="15" t="str">
        <f t="shared" si="10"/>
        <v>Aug</v>
      </c>
      <c r="I241" s="15">
        <f t="shared" si="11"/>
        <v>2022</v>
      </c>
    </row>
    <row r="242" spans="1:9" x14ac:dyDescent="0.35">
      <c r="A242" s="37">
        <v>44802</v>
      </c>
      <c r="B242" s="15" t="s">
        <v>23</v>
      </c>
      <c r="C242" s="25">
        <v>10</v>
      </c>
      <c r="D242" s="39">
        <v>3</v>
      </c>
      <c r="E242" s="38">
        <v>2.7</v>
      </c>
      <c r="F242" s="40" t="s">
        <v>181</v>
      </c>
      <c r="G242" s="15">
        <f t="shared" si="9"/>
        <v>29</v>
      </c>
      <c r="H242" s="15" t="str">
        <f t="shared" si="10"/>
        <v>Aug</v>
      </c>
      <c r="I242" s="15">
        <f t="shared" si="11"/>
        <v>2022</v>
      </c>
    </row>
    <row r="243" spans="1:9" x14ac:dyDescent="0.35">
      <c r="A243" s="37">
        <v>44803</v>
      </c>
      <c r="B243" s="15" t="s">
        <v>24</v>
      </c>
      <c r="C243" s="25">
        <v>15</v>
      </c>
      <c r="D243" s="39">
        <v>45</v>
      </c>
      <c r="E243" s="38">
        <v>40.5</v>
      </c>
      <c r="F243" s="40" t="s">
        <v>180</v>
      </c>
      <c r="G243" s="15">
        <f t="shared" si="9"/>
        <v>30</v>
      </c>
      <c r="H243" s="15" t="str">
        <f t="shared" si="10"/>
        <v>Aug</v>
      </c>
      <c r="I243" s="15">
        <f t="shared" si="11"/>
        <v>2022</v>
      </c>
    </row>
    <row r="244" spans="1:9" x14ac:dyDescent="0.35">
      <c r="A244" s="37">
        <v>44804</v>
      </c>
      <c r="B244" s="15" t="s">
        <v>25</v>
      </c>
      <c r="C244" s="25">
        <v>20</v>
      </c>
      <c r="D244" s="39">
        <v>90</v>
      </c>
      <c r="E244" s="38">
        <v>81</v>
      </c>
      <c r="F244" s="40" t="s">
        <v>182</v>
      </c>
      <c r="G244" s="15">
        <f t="shared" si="9"/>
        <v>31</v>
      </c>
      <c r="H244" s="15" t="str">
        <f t="shared" si="10"/>
        <v>Aug</v>
      </c>
      <c r="I244" s="15">
        <f t="shared" si="11"/>
        <v>2022</v>
      </c>
    </row>
    <row r="245" spans="1:9" x14ac:dyDescent="0.35">
      <c r="A245" s="37">
        <v>44805</v>
      </c>
      <c r="B245" s="15" t="s">
        <v>26</v>
      </c>
      <c r="C245" s="25">
        <v>25</v>
      </c>
      <c r="D245" s="39">
        <v>35</v>
      </c>
      <c r="E245" s="38">
        <v>31.5</v>
      </c>
      <c r="F245" s="40" t="s">
        <v>180</v>
      </c>
      <c r="G245" s="15">
        <f t="shared" si="9"/>
        <v>1</v>
      </c>
      <c r="H245" s="15" t="str">
        <f t="shared" si="10"/>
        <v>Sep</v>
      </c>
      <c r="I245" s="15">
        <f t="shared" si="11"/>
        <v>2022</v>
      </c>
    </row>
    <row r="246" spans="1:9" x14ac:dyDescent="0.35">
      <c r="A246" s="37">
        <v>44806</v>
      </c>
      <c r="B246" s="15" t="s">
        <v>27</v>
      </c>
      <c r="C246" s="25">
        <v>30</v>
      </c>
      <c r="D246" s="39">
        <v>145</v>
      </c>
      <c r="E246" s="38">
        <v>130.5</v>
      </c>
      <c r="F246" s="40" t="s">
        <v>183</v>
      </c>
      <c r="G246" s="15">
        <f t="shared" si="9"/>
        <v>2</v>
      </c>
      <c r="H246" s="15" t="str">
        <f t="shared" si="10"/>
        <v>Sep</v>
      </c>
      <c r="I246" s="15">
        <f t="shared" si="11"/>
        <v>2022</v>
      </c>
    </row>
    <row r="247" spans="1:9" x14ac:dyDescent="0.35">
      <c r="A247" s="37">
        <v>44807</v>
      </c>
      <c r="B247" s="15" t="s">
        <v>28</v>
      </c>
      <c r="C247" s="25">
        <v>10</v>
      </c>
      <c r="D247" s="39">
        <v>125</v>
      </c>
      <c r="E247" s="38">
        <v>112.5</v>
      </c>
      <c r="F247" s="40" t="s">
        <v>181</v>
      </c>
      <c r="G247" s="15">
        <f t="shared" si="9"/>
        <v>3</v>
      </c>
      <c r="H247" s="15" t="str">
        <f t="shared" si="10"/>
        <v>Sep</v>
      </c>
      <c r="I247" s="15">
        <f t="shared" si="11"/>
        <v>2022</v>
      </c>
    </row>
    <row r="248" spans="1:9" x14ac:dyDescent="0.35">
      <c r="A248" s="37">
        <v>44808</v>
      </c>
      <c r="B248" s="15" t="s">
        <v>29</v>
      </c>
      <c r="C248" s="25">
        <v>5</v>
      </c>
      <c r="D248" s="39">
        <v>56</v>
      </c>
      <c r="E248" s="38">
        <v>50.4</v>
      </c>
      <c r="F248" s="40" t="s">
        <v>180</v>
      </c>
      <c r="G248" s="15">
        <f t="shared" si="9"/>
        <v>4</v>
      </c>
      <c r="H248" s="15" t="str">
        <f t="shared" si="10"/>
        <v>Sep</v>
      </c>
      <c r="I248" s="15">
        <f t="shared" si="11"/>
        <v>2022</v>
      </c>
    </row>
    <row r="249" spans="1:9" x14ac:dyDescent="0.35">
      <c r="A249" s="37">
        <v>44809</v>
      </c>
      <c r="B249" s="15" t="s">
        <v>30</v>
      </c>
      <c r="C249" s="25">
        <v>20</v>
      </c>
      <c r="D249" s="39">
        <v>34</v>
      </c>
      <c r="E249" s="38">
        <v>30.6</v>
      </c>
      <c r="F249" s="40" t="s">
        <v>182</v>
      </c>
      <c r="G249" s="15">
        <f t="shared" si="9"/>
        <v>5</v>
      </c>
      <c r="H249" s="15" t="str">
        <f t="shared" si="10"/>
        <v>Sep</v>
      </c>
      <c r="I249" s="15">
        <f t="shared" si="11"/>
        <v>2022</v>
      </c>
    </row>
    <row r="250" spans="1:9" x14ac:dyDescent="0.35">
      <c r="A250" s="37">
        <v>44810</v>
      </c>
      <c r="B250" s="15" t="s">
        <v>31</v>
      </c>
      <c r="C250" s="25">
        <v>15</v>
      </c>
      <c r="D250" s="39">
        <v>87</v>
      </c>
      <c r="E250" s="38">
        <v>78.3</v>
      </c>
      <c r="F250" s="40" t="s">
        <v>180</v>
      </c>
      <c r="G250" s="15">
        <f t="shared" si="9"/>
        <v>6</v>
      </c>
      <c r="H250" s="15" t="str">
        <f t="shared" si="10"/>
        <v>Sep</v>
      </c>
      <c r="I250" s="15">
        <f t="shared" si="11"/>
        <v>2022</v>
      </c>
    </row>
    <row r="251" spans="1:9" x14ac:dyDescent="0.35">
      <c r="A251" s="37">
        <v>44811</v>
      </c>
      <c r="B251" s="15" t="s">
        <v>32</v>
      </c>
      <c r="C251" s="25">
        <v>10</v>
      </c>
      <c r="D251" s="39">
        <v>120</v>
      </c>
      <c r="E251" s="38">
        <v>108</v>
      </c>
      <c r="F251" s="40" t="s">
        <v>183</v>
      </c>
      <c r="G251" s="15">
        <f t="shared" si="9"/>
        <v>7</v>
      </c>
      <c r="H251" s="15" t="str">
        <f t="shared" si="10"/>
        <v>Sep</v>
      </c>
      <c r="I251" s="15">
        <f t="shared" si="11"/>
        <v>2022</v>
      </c>
    </row>
    <row r="252" spans="1:9" x14ac:dyDescent="0.35">
      <c r="A252" s="37">
        <v>44812</v>
      </c>
      <c r="B252" s="15" t="s">
        <v>33</v>
      </c>
      <c r="C252" s="25">
        <v>25</v>
      </c>
      <c r="D252" s="39">
        <v>148</v>
      </c>
      <c r="E252" s="38">
        <v>133.19999999999999</v>
      </c>
      <c r="F252" s="40" t="s">
        <v>183</v>
      </c>
      <c r="G252" s="15">
        <f t="shared" si="9"/>
        <v>8</v>
      </c>
      <c r="H252" s="15" t="str">
        <f t="shared" si="10"/>
        <v>Sep</v>
      </c>
      <c r="I252" s="15">
        <f t="shared" si="11"/>
        <v>2022</v>
      </c>
    </row>
    <row r="253" spans="1:9" x14ac:dyDescent="0.35">
      <c r="A253" s="37">
        <v>44813</v>
      </c>
      <c r="B253" s="15" t="s">
        <v>34</v>
      </c>
      <c r="C253" s="25">
        <v>30</v>
      </c>
      <c r="D253" s="39">
        <v>300</v>
      </c>
      <c r="E253" s="38">
        <v>270</v>
      </c>
      <c r="F253" s="40" t="s">
        <v>181</v>
      </c>
      <c r="G253" s="15">
        <f t="shared" si="9"/>
        <v>9</v>
      </c>
      <c r="H253" s="15" t="str">
        <f t="shared" si="10"/>
        <v>Sep</v>
      </c>
      <c r="I253" s="15">
        <f t="shared" si="11"/>
        <v>2022</v>
      </c>
    </row>
    <row r="254" spans="1:9" x14ac:dyDescent="0.35">
      <c r="A254" s="37">
        <v>44814</v>
      </c>
      <c r="B254" s="15" t="s">
        <v>35</v>
      </c>
      <c r="C254" s="25">
        <v>10</v>
      </c>
      <c r="D254" s="39">
        <v>320</v>
      </c>
      <c r="E254" s="38">
        <v>288</v>
      </c>
      <c r="F254" s="40" t="s">
        <v>180</v>
      </c>
      <c r="G254" s="15">
        <f t="shared" si="9"/>
        <v>10</v>
      </c>
      <c r="H254" s="15" t="str">
        <f t="shared" si="10"/>
        <v>Sep</v>
      </c>
      <c r="I254" s="15">
        <f t="shared" si="11"/>
        <v>2022</v>
      </c>
    </row>
    <row r="255" spans="1:9" x14ac:dyDescent="0.35">
      <c r="A255" s="37">
        <v>44815</v>
      </c>
      <c r="B255" s="15" t="s">
        <v>36</v>
      </c>
      <c r="C255" s="25">
        <v>20</v>
      </c>
      <c r="D255" s="39">
        <v>530</v>
      </c>
      <c r="E255" s="38">
        <v>477</v>
      </c>
      <c r="F255" s="40" t="s">
        <v>180</v>
      </c>
      <c r="G255" s="15">
        <f t="shared" si="9"/>
        <v>11</v>
      </c>
      <c r="H255" s="15" t="str">
        <f t="shared" si="10"/>
        <v>Sep</v>
      </c>
      <c r="I255" s="15">
        <f t="shared" si="11"/>
        <v>2022</v>
      </c>
    </row>
    <row r="256" spans="1:9" x14ac:dyDescent="0.35">
      <c r="A256" s="37">
        <v>44816</v>
      </c>
      <c r="B256" s="15" t="s">
        <v>37</v>
      </c>
      <c r="C256" s="25">
        <v>5</v>
      </c>
      <c r="D256" s="39">
        <v>5000</v>
      </c>
      <c r="E256" s="38">
        <v>4500</v>
      </c>
      <c r="F256" s="40" t="s">
        <v>183</v>
      </c>
      <c r="G256" s="15">
        <f t="shared" si="9"/>
        <v>12</v>
      </c>
      <c r="H256" s="15" t="str">
        <f t="shared" si="10"/>
        <v>Sep</v>
      </c>
      <c r="I256" s="15">
        <f t="shared" si="11"/>
        <v>2022</v>
      </c>
    </row>
    <row r="257" spans="1:9" x14ac:dyDescent="0.35">
      <c r="A257" s="37">
        <v>44817</v>
      </c>
      <c r="B257" s="15" t="s">
        <v>38</v>
      </c>
      <c r="C257" s="25">
        <v>15</v>
      </c>
      <c r="D257" s="39">
        <v>650</v>
      </c>
      <c r="E257" s="38">
        <v>585</v>
      </c>
      <c r="F257" s="40" t="s">
        <v>181</v>
      </c>
      <c r="G257" s="15">
        <f t="shared" si="9"/>
        <v>13</v>
      </c>
      <c r="H257" s="15" t="str">
        <f t="shared" si="10"/>
        <v>Sep</v>
      </c>
      <c r="I257" s="15">
        <f t="shared" si="11"/>
        <v>2022</v>
      </c>
    </row>
    <row r="258" spans="1:9" x14ac:dyDescent="0.35">
      <c r="A258" s="37">
        <v>44818</v>
      </c>
      <c r="B258" s="15" t="s">
        <v>39</v>
      </c>
      <c r="C258" s="25">
        <v>20</v>
      </c>
      <c r="D258" s="39">
        <v>640</v>
      </c>
      <c r="E258" s="38">
        <v>576</v>
      </c>
      <c r="F258" s="40" t="s">
        <v>180</v>
      </c>
      <c r="G258" s="15">
        <f t="shared" si="9"/>
        <v>14</v>
      </c>
      <c r="H258" s="15" t="str">
        <f t="shared" si="10"/>
        <v>Sep</v>
      </c>
      <c r="I258" s="15">
        <f t="shared" si="11"/>
        <v>2022</v>
      </c>
    </row>
    <row r="259" spans="1:9" x14ac:dyDescent="0.35">
      <c r="A259" s="37">
        <v>44819</v>
      </c>
      <c r="B259" s="15" t="s">
        <v>40</v>
      </c>
      <c r="C259" s="25">
        <v>30</v>
      </c>
      <c r="D259" s="39">
        <v>360</v>
      </c>
      <c r="E259" s="38">
        <v>324</v>
      </c>
      <c r="F259" s="40" t="s">
        <v>182</v>
      </c>
      <c r="G259" s="15">
        <f t="shared" ref="G259:G322" si="12">DAY(A259)</f>
        <v>15</v>
      </c>
      <c r="H259" s="15" t="str">
        <f t="shared" ref="H259:H322" si="13">TEXT(A259,"mmm")</f>
        <v>Sep</v>
      </c>
      <c r="I259" s="15">
        <f t="shared" ref="I259:I322" si="14">YEAR(A259)</f>
        <v>2022</v>
      </c>
    </row>
    <row r="260" spans="1:9" x14ac:dyDescent="0.35">
      <c r="A260" s="37">
        <v>44820</v>
      </c>
      <c r="B260" s="15" t="s">
        <v>41</v>
      </c>
      <c r="C260" s="25">
        <v>10</v>
      </c>
      <c r="D260" s="39">
        <v>540</v>
      </c>
      <c r="E260" s="38">
        <v>486</v>
      </c>
      <c r="F260" s="40" t="s">
        <v>180</v>
      </c>
      <c r="G260" s="15">
        <f t="shared" si="12"/>
        <v>16</v>
      </c>
      <c r="H260" s="15" t="str">
        <f t="shared" si="13"/>
        <v>Sep</v>
      </c>
      <c r="I260" s="15">
        <f t="shared" si="14"/>
        <v>2022</v>
      </c>
    </row>
    <row r="261" spans="1:9" x14ac:dyDescent="0.35">
      <c r="A261" s="37">
        <v>44821</v>
      </c>
      <c r="B261" s="15" t="s">
        <v>42</v>
      </c>
      <c r="C261" s="25">
        <v>5</v>
      </c>
      <c r="D261" s="39">
        <v>400</v>
      </c>
      <c r="E261" s="38">
        <v>360</v>
      </c>
      <c r="F261" s="40" t="s">
        <v>183</v>
      </c>
      <c r="G261" s="15">
        <f t="shared" si="12"/>
        <v>17</v>
      </c>
      <c r="H261" s="15" t="str">
        <f t="shared" si="13"/>
        <v>Sep</v>
      </c>
      <c r="I261" s="15">
        <f t="shared" si="14"/>
        <v>2022</v>
      </c>
    </row>
    <row r="262" spans="1:9" x14ac:dyDescent="0.35">
      <c r="A262" s="37">
        <v>44822</v>
      </c>
      <c r="B262" s="15" t="s">
        <v>23</v>
      </c>
      <c r="C262" s="25">
        <v>10</v>
      </c>
      <c r="D262" s="39">
        <v>3</v>
      </c>
      <c r="E262" s="38">
        <v>2.7</v>
      </c>
      <c r="F262" s="40" t="s">
        <v>181</v>
      </c>
      <c r="G262" s="15">
        <f t="shared" si="12"/>
        <v>18</v>
      </c>
      <c r="H262" s="15" t="str">
        <f t="shared" si="13"/>
        <v>Sep</v>
      </c>
      <c r="I262" s="15">
        <f t="shared" si="14"/>
        <v>2022</v>
      </c>
    </row>
    <row r="263" spans="1:9" x14ac:dyDescent="0.35">
      <c r="A263" s="37">
        <v>44823</v>
      </c>
      <c r="B263" s="15" t="s">
        <v>24</v>
      </c>
      <c r="C263" s="25">
        <v>15</v>
      </c>
      <c r="D263" s="39">
        <v>45</v>
      </c>
      <c r="E263" s="38">
        <v>40.5</v>
      </c>
      <c r="F263" s="40" t="s">
        <v>182</v>
      </c>
      <c r="G263" s="15">
        <f t="shared" si="12"/>
        <v>19</v>
      </c>
      <c r="H263" s="15" t="str">
        <f t="shared" si="13"/>
        <v>Sep</v>
      </c>
      <c r="I263" s="15">
        <f t="shared" si="14"/>
        <v>2022</v>
      </c>
    </row>
    <row r="264" spans="1:9" x14ac:dyDescent="0.35">
      <c r="A264" s="37">
        <v>44824</v>
      </c>
      <c r="B264" s="15" t="s">
        <v>25</v>
      </c>
      <c r="C264" s="25">
        <v>20</v>
      </c>
      <c r="D264" s="39">
        <v>90</v>
      </c>
      <c r="E264" s="38">
        <v>81</v>
      </c>
      <c r="F264" s="40" t="s">
        <v>180</v>
      </c>
      <c r="G264" s="15">
        <f t="shared" si="12"/>
        <v>20</v>
      </c>
      <c r="H264" s="15" t="str">
        <f t="shared" si="13"/>
        <v>Sep</v>
      </c>
      <c r="I264" s="15">
        <f t="shared" si="14"/>
        <v>2022</v>
      </c>
    </row>
    <row r="265" spans="1:9" x14ac:dyDescent="0.35">
      <c r="A265" s="37">
        <v>44825</v>
      </c>
      <c r="B265" s="15" t="s">
        <v>26</v>
      </c>
      <c r="C265" s="25">
        <v>25</v>
      </c>
      <c r="D265" s="39">
        <v>35</v>
      </c>
      <c r="E265" s="38">
        <v>31.5</v>
      </c>
      <c r="F265" s="40" t="s">
        <v>183</v>
      </c>
      <c r="G265" s="15">
        <f t="shared" si="12"/>
        <v>21</v>
      </c>
      <c r="H265" s="15" t="str">
        <f t="shared" si="13"/>
        <v>Sep</v>
      </c>
      <c r="I265" s="15">
        <f t="shared" si="14"/>
        <v>2022</v>
      </c>
    </row>
    <row r="266" spans="1:9" x14ac:dyDescent="0.35">
      <c r="A266" s="37">
        <v>44826</v>
      </c>
      <c r="B266" s="15" t="s">
        <v>27</v>
      </c>
      <c r="C266" s="25">
        <v>30</v>
      </c>
      <c r="D266" s="39">
        <v>145</v>
      </c>
      <c r="E266" s="38">
        <v>130.5</v>
      </c>
      <c r="F266" s="40" t="s">
        <v>183</v>
      </c>
      <c r="G266" s="15">
        <f t="shared" si="12"/>
        <v>22</v>
      </c>
      <c r="H266" s="15" t="str">
        <f t="shared" si="13"/>
        <v>Sep</v>
      </c>
      <c r="I266" s="15">
        <f t="shared" si="14"/>
        <v>2022</v>
      </c>
    </row>
    <row r="267" spans="1:9" x14ac:dyDescent="0.35">
      <c r="A267" s="37">
        <v>44827</v>
      </c>
      <c r="B267" s="15" t="s">
        <v>28</v>
      </c>
      <c r="C267" s="25">
        <v>10</v>
      </c>
      <c r="D267" s="39">
        <v>125</v>
      </c>
      <c r="E267" s="38">
        <v>112.5</v>
      </c>
      <c r="F267" s="40" t="s">
        <v>181</v>
      </c>
      <c r="G267" s="15">
        <f t="shared" si="12"/>
        <v>23</v>
      </c>
      <c r="H267" s="15" t="str">
        <f t="shared" si="13"/>
        <v>Sep</v>
      </c>
      <c r="I267" s="15">
        <f t="shared" si="14"/>
        <v>2022</v>
      </c>
    </row>
    <row r="268" spans="1:9" x14ac:dyDescent="0.35">
      <c r="A268" s="37">
        <v>44828</v>
      </c>
      <c r="B268" s="15" t="s">
        <v>29</v>
      </c>
      <c r="C268" s="25">
        <v>5</v>
      </c>
      <c r="D268" s="39">
        <v>56</v>
      </c>
      <c r="E268" s="38">
        <v>50.4</v>
      </c>
      <c r="F268" s="40" t="s">
        <v>180</v>
      </c>
      <c r="G268" s="15">
        <f t="shared" si="12"/>
        <v>24</v>
      </c>
      <c r="H268" s="15" t="str">
        <f t="shared" si="13"/>
        <v>Sep</v>
      </c>
      <c r="I268" s="15">
        <f t="shared" si="14"/>
        <v>2022</v>
      </c>
    </row>
    <row r="269" spans="1:9" x14ac:dyDescent="0.35">
      <c r="A269" s="37">
        <v>44829</v>
      </c>
      <c r="B269" s="15" t="s">
        <v>30</v>
      </c>
      <c r="C269" s="25">
        <v>20</v>
      </c>
      <c r="D269" s="39">
        <v>34</v>
      </c>
      <c r="E269" s="38">
        <v>30.6</v>
      </c>
      <c r="F269" s="40" t="s">
        <v>182</v>
      </c>
      <c r="G269" s="15">
        <f t="shared" si="12"/>
        <v>25</v>
      </c>
      <c r="H269" s="15" t="str">
        <f t="shared" si="13"/>
        <v>Sep</v>
      </c>
      <c r="I269" s="15">
        <f t="shared" si="14"/>
        <v>2022</v>
      </c>
    </row>
    <row r="270" spans="1:9" x14ac:dyDescent="0.35">
      <c r="A270" s="37">
        <v>44830</v>
      </c>
      <c r="B270" s="15" t="s">
        <v>31</v>
      </c>
      <c r="C270" s="25">
        <v>15</v>
      </c>
      <c r="D270" s="39">
        <v>87</v>
      </c>
      <c r="E270" s="38">
        <v>78.3</v>
      </c>
      <c r="F270" s="40" t="s">
        <v>180</v>
      </c>
      <c r="G270" s="15">
        <f t="shared" si="12"/>
        <v>26</v>
      </c>
      <c r="H270" s="15" t="str">
        <f t="shared" si="13"/>
        <v>Sep</v>
      </c>
      <c r="I270" s="15">
        <f t="shared" si="14"/>
        <v>2022</v>
      </c>
    </row>
    <row r="271" spans="1:9" x14ac:dyDescent="0.35">
      <c r="A271" s="37">
        <v>44831</v>
      </c>
      <c r="B271" s="15" t="s">
        <v>32</v>
      </c>
      <c r="C271" s="25">
        <v>10</v>
      </c>
      <c r="D271" s="39">
        <v>120</v>
      </c>
      <c r="E271" s="38">
        <v>108</v>
      </c>
      <c r="F271" s="40" t="s">
        <v>183</v>
      </c>
      <c r="G271" s="15">
        <f t="shared" si="12"/>
        <v>27</v>
      </c>
      <c r="H271" s="15" t="str">
        <f t="shared" si="13"/>
        <v>Sep</v>
      </c>
      <c r="I271" s="15">
        <f t="shared" si="14"/>
        <v>2022</v>
      </c>
    </row>
    <row r="272" spans="1:9" x14ac:dyDescent="0.35">
      <c r="A272" s="37">
        <v>44832</v>
      </c>
      <c r="B272" s="15" t="s">
        <v>33</v>
      </c>
      <c r="C272" s="25">
        <v>25</v>
      </c>
      <c r="D272" s="39">
        <v>148</v>
      </c>
      <c r="E272" s="38">
        <v>133.19999999999999</v>
      </c>
      <c r="F272" s="40" t="s">
        <v>181</v>
      </c>
      <c r="G272" s="15">
        <f t="shared" si="12"/>
        <v>28</v>
      </c>
      <c r="H272" s="15" t="str">
        <f t="shared" si="13"/>
        <v>Sep</v>
      </c>
      <c r="I272" s="15">
        <f t="shared" si="14"/>
        <v>2022</v>
      </c>
    </row>
    <row r="273" spans="1:9" x14ac:dyDescent="0.35">
      <c r="A273" s="37">
        <v>44833</v>
      </c>
      <c r="B273" s="15" t="s">
        <v>34</v>
      </c>
      <c r="C273" s="25">
        <v>30</v>
      </c>
      <c r="D273" s="39">
        <v>300</v>
      </c>
      <c r="E273" s="38">
        <v>270</v>
      </c>
      <c r="F273" s="40" t="s">
        <v>182</v>
      </c>
      <c r="G273" s="15">
        <f t="shared" si="12"/>
        <v>29</v>
      </c>
      <c r="H273" s="15" t="str">
        <f t="shared" si="13"/>
        <v>Sep</v>
      </c>
      <c r="I273" s="15">
        <f t="shared" si="14"/>
        <v>2022</v>
      </c>
    </row>
    <row r="274" spans="1:9" x14ac:dyDescent="0.35">
      <c r="A274" s="37">
        <v>44834</v>
      </c>
      <c r="B274" s="15" t="s">
        <v>35</v>
      </c>
      <c r="C274" s="25">
        <v>10</v>
      </c>
      <c r="D274" s="39">
        <v>320</v>
      </c>
      <c r="E274" s="38">
        <v>288</v>
      </c>
      <c r="F274" s="40" t="s">
        <v>180</v>
      </c>
      <c r="G274" s="15">
        <f t="shared" si="12"/>
        <v>30</v>
      </c>
      <c r="H274" s="15" t="str">
        <f t="shared" si="13"/>
        <v>Sep</v>
      </c>
      <c r="I274" s="15">
        <f t="shared" si="14"/>
        <v>2022</v>
      </c>
    </row>
    <row r="275" spans="1:9" x14ac:dyDescent="0.35">
      <c r="A275" s="37">
        <v>44835</v>
      </c>
      <c r="B275" s="15" t="s">
        <v>36</v>
      </c>
      <c r="C275" s="25">
        <v>20</v>
      </c>
      <c r="D275" s="39">
        <v>530</v>
      </c>
      <c r="E275" s="38">
        <v>477</v>
      </c>
      <c r="F275" s="40" t="s">
        <v>183</v>
      </c>
      <c r="G275" s="15">
        <f t="shared" si="12"/>
        <v>1</v>
      </c>
      <c r="H275" s="15" t="str">
        <f t="shared" si="13"/>
        <v>Oct</v>
      </c>
      <c r="I275" s="15">
        <f t="shared" si="14"/>
        <v>2022</v>
      </c>
    </row>
    <row r="276" spans="1:9" x14ac:dyDescent="0.35">
      <c r="A276" s="37">
        <v>44836</v>
      </c>
      <c r="B276" s="15" t="s">
        <v>37</v>
      </c>
      <c r="C276" s="25">
        <v>5</v>
      </c>
      <c r="D276" s="39">
        <v>5000</v>
      </c>
      <c r="E276" s="38">
        <v>4500</v>
      </c>
      <c r="F276" s="40" t="s">
        <v>183</v>
      </c>
      <c r="G276" s="15">
        <f t="shared" si="12"/>
        <v>2</v>
      </c>
      <c r="H276" s="15" t="str">
        <f t="shared" si="13"/>
        <v>Oct</v>
      </c>
      <c r="I276" s="15">
        <f t="shared" si="14"/>
        <v>2022</v>
      </c>
    </row>
    <row r="277" spans="1:9" x14ac:dyDescent="0.35">
      <c r="A277" s="37">
        <v>44837</v>
      </c>
      <c r="B277" s="15" t="s">
        <v>38</v>
      </c>
      <c r="C277" s="25">
        <v>15</v>
      </c>
      <c r="D277" s="39">
        <v>650</v>
      </c>
      <c r="E277" s="38">
        <v>585</v>
      </c>
      <c r="F277" s="40" t="s">
        <v>181</v>
      </c>
      <c r="G277" s="15">
        <f t="shared" si="12"/>
        <v>3</v>
      </c>
      <c r="H277" s="15" t="str">
        <f t="shared" si="13"/>
        <v>Oct</v>
      </c>
      <c r="I277" s="15">
        <f t="shared" si="14"/>
        <v>2022</v>
      </c>
    </row>
    <row r="278" spans="1:9" x14ac:dyDescent="0.35">
      <c r="A278" s="37">
        <v>44838</v>
      </c>
      <c r="B278" s="15" t="s">
        <v>39</v>
      </c>
      <c r="C278" s="25">
        <v>20</v>
      </c>
      <c r="D278" s="39">
        <v>640</v>
      </c>
      <c r="E278" s="38">
        <v>576</v>
      </c>
      <c r="F278" s="40" t="s">
        <v>180</v>
      </c>
      <c r="G278" s="15">
        <f t="shared" si="12"/>
        <v>4</v>
      </c>
      <c r="H278" s="15" t="str">
        <f t="shared" si="13"/>
        <v>Oct</v>
      </c>
      <c r="I278" s="15">
        <f t="shared" si="14"/>
        <v>2022</v>
      </c>
    </row>
    <row r="279" spans="1:9" x14ac:dyDescent="0.35">
      <c r="A279" s="37">
        <v>44839</v>
      </c>
      <c r="B279" s="15" t="s">
        <v>40</v>
      </c>
      <c r="C279" s="25">
        <v>30</v>
      </c>
      <c r="D279" s="39">
        <v>360</v>
      </c>
      <c r="E279" s="38">
        <v>324</v>
      </c>
      <c r="F279" s="40" t="s">
        <v>182</v>
      </c>
      <c r="G279" s="15">
        <f t="shared" si="12"/>
        <v>5</v>
      </c>
      <c r="H279" s="15" t="str">
        <f t="shared" si="13"/>
        <v>Oct</v>
      </c>
      <c r="I279" s="15">
        <f t="shared" si="14"/>
        <v>2022</v>
      </c>
    </row>
    <row r="280" spans="1:9" x14ac:dyDescent="0.35">
      <c r="A280" s="37">
        <v>44840</v>
      </c>
      <c r="B280" s="15" t="s">
        <v>41</v>
      </c>
      <c r="C280" s="25">
        <v>10</v>
      </c>
      <c r="D280" s="39">
        <v>540</v>
      </c>
      <c r="E280" s="38">
        <v>486</v>
      </c>
      <c r="F280" s="40" t="s">
        <v>180</v>
      </c>
      <c r="G280" s="15">
        <f t="shared" si="12"/>
        <v>6</v>
      </c>
      <c r="H280" s="15" t="str">
        <f t="shared" si="13"/>
        <v>Oct</v>
      </c>
      <c r="I280" s="15">
        <f t="shared" si="14"/>
        <v>2022</v>
      </c>
    </row>
    <row r="281" spans="1:9" x14ac:dyDescent="0.35">
      <c r="A281" s="37">
        <v>44841</v>
      </c>
      <c r="B281" s="15" t="s">
        <v>42</v>
      </c>
      <c r="C281" s="25">
        <v>5</v>
      </c>
      <c r="D281" s="39">
        <v>400</v>
      </c>
      <c r="E281" s="38">
        <v>360</v>
      </c>
      <c r="F281" s="40" t="s">
        <v>183</v>
      </c>
      <c r="G281" s="15">
        <f t="shared" si="12"/>
        <v>7</v>
      </c>
      <c r="H281" s="15" t="str">
        <f t="shared" si="13"/>
        <v>Oct</v>
      </c>
      <c r="I281" s="15">
        <f t="shared" si="14"/>
        <v>2022</v>
      </c>
    </row>
    <row r="282" spans="1:9" x14ac:dyDescent="0.35">
      <c r="A282" s="37">
        <v>44842</v>
      </c>
      <c r="B282" s="15" t="s">
        <v>23</v>
      </c>
      <c r="C282" s="25">
        <v>10</v>
      </c>
      <c r="D282" s="39">
        <v>3</v>
      </c>
      <c r="E282" s="38">
        <v>2.7</v>
      </c>
      <c r="F282" s="40" t="s">
        <v>182</v>
      </c>
      <c r="G282" s="15">
        <f t="shared" si="12"/>
        <v>8</v>
      </c>
      <c r="H282" s="15" t="str">
        <f t="shared" si="13"/>
        <v>Oct</v>
      </c>
      <c r="I282" s="15">
        <f t="shared" si="14"/>
        <v>2022</v>
      </c>
    </row>
    <row r="283" spans="1:9" x14ac:dyDescent="0.35">
      <c r="A283" s="37">
        <v>44843</v>
      </c>
      <c r="B283" s="15" t="s">
        <v>24</v>
      </c>
      <c r="C283" s="25">
        <v>15</v>
      </c>
      <c r="D283" s="39">
        <v>45</v>
      </c>
      <c r="E283" s="38">
        <v>40.5</v>
      </c>
      <c r="F283" s="40" t="s">
        <v>180</v>
      </c>
      <c r="G283" s="15">
        <f t="shared" si="12"/>
        <v>9</v>
      </c>
      <c r="H283" s="15" t="str">
        <f t="shared" si="13"/>
        <v>Oct</v>
      </c>
      <c r="I283" s="15">
        <f t="shared" si="14"/>
        <v>2022</v>
      </c>
    </row>
    <row r="284" spans="1:9" x14ac:dyDescent="0.35">
      <c r="A284" s="37">
        <v>44844</v>
      </c>
      <c r="B284" s="15" t="s">
        <v>25</v>
      </c>
      <c r="C284" s="25">
        <v>20</v>
      </c>
      <c r="D284" s="39">
        <v>90</v>
      </c>
      <c r="E284" s="38">
        <v>81</v>
      </c>
      <c r="F284" s="40" t="s">
        <v>183</v>
      </c>
      <c r="G284" s="15">
        <f t="shared" si="12"/>
        <v>10</v>
      </c>
      <c r="H284" s="15" t="str">
        <f t="shared" si="13"/>
        <v>Oct</v>
      </c>
      <c r="I284" s="15">
        <f t="shared" si="14"/>
        <v>2022</v>
      </c>
    </row>
    <row r="285" spans="1:9" x14ac:dyDescent="0.35">
      <c r="A285" s="37">
        <v>44845</v>
      </c>
      <c r="B285" s="15" t="s">
        <v>26</v>
      </c>
      <c r="C285" s="25">
        <v>25</v>
      </c>
      <c r="D285" s="39">
        <v>35</v>
      </c>
      <c r="E285" s="38">
        <v>31.5</v>
      </c>
      <c r="F285" s="40" t="s">
        <v>183</v>
      </c>
      <c r="G285" s="15">
        <f t="shared" si="12"/>
        <v>11</v>
      </c>
      <c r="H285" s="15" t="str">
        <f t="shared" si="13"/>
        <v>Oct</v>
      </c>
      <c r="I285" s="15">
        <f t="shared" si="14"/>
        <v>2022</v>
      </c>
    </row>
    <row r="286" spans="1:9" x14ac:dyDescent="0.35">
      <c r="A286" s="37">
        <v>44846</v>
      </c>
      <c r="B286" s="15" t="s">
        <v>27</v>
      </c>
      <c r="C286" s="25">
        <v>30</v>
      </c>
      <c r="D286" s="39">
        <v>145</v>
      </c>
      <c r="E286" s="38">
        <v>130.5</v>
      </c>
      <c r="F286" s="40" t="s">
        <v>181</v>
      </c>
      <c r="G286" s="15">
        <f t="shared" si="12"/>
        <v>12</v>
      </c>
      <c r="H286" s="15" t="str">
        <f t="shared" si="13"/>
        <v>Oct</v>
      </c>
      <c r="I286" s="15">
        <f t="shared" si="14"/>
        <v>2022</v>
      </c>
    </row>
    <row r="287" spans="1:9" x14ac:dyDescent="0.35">
      <c r="A287" s="37">
        <v>44847</v>
      </c>
      <c r="B287" s="15" t="s">
        <v>28</v>
      </c>
      <c r="C287" s="25">
        <v>10</v>
      </c>
      <c r="D287" s="39">
        <v>125</v>
      </c>
      <c r="E287" s="38">
        <v>112.5</v>
      </c>
      <c r="F287" s="40" t="s">
        <v>180</v>
      </c>
      <c r="G287" s="15">
        <f t="shared" si="12"/>
        <v>13</v>
      </c>
      <c r="H287" s="15" t="str">
        <f t="shared" si="13"/>
        <v>Oct</v>
      </c>
      <c r="I287" s="15">
        <f t="shared" si="14"/>
        <v>2022</v>
      </c>
    </row>
    <row r="288" spans="1:9" x14ac:dyDescent="0.35">
      <c r="A288" s="37">
        <v>44848</v>
      </c>
      <c r="B288" s="15" t="s">
        <v>29</v>
      </c>
      <c r="C288" s="25">
        <v>5</v>
      </c>
      <c r="D288" s="39">
        <v>56</v>
      </c>
      <c r="E288" s="38">
        <v>50.4</v>
      </c>
      <c r="F288" s="40" t="s">
        <v>180</v>
      </c>
      <c r="G288" s="15">
        <f t="shared" si="12"/>
        <v>14</v>
      </c>
      <c r="H288" s="15" t="str">
        <f t="shared" si="13"/>
        <v>Oct</v>
      </c>
      <c r="I288" s="15">
        <f t="shared" si="14"/>
        <v>2022</v>
      </c>
    </row>
    <row r="289" spans="1:9" x14ac:dyDescent="0.35">
      <c r="A289" s="37">
        <v>44849</v>
      </c>
      <c r="B289" s="15" t="s">
        <v>30</v>
      </c>
      <c r="C289" s="25">
        <v>20</v>
      </c>
      <c r="D289" s="39">
        <v>34</v>
      </c>
      <c r="E289" s="38">
        <v>30.6</v>
      </c>
      <c r="F289" s="40" t="s">
        <v>182</v>
      </c>
      <c r="G289" s="15">
        <f t="shared" si="12"/>
        <v>15</v>
      </c>
      <c r="H289" s="15" t="str">
        <f t="shared" si="13"/>
        <v>Oct</v>
      </c>
      <c r="I289" s="15">
        <f t="shared" si="14"/>
        <v>2022</v>
      </c>
    </row>
    <row r="290" spans="1:9" x14ac:dyDescent="0.35">
      <c r="A290" s="37">
        <v>44850</v>
      </c>
      <c r="B290" s="15" t="s">
        <v>31</v>
      </c>
      <c r="C290" s="25">
        <v>15</v>
      </c>
      <c r="D290" s="39">
        <v>87</v>
      </c>
      <c r="E290" s="38">
        <v>78.3</v>
      </c>
      <c r="F290" s="40" t="s">
        <v>180</v>
      </c>
      <c r="G290" s="15">
        <f t="shared" si="12"/>
        <v>16</v>
      </c>
      <c r="H290" s="15" t="str">
        <f t="shared" si="13"/>
        <v>Oct</v>
      </c>
      <c r="I290" s="15">
        <f t="shared" si="14"/>
        <v>2022</v>
      </c>
    </row>
    <row r="291" spans="1:9" x14ac:dyDescent="0.35">
      <c r="A291" s="37">
        <v>44851</v>
      </c>
      <c r="B291" s="15" t="s">
        <v>32</v>
      </c>
      <c r="C291" s="25">
        <v>10</v>
      </c>
      <c r="D291" s="39">
        <v>120</v>
      </c>
      <c r="E291" s="38">
        <v>108</v>
      </c>
      <c r="F291" s="40" t="s">
        <v>183</v>
      </c>
      <c r="G291" s="15">
        <f t="shared" si="12"/>
        <v>17</v>
      </c>
      <c r="H291" s="15" t="str">
        <f t="shared" si="13"/>
        <v>Oct</v>
      </c>
      <c r="I291" s="15">
        <f t="shared" si="14"/>
        <v>2022</v>
      </c>
    </row>
    <row r="292" spans="1:9" x14ac:dyDescent="0.35">
      <c r="A292" s="37">
        <v>44852</v>
      </c>
      <c r="B292" s="15" t="s">
        <v>33</v>
      </c>
      <c r="C292" s="25">
        <v>25</v>
      </c>
      <c r="D292" s="39">
        <v>148</v>
      </c>
      <c r="E292" s="38">
        <v>133.19999999999999</v>
      </c>
      <c r="F292" s="40" t="s">
        <v>181</v>
      </c>
      <c r="G292" s="15">
        <f t="shared" si="12"/>
        <v>18</v>
      </c>
      <c r="H292" s="15" t="str">
        <f t="shared" si="13"/>
        <v>Oct</v>
      </c>
      <c r="I292" s="15">
        <f t="shared" si="14"/>
        <v>2022</v>
      </c>
    </row>
    <row r="293" spans="1:9" x14ac:dyDescent="0.35">
      <c r="A293" s="37">
        <v>44853</v>
      </c>
      <c r="B293" s="15" t="s">
        <v>34</v>
      </c>
      <c r="C293" s="25">
        <v>30</v>
      </c>
      <c r="D293" s="39">
        <v>300</v>
      </c>
      <c r="E293" s="38">
        <v>270</v>
      </c>
      <c r="F293" s="40" t="s">
        <v>181</v>
      </c>
      <c r="G293" s="15">
        <f t="shared" si="12"/>
        <v>19</v>
      </c>
      <c r="H293" s="15" t="str">
        <f t="shared" si="13"/>
        <v>Oct</v>
      </c>
      <c r="I293" s="15">
        <f t="shared" si="14"/>
        <v>2022</v>
      </c>
    </row>
    <row r="294" spans="1:9" x14ac:dyDescent="0.35">
      <c r="A294" s="37">
        <v>44854</v>
      </c>
      <c r="B294" s="15" t="s">
        <v>35</v>
      </c>
      <c r="C294" s="25">
        <v>10</v>
      </c>
      <c r="D294" s="39">
        <v>320</v>
      </c>
      <c r="E294" s="38">
        <v>288</v>
      </c>
      <c r="F294" s="40" t="s">
        <v>180</v>
      </c>
      <c r="G294" s="15">
        <f t="shared" si="12"/>
        <v>20</v>
      </c>
      <c r="H294" s="15" t="str">
        <f t="shared" si="13"/>
        <v>Oct</v>
      </c>
      <c r="I294" s="15">
        <f t="shared" si="14"/>
        <v>2022</v>
      </c>
    </row>
    <row r="295" spans="1:9" x14ac:dyDescent="0.35">
      <c r="A295" s="37">
        <v>44855</v>
      </c>
      <c r="B295" s="15" t="s">
        <v>36</v>
      </c>
      <c r="C295" s="25">
        <v>20</v>
      </c>
      <c r="D295" s="39">
        <v>530</v>
      </c>
      <c r="E295" s="38">
        <v>477</v>
      </c>
      <c r="F295" s="40" t="s">
        <v>180</v>
      </c>
      <c r="G295" s="15">
        <f t="shared" si="12"/>
        <v>21</v>
      </c>
      <c r="H295" s="15" t="str">
        <f t="shared" si="13"/>
        <v>Oct</v>
      </c>
      <c r="I295" s="15">
        <f t="shared" si="14"/>
        <v>2022</v>
      </c>
    </row>
    <row r="296" spans="1:9" x14ac:dyDescent="0.35">
      <c r="A296" s="37">
        <v>44856</v>
      </c>
      <c r="B296" s="15" t="s">
        <v>37</v>
      </c>
      <c r="C296" s="25">
        <v>5</v>
      </c>
      <c r="D296" s="39">
        <v>5000</v>
      </c>
      <c r="E296" s="38">
        <v>4500</v>
      </c>
      <c r="F296" s="40" t="s">
        <v>182</v>
      </c>
      <c r="G296" s="15">
        <f t="shared" si="12"/>
        <v>22</v>
      </c>
      <c r="H296" s="15" t="str">
        <f t="shared" si="13"/>
        <v>Oct</v>
      </c>
      <c r="I296" s="15">
        <f t="shared" si="14"/>
        <v>2022</v>
      </c>
    </row>
    <row r="297" spans="1:9" x14ac:dyDescent="0.35">
      <c r="A297" s="37">
        <v>44857</v>
      </c>
      <c r="B297" s="15" t="s">
        <v>38</v>
      </c>
      <c r="C297" s="25">
        <v>15</v>
      </c>
      <c r="D297" s="39">
        <v>650</v>
      </c>
      <c r="E297" s="38">
        <v>585</v>
      </c>
      <c r="F297" s="40" t="s">
        <v>180</v>
      </c>
      <c r="G297" s="15">
        <f t="shared" si="12"/>
        <v>23</v>
      </c>
      <c r="H297" s="15" t="str">
        <f t="shared" si="13"/>
        <v>Oct</v>
      </c>
      <c r="I297" s="15">
        <f t="shared" si="14"/>
        <v>2022</v>
      </c>
    </row>
    <row r="298" spans="1:9" x14ac:dyDescent="0.35">
      <c r="A298" s="37">
        <v>44858</v>
      </c>
      <c r="B298" s="15" t="s">
        <v>39</v>
      </c>
      <c r="C298" s="25">
        <v>20</v>
      </c>
      <c r="D298" s="39">
        <v>640</v>
      </c>
      <c r="E298" s="38">
        <v>576</v>
      </c>
      <c r="F298" s="40" t="s">
        <v>183</v>
      </c>
      <c r="G298" s="15">
        <f t="shared" si="12"/>
        <v>24</v>
      </c>
      <c r="H298" s="15" t="str">
        <f t="shared" si="13"/>
        <v>Oct</v>
      </c>
      <c r="I298" s="15">
        <f t="shared" si="14"/>
        <v>2022</v>
      </c>
    </row>
    <row r="299" spans="1:9" x14ac:dyDescent="0.35">
      <c r="A299" s="37">
        <v>44859</v>
      </c>
      <c r="B299" s="15" t="s">
        <v>40</v>
      </c>
      <c r="C299" s="25">
        <v>30</v>
      </c>
      <c r="D299" s="39">
        <v>360</v>
      </c>
      <c r="E299" s="38">
        <v>324</v>
      </c>
      <c r="F299" s="40" t="s">
        <v>181</v>
      </c>
      <c r="G299" s="15">
        <f t="shared" si="12"/>
        <v>25</v>
      </c>
      <c r="H299" s="15" t="str">
        <f t="shared" si="13"/>
        <v>Oct</v>
      </c>
      <c r="I299" s="15">
        <f t="shared" si="14"/>
        <v>2022</v>
      </c>
    </row>
    <row r="300" spans="1:9" x14ac:dyDescent="0.35">
      <c r="A300" s="37">
        <v>44860</v>
      </c>
      <c r="B300" s="15" t="s">
        <v>41</v>
      </c>
      <c r="C300" s="25">
        <v>10</v>
      </c>
      <c r="D300" s="39">
        <v>540</v>
      </c>
      <c r="E300" s="38">
        <v>486</v>
      </c>
      <c r="F300" s="40" t="s">
        <v>180</v>
      </c>
      <c r="G300" s="15">
        <f t="shared" si="12"/>
        <v>26</v>
      </c>
      <c r="H300" s="15" t="str">
        <f t="shared" si="13"/>
        <v>Oct</v>
      </c>
      <c r="I300" s="15">
        <f t="shared" si="14"/>
        <v>2022</v>
      </c>
    </row>
    <row r="301" spans="1:9" x14ac:dyDescent="0.35">
      <c r="A301" s="37">
        <v>44861</v>
      </c>
      <c r="B301" s="15" t="s">
        <v>42</v>
      </c>
      <c r="C301" s="25">
        <v>5</v>
      </c>
      <c r="D301" s="39">
        <v>400</v>
      </c>
      <c r="E301" s="38">
        <v>360</v>
      </c>
      <c r="F301" s="40" t="s">
        <v>183</v>
      </c>
      <c r="G301" s="15">
        <f t="shared" si="12"/>
        <v>27</v>
      </c>
      <c r="H301" s="15" t="str">
        <f t="shared" si="13"/>
        <v>Oct</v>
      </c>
      <c r="I301" s="15">
        <f t="shared" si="14"/>
        <v>2022</v>
      </c>
    </row>
    <row r="302" spans="1:9" x14ac:dyDescent="0.35">
      <c r="A302" s="37">
        <v>44862</v>
      </c>
      <c r="B302" s="15" t="s">
        <v>23</v>
      </c>
      <c r="C302" s="25">
        <v>10</v>
      </c>
      <c r="D302" s="39">
        <v>3</v>
      </c>
      <c r="E302" s="38">
        <v>2.7</v>
      </c>
      <c r="F302" s="40" t="s">
        <v>181</v>
      </c>
      <c r="G302" s="15">
        <f t="shared" si="12"/>
        <v>28</v>
      </c>
      <c r="H302" s="15" t="str">
        <f t="shared" si="13"/>
        <v>Oct</v>
      </c>
      <c r="I302" s="15">
        <f t="shared" si="14"/>
        <v>2022</v>
      </c>
    </row>
    <row r="303" spans="1:9" x14ac:dyDescent="0.35">
      <c r="A303" s="37">
        <v>44863</v>
      </c>
      <c r="B303" s="15" t="s">
        <v>24</v>
      </c>
      <c r="C303" s="25">
        <v>15</v>
      </c>
      <c r="D303" s="39">
        <v>45</v>
      </c>
      <c r="E303" s="38">
        <v>40.5</v>
      </c>
      <c r="F303" s="40" t="s">
        <v>180</v>
      </c>
      <c r="G303" s="15">
        <f t="shared" si="12"/>
        <v>29</v>
      </c>
      <c r="H303" s="15" t="str">
        <f t="shared" si="13"/>
        <v>Oct</v>
      </c>
      <c r="I303" s="15">
        <f t="shared" si="14"/>
        <v>2022</v>
      </c>
    </row>
    <row r="304" spans="1:9" x14ac:dyDescent="0.35">
      <c r="A304" s="37">
        <v>44864</v>
      </c>
      <c r="B304" s="15" t="s">
        <v>25</v>
      </c>
      <c r="C304" s="25">
        <v>20</v>
      </c>
      <c r="D304" s="39">
        <v>90</v>
      </c>
      <c r="E304" s="38">
        <v>81</v>
      </c>
      <c r="F304" s="40" t="s">
        <v>182</v>
      </c>
      <c r="G304" s="15">
        <f t="shared" si="12"/>
        <v>30</v>
      </c>
      <c r="H304" s="15" t="str">
        <f t="shared" si="13"/>
        <v>Oct</v>
      </c>
      <c r="I304" s="15">
        <f t="shared" si="14"/>
        <v>2022</v>
      </c>
    </row>
    <row r="305" spans="1:9" x14ac:dyDescent="0.35">
      <c r="A305" s="37">
        <v>44865</v>
      </c>
      <c r="B305" s="15" t="s">
        <v>26</v>
      </c>
      <c r="C305" s="25">
        <v>25</v>
      </c>
      <c r="D305" s="39">
        <v>35</v>
      </c>
      <c r="E305" s="38">
        <v>31.5</v>
      </c>
      <c r="F305" s="40" t="s">
        <v>181</v>
      </c>
      <c r="G305" s="15">
        <f t="shared" si="12"/>
        <v>31</v>
      </c>
      <c r="H305" s="15" t="str">
        <f t="shared" si="13"/>
        <v>Oct</v>
      </c>
      <c r="I305" s="15">
        <f t="shared" si="14"/>
        <v>2022</v>
      </c>
    </row>
    <row r="306" spans="1:9" x14ac:dyDescent="0.35">
      <c r="A306" s="37">
        <v>44866</v>
      </c>
      <c r="B306" s="15" t="s">
        <v>27</v>
      </c>
      <c r="C306" s="25">
        <v>30</v>
      </c>
      <c r="D306" s="39">
        <v>145</v>
      </c>
      <c r="E306" s="38">
        <v>130.5</v>
      </c>
      <c r="F306" s="40" t="s">
        <v>180</v>
      </c>
      <c r="G306" s="15">
        <f t="shared" si="12"/>
        <v>1</v>
      </c>
      <c r="H306" s="15" t="str">
        <f t="shared" si="13"/>
        <v>Nov</v>
      </c>
      <c r="I306" s="15">
        <f t="shared" si="14"/>
        <v>2022</v>
      </c>
    </row>
    <row r="307" spans="1:9" x14ac:dyDescent="0.35">
      <c r="A307" s="37">
        <v>44867</v>
      </c>
      <c r="B307" s="15" t="s">
        <v>28</v>
      </c>
      <c r="C307" s="25">
        <v>10</v>
      </c>
      <c r="D307" s="39">
        <v>125</v>
      </c>
      <c r="E307" s="38">
        <v>112.5</v>
      </c>
      <c r="F307" s="40" t="s">
        <v>180</v>
      </c>
      <c r="G307" s="15">
        <f t="shared" si="12"/>
        <v>2</v>
      </c>
      <c r="H307" s="15" t="str">
        <f t="shared" si="13"/>
        <v>Nov</v>
      </c>
      <c r="I307" s="15">
        <f t="shared" si="14"/>
        <v>2022</v>
      </c>
    </row>
    <row r="308" spans="1:9" x14ac:dyDescent="0.35">
      <c r="A308" s="37">
        <v>44868</v>
      </c>
      <c r="B308" s="15" t="s">
        <v>29</v>
      </c>
      <c r="C308" s="25">
        <v>5</v>
      </c>
      <c r="D308" s="39">
        <v>56</v>
      </c>
      <c r="E308" s="38">
        <v>50.4</v>
      </c>
      <c r="F308" s="40" t="s">
        <v>182</v>
      </c>
      <c r="G308" s="15">
        <f t="shared" si="12"/>
        <v>3</v>
      </c>
      <c r="H308" s="15" t="str">
        <f t="shared" si="13"/>
        <v>Nov</v>
      </c>
      <c r="I308" s="15">
        <f t="shared" si="14"/>
        <v>2022</v>
      </c>
    </row>
    <row r="309" spans="1:9" x14ac:dyDescent="0.35">
      <c r="A309" s="37">
        <v>44869</v>
      </c>
      <c r="B309" s="15" t="s">
        <v>30</v>
      </c>
      <c r="C309" s="25">
        <v>20</v>
      </c>
      <c r="D309" s="39">
        <v>34</v>
      </c>
      <c r="E309" s="38">
        <v>30.6</v>
      </c>
      <c r="F309" s="40" t="s">
        <v>180</v>
      </c>
      <c r="G309" s="15">
        <f t="shared" si="12"/>
        <v>4</v>
      </c>
      <c r="H309" s="15" t="str">
        <f t="shared" si="13"/>
        <v>Nov</v>
      </c>
      <c r="I309" s="15">
        <f t="shared" si="14"/>
        <v>2022</v>
      </c>
    </row>
    <row r="310" spans="1:9" x14ac:dyDescent="0.35">
      <c r="A310" s="37">
        <v>44870</v>
      </c>
      <c r="B310" s="15" t="s">
        <v>31</v>
      </c>
      <c r="C310" s="25">
        <v>15</v>
      </c>
      <c r="D310" s="39">
        <v>87</v>
      </c>
      <c r="E310" s="38">
        <v>78.3</v>
      </c>
      <c r="F310" s="40" t="s">
        <v>183</v>
      </c>
      <c r="G310" s="15">
        <f t="shared" si="12"/>
        <v>5</v>
      </c>
      <c r="H310" s="15" t="str">
        <f t="shared" si="13"/>
        <v>Nov</v>
      </c>
      <c r="I310" s="15">
        <f t="shared" si="14"/>
        <v>2022</v>
      </c>
    </row>
    <row r="311" spans="1:9" x14ac:dyDescent="0.35">
      <c r="A311" s="37">
        <v>44871</v>
      </c>
      <c r="B311" s="15" t="s">
        <v>32</v>
      </c>
      <c r="C311" s="25">
        <v>10</v>
      </c>
      <c r="D311" s="39">
        <v>120</v>
      </c>
      <c r="E311" s="38">
        <v>108</v>
      </c>
      <c r="F311" s="40" t="s">
        <v>181</v>
      </c>
      <c r="G311" s="15">
        <f t="shared" si="12"/>
        <v>6</v>
      </c>
      <c r="H311" s="15" t="str">
        <f t="shared" si="13"/>
        <v>Nov</v>
      </c>
      <c r="I311" s="15">
        <f t="shared" si="14"/>
        <v>2022</v>
      </c>
    </row>
    <row r="312" spans="1:9" x14ac:dyDescent="0.35">
      <c r="A312" s="37">
        <v>44872</v>
      </c>
      <c r="B312" s="15" t="s">
        <v>33</v>
      </c>
      <c r="C312" s="25">
        <v>25</v>
      </c>
      <c r="D312" s="39">
        <v>148</v>
      </c>
      <c r="E312" s="38">
        <v>133.19999999999999</v>
      </c>
      <c r="F312" s="40" t="s">
        <v>181</v>
      </c>
      <c r="G312" s="15">
        <f t="shared" si="12"/>
        <v>7</v>
      </c>
      <c r="H312" s="15" t="str">
        <f t="shared" si="13"/>
        <v>Nov</v>
      </c>
      <c r="I312" s="15">
        <f t="shared" si="14"/>
        <v>2022</v>
      </c>
    </row>
    <row r="313" spans="1:9" x14ac:dyDescent="0.35">
      <c r="A313" s="37">
        <v>44873</v>
      </c>
      <c r="B313" s="15" t="s">
        <v>34</v>
      </c>
      <c r="C313" s="25">
        <v>30</v>
      </c>
      <c r="D313" s="39">
        <v>300</v>
      </c>
      <c r="E313" s="38">
        <v>270</v>
      </c>
      <c r="F313" s="40" t="s">
        <v>180</v>
      </c>
      <c r="G313" s="15">
        <f t="shared" si="12"/>
        <v>8</v>
      </c>
      <c r="H313" s="15" t="str">
        <f t="shared" si="13"/>
        <v>Nov</v>
      </c>
      <c r="I313" s="15">
        <f t="shared" si="14"/>
        <v>2022</v>
      </c>
    </row>
    <row r="314" spans="1:9" x14ac:dyDescent="0.35">
      <c r="A314" s="37">
        <v>44874</v>
      </c>
      <c r="B314" s="15" t="s">
        <v>35</v>
      </c>
      <c r="C314" s="25">
        <v>10</v>
      </c>
      <c r="D314" s="39">
        <v>320</v>
      </c>
      <c r="E314" s="38">
        <v>288</v>
      </c>
      <c r="F314" s="40" t="s">
        <v>181</v>
      </c>
      <c r="G314" s="15">
        <f t="shared" si="12"/>
        <v>9</v>
      </c>
      <c r="H314" s="15" t="str">
        <f t="shared" si="13"/>
        <v>Nov</v>
      </c>
      <c r="I314" s="15">
        <f t="shared" si="14"/>
        <v>2022</v>
      </c>
    </row>
    <row r="315" spans="1:9" x14ac:dyDescent="0.35">
      <c r="A315" s="37">
        <v>44875</v>
      </c>
      <c r="B315" s="15" t="s">
        <v>36</v>
      </c>
      <c r="C315" s="25">
        <v>20</v>
      </c>
      <c r="D315" s="39">
        <v>530</v>
      </c>
      <c r="E315" s="38">
        <v>477</v>
      </c>
      <c r="F315" s="40" t="s">
        <v>180</v>
      </c>
      <c r="G315" s="15">
        <f t="shared" si="12"/>
        <v>10</v>
      </c>
      <c r="H315" s="15" t="str">
        <f t="shared" si="13"/>
        <v>Nov</v>
      </c>
      <c r="I315" s="15">
        <f t="shared" si="14"/>
        <v>2022</v>
      </c>
    </row>
    <row r="316" spans="1:9" x14ac:dyDescent="0.35">
      <c r="A316" s="37">
        <v>44876</v>
      </c>
      <c r="B316" s="15" t="s">
        <v>37</v>
      </c>
      <c r="C316" s="25">
        <v>5</v>
      </c>
      <c r="D316" s="39">
        <v>5000</v>
      </c>
      <c r="E316" s="38">
        <v>4500</v>
      </c>
      <c r="F316" s="40" t="s">
        <v>180</v>
      </c>
      <c r="G316" s="15">
        <f t="shared" si="12"/>
        <v>11</v>
      </c>
      <c r="H316" s="15" t="str">
        <f t="shared" si="13"/>
        <v>Nov</v>
      </c>
      <c r="I316" s="15">
        <f t="shared" si="14"/>
        <v>2022</v>
      </c>
    </row>
    <row r="317" spans="1:9" x14ac:dyDescent="0.35">
      <c r="A317" s="37">
        <v>44877</v>
      </c>
      <c r="B317" s="15" t="s">
        <v>38</v>
      </c>
      <c r="C317" s="25">
        <v>15</v>
      </c>
      <c r="D317" s="39">
        <v>650</v>
      </c>
      <c r="E317" s="38">
        <v>585</v>
      </c>
      <c r="F317" s="40" t="s">
        <v>182</v>
      </c>
      <c r="G317" s="15">
        <f t="shared" si="12"/>
        <v>12</v>
      </c>
      <c r="H317" s="15" t="str">
        <f t="shared" si="13"/>
        <v>Nov</v>
      </c>
      <c r="I317" s="15">
        <f t="shared" si="14"/>
        <v>2022</v>
      </c>
    </row>
    <row r="318" spans="1:9" x14ac:dyDescent="0.35">
      <c r="A318" s="37">
        <v>44878</v>
      </c>
      <c r="B318" s="15" t="s">
        <v>39</v>
      </c>
      <c r="C318" s="25">
        <v>20</v>
      </c>
      <c r="D318" s="39">
        <v>640</v>
      </c>
      <c r="E318" s="38">
        <v>576</v>
      </c>
      <c r="F318" s="40" t="s">
        <v>180</v>
      </c>
      <c r="G318" s="15">
        <f t="shared" si="12"/>
        <v>13</v>
      </c>
      <c r="H318" s="15" t="str">
        <f t="shared" si="13"/>
        <v>Nov</v>
      </c>
      <c r="I318" s="15">
        <f t="shared" si="14"/>
        <v>2022</v>
      </c>
    </row>
    <row r="319" spans="1:9" x14ac:dyDescent="0.35">
      <c r="A319" s="37">
        <v>44879</v>
      </c>
      <c r="B319" s="15" t="s">
        <v>40</v>
      </c>
      <c r="C319" s="25">
        <v>30</v>
      </c>
      <c r="D319" s="39">
        <v>360</v>
      </c>
      <c r="E319" s="38">
        <v>324</v>
      </c>
      <c r="F319" s="40" t="s">
        <v>183</v>
      </c>
      <c r="G319" s="15">
        <f t="shared" si="12"/>
        <v>14</v>
      </c>
      <c r="H319" s="15" t="str">
        <f t="shared" si="13"/>
        <v>Nov</v>
      </c>
      <c r="I319" s="15">
        <f t="shared" si="14"/>
        <v>2022</v>
      </c>
    </row>
    <row r="320" spans="1:9" x14ac:dyDescent="0.35">
      <c r="A320" s="37">
        <v>44880</v>
      </c>
      <c r="B320" s="15" t="s">
        <v>41</v>
      </c>
      <c r="C320" s="25">
        <v>10</v>
      </c>
      <c r="D320" s="39">
        <v>540</v>
      </c>
      <c r="E320" s="38">
        <v>486</v>
      </c>
      <c r="F320" s="40" t="s">
        <v>181</v>
      </c>
      <c r="G320" s="15">
        <f t="shared" si="12"/>
        <v>15</v>
      </c>
      <c r="H320" s="15" t="str">
        <f t="shared" si="13"/>
        <v>Nov</v>
      </c>
      <c r="I320" s="15">
        <f t="shared" si="14"/>
        <v>2022</v>
      </c>
    </row>
    <row r="321" spans="1:9" x14ac:dyDescent="0.35">
      <c r="A321" s="37">
        <v>44881</v>
      </c>
      <c r="B321" s="15" t="s">
        <v>42</v>
      </c>
      <c r="C321" s="25">
        <v>5</v>
      </c>
      <c r="D321" s="39">
        <v>400</v>
      </c>
      <c r="E321" s="38">
        <v>360</v>
      </c>
      <c r="F321" s="40" t="s">
        <v>183</v>
      </c>
      <c r="G321" s="15">
        <f t="shared" si="12"/>
        <v>16</v>
      </c>
      <c r="H321" s="15" t="str">
        <f t="shared" si="13"/>
        <v>Nov</v>
      </c>
      <c r="I321" s="15">
        <f t="shared" si="14"/>
        <v>2022</v>
      </c>
    </row>
    <row r="322" spans="1:9" x14ac:dyDescent="0.35">
      <c r="A322" s="37">
        <v>44882</v>
      </c>
      <c r="B322" s="15" t="s">
        <v>23</v>
      </c>
      <c r="C322" s="25">
        <v>10</v>
      </c>
      <c r="D322" s="39">
        <v>3</v>
      </c>
      <c r="E322" s="38">
        <v>2.7</v>
      </c>
      <c r="F322" s="40" t="s">
        <v>181</v>
      </c>
      <c r="G322" s="15">
        <f t="shared" si="12"/>
        <v>17</v>
      </c>
      <c r="H322" s="15" t="str">
        <f t="shared" si="13"/>
        <v>Nov</v>
      </c>
      <c r="I322" s="15">
        <f t="shared" si="14"/>
        <v>2022</v>
      </c>
    </row>
    <row r="323" spans="1:9" x14ac:dyDescent="0.35">
      <c r="A323" s="37">
        <v>44883</v>
      </c>
      <c r="B323" s="15" t="s">
        <v>24</v>
      </c>
      <c r="C323" s="25">
        <v>15</v>
      </c>
      <c r="D323" s="39">
        <v>45</v>
      </c>
      <c r="E323" s="38">
        <v>40.5</v>
      </c>
      <c r="F323" s="40" t="s">
        <v>181</v>
      </c>
      <c r="G323" s="15">
        <f t="shared" ref="G323:G376" si="15">DAY(A323)</f>
        <v>18</v>
      </c>
      <c r="H323" s="15" t="str">
        <f t="shared" ref="H323:H376" si="16">TEXT(A323,"mmm")</f>
        <v>Nov</v>
      </c>
      <c r="I323" s="15">
        <f t="shared" ref="I323:I376" si="17">YEAR(A323)</f>
        <v>2022</v>
      </c>
    </row>
    <row r="324" spans="1:9" x14ac:dyDescent="0.35">
      <c r="A324" s="37">
        <v>44884</v>
      </c>
      <c r="B324" s="15" t="s">
        <v>25</v>
      </c>
      <c r="C324" s="25">
        <v>20</v>
      </c>
      <c r="D324" s="39">
        <v>90</v>
      </c>
      <c r="E324" s="38">
        <v>81</v>
      </c>
      <c r="F324" s="40" t="s">
        <v>180</v>
      </c>
      <c r="G324" s="15">
        <f t="shared" si="15"/>
        <v>19</v>
      </c>
      <c r="H324" s="15" t="str">
        <f t="shared" si="16"/>
        <v>Nov</v>
      </c>
      <c r="I324" s="15">
        <f t="shared" si="17"/>
        <v>2022</v>
      </c>
    </row>
    <row r="325" spans="1:9" x14ac:dyDescent="0.35">
      <c r="A325" s="37">
        <v>44885</v>
      </c>
      <c r="B325" s="15" t="s">
        <v>26</v>
      </c>
      <c r="C325" s="25">
        <v>25</v>
      </c>
      <c r="D325" s="39">
        <v>35</v>
      </c>
      <c r="E325" s="38">
        <v>31.5</v>
      </c>
      <c r="F325" s="40" t="s">
        <v>180</v>
      </c>
      <c r="G325" s="15">
        <f t="shared" si="15"/>
        <v>20</v>
      </c>
      <c r="H325" s="15" t="str">
        <f t="shared" si="16"/>
        <v>Nov</v>
      </c>
      <c r="I325" s="15">
        <f t="shared" si="17"/>
        <v>2022</v>
      </c>
    </row>
    <row r="326" spans="1:9" x14ac:dyDescent="0.35">
      <c r="A326" s="37">
        <v>44886</v>
      </c>
      <c r="B326" s="15" t="s">
        <v>27</v>
      </c>
      <c r="C326" s="25">
        <v>30</v>
      </c>
      <c r="D326" s="39">
        <v>145</v>
      </c>
      <c r="E326" s="38">
        <v>130.5</v>
      </c>
      <c r="F326" s="40" t="s">
        <v>182</v>
      </c>
      <c r="G326" s="15">
        <f t="shared" si="15"/>
        <v>21</v>
      </c>
      <c r="H326" s="15" t="str">
        <f t="shared" si="16"/>
        <v>Nov</v>
      </c>
      <c r="I326" s="15">
        <f t="shared" si="17"/>
        <v>2022</v>
      </c>
    </row>
    <row r="327" spans="1:9" x14ac:dyDescent="0.35">
      <c r="A327" s="37">
        <v>44887</v>
      </c>
      <c r="B327" s="15" t="s">
        <v>28</v>
      </c>
      <c r="C327" s="25">
        <v>10</v>
      </c>
      <c r="D327" s="39">
        <v>125</v>
      </c>
      <c r="E327" s="38">
        <v>112.5</v>
      </c>
      <c r="F327" s="40" t="s">
        <v>180</v>
      </c>
      <c r="G327" s="15">
        <f t="shared" si="15"/>
        <v>22</v>
      </c>
      <c r="H327" s="15" t="str">
        <f t="shared" si="16"/>
        <v>Nov</v>
      </c>
      <c r="I327" s="15">
        <f t="shared" si="17"/>
        <v>2022</v>
      </c>
    </row>
    <row r="328" spans="1:9" x14ac:dyDescent="0.35">
      <c r="A328" s="37">
        <v>44888</v>
      </c>
      <c r="B328" s="15" t="s">
        <v>29</v>
      </c>
      <c r="C328" s="25">
        <v>5</v>
      </c>
      <c r="D328" s="39">
        <v>56</v>
      </c>
      <c r="E328" s="38">
        <v>50.4</v>
      </c>
      <c r="F328" s="40" t="s">
        <v>183</v>
      </c>
      <c r="G328" s="15">
        <f t="shared" si="15"/>
        <v>23</v>
      </c>
      <c r="H328" s="15" t="str">
        <f t="shared" si="16"/>
        <v>Nov</v>
      </c>
      <c r="I328" s="15">
        <f t="shared" si="17"/>
        <v>2022</v>
      </c>
    </row>
    <row r="329" spans="1:9" x14ac:dyDescent="0.35">
      <c r="A329" s="37">
        <v>44889</v>
      </c>
      <c r="B329" s="15" t="s">
        <v>30</v>
      </c>
      <c r="C329" s="25">
        <v>20</v>
      </c>
      <c r="D329" s="39">
        <v>34</v>
      </c>
      <c r="E329" s="38">
        <v>30.6</v>
      </c>
      <c r="F329" s="40" t="s">
        <v>181</v>
      </c>
      <c r="G329" s="15">
        <f t="shared" si="15"/>
        <v>24</v>
      </c>
      <c r="H329" s="15" t="str">
        <f t="shared" si="16"/>
        <v>Nov</v>
      </c>
      <c r="I329" s="15">
        <f t="shared" si="17"/>
        <v>2022</v>
      </c>
    </row>
    <row r="330" spans="1:9" x14ac:dyDescent="0.35">
      <c r="A330" s="37">
        <v>44890</v>
      </c>
      <c r="B330" s="15" t="s">
        <v>31</v>
      </c>
      <c r="C330" s="25">
        <v>15</v>
      </c>
      <c r="D330" s="39">
        <v>87</v>
      </c>
      <c r="E330" s="38">
        <v>78.3</v>
      </c>
      <c r="F330" s="40" t="s">
        <v>180</v>
      </c>
      <c r="G330" s="15">
        <f t="shared" si="15"/>
        <v>25</v>
      </c>
      <c r="H330" s="15" t="str">
        <f t="shared" si="16"/>
        <v>Nov</v>
      </c>
      <c r="I330" s="15">
        <f t="shared" si="17"/>
        <v>2022</v>
      </c>
    </row>
    <row r="331" spans="1:9" x14ac:dyDescent="0.35">
      <c r="A331" s="37">
        <v>44891</v>
      </c>
      <c r="B331" s="15" t="s">
        <v>32</v>
      </c>
      <c r="C331" s="25">
        <v>10</v>
      </c>
      <c r="D331" s="39">
        <v>120</v>
      </c>
      <c r="E331" s="38">
        <v>108</v>
      </c>
      <c r="F331" s="40" t="s">
        <v>183</v>
      </c>
      <c r="G331" s="15">
        <f t="shared" si="15"/>
        <v>26</v>
      </c>
      <c r="H331" s="15" t="str">
        <f t="shared" si="16"/>
        <v>Nov</v>
      </c>
      <c r="I331" s="15">
        <f t="shared" si="17"/>
        <v>2022</v>
      </c>
    </row>
    <row r="332" spans="1:9" x14ac:dyDescent="0.35">
      <c r="A332" s="37">
        <v>44892</v>
      </c>
      <c r="B332" s="15" t="s">
        <v>33</v>
      </c>
      <c r="C332" s="25">
        <v>25</v>
      </c>
      <c r="D332" s="39">
        <v>148</v>
      </c>
      <c r="E332" s="38">
        <v>133.19999999999999</v>
      </c>
      <c r="F332" s="40" t="s">
        <v>181</v>
      </c>
      <c r="G332" s="15">
        <f t="shared" si="15"/>
        <v>27</v>
      </c>
      <c r="H332" s="15" t="str">
        <f t="shared" si="16"/>
        <v>Nov</v>
      </c>
      <c r="I332" s="15">
        <f t="shared" si="17"/>
        <v>2022</v>
      </c>
    </row>
    <row r="333" spans="1:9" x14ac:dyDescent="0.35">
      <c r="A333" s="37">
        <v>44893</v>
      </c>
      <c r="B333" s="15" t="s">
        <v>34</v>
      </c>
      <c r="C333" s="25">
        <v>30</v>
      </c>
      <c r="D333" s="39">
        <v>300</v>
      </c>
      <c r="E333" s="38">
        <v>270</v>
      </c>
      <c r="F333" s="40" t="s">
        <v>180</v>
      </c>
      <c r="G333" s="15">
        <f t="shared" si="15"/>
        <v>28</v>
      </c>
      <c r="H333" s="15" t="str">
        <f t="shared" si="16"/>
        <v>Nov</v>
      </c>
      <c r="I333" s="15">
        <f t="shared" si="17"/>
        <v>2022</v>
      </c>
    </row>
    <row r="334" spans="1:9" x14ac:dyDescent="0.35">
      <c r="A334" s="37">
        <v>44894</v>
      </c>
      <c r="B334" s="15" t="s">
        <v>35</v>
      </c>
      <c r="C334" s="25">
        <v>10</v>
      </c>
      <c r="D334" s="39">
        <v>320</v>
      </c>
      <c r="E334" s="38">
        <v>288</v>
      </c>
      <c r="F334" s="40" t="s">
        <v>180</v>
      </c>
      <c r="G334" s="15">
        <f t="shared" si="15"/>
        <v>29</v>
      </c>
      <c r="H334" s="15" t="str">
        <f t="shared" si="16"/>
        <v>Nov</v>
      </c>
      <c r="I334" s="15">
        <f t="shared" si="17"/>
        <v>2022</v>
      </c>
    </row>
    <row r="335" spans="1:9" x14ac:dyDescent="0.35">
      <c r="A335" s="37">
        <v>44895</v>
      </c>
      <c r="B335" s="15" t="s">
        <v>36</v>
      </c>
      <c r="C335" s="25">
        <v>20</v>
      </c>
      <c r="D335" s="39">
        <v>530</v>
      </c>
      <c r="E335" s="38">
        <v>477</v>
      </c>
      <c r="F335" s="40" t="s">
        <v>182</v>
      </c>
      <c r="G335" s="15">
        <f t="shared" si="15"/>
        <v>30</v>
      </c>
      <c r="H335" s="15" t="str">
        <f t="shared" si="16"/>
        <v>Nov</v>
      </c>
      <c r="I335" s="15">
        <f t="shared" si="17"/>
        <v>2022</v>
      </c>
    </row>
    <row r="336" spans="1:9" x14ac:dyDescent="0.35">
      <c r="A336" s="37">
        <v>44896</v>
      </c>
      <c r="B336" s="15" t="s">
        <v>37</v>
      </c>
      <c r="C336" s="25">
        <v>5</v>
      </c>
      <c r="D336" s="39">
        <v>5000</v>
      </c>
      <c r="E336" s="38">
        <v>4500</v>
      </c>
      <c r="F336" s="40" t="s">
        <v>180</v>
      </c>
      <c r="G336" s="15">
        <f t="shared" si="15"/>
        <v>1</v>
      </c>
      <c r="H336" s="15" t="str">
        <f t="shared" si="16"/>
        <v>Dec</v>
      </c>
      <c r="I336" s="15">
        <f t="shared" si="17"/>
        <v>2022</v>
      </c>
    </row>
    <row r="337" spans="1:9" x14ac:dyDescent="0.35">
      <c r="A337" s="37">
        <v>44897</v>
      </c>
      <c r="B337" s="15" t="s">
        <v>38</v>
      </c>
      <c r="C337" s="25">
        <v>15</v>
      </c>
      <c r="D337" s="39">
        <v>650</v>
      </c>
      <c r="E337" s="38">
        <v>585</v>
      </c>
      <c r="F337" s="40" t="s">
        <v>183</v>
      </c>
      <c r="G337" s="15">
        <f t="shared" si="15"/>
        <v>2</v>
      </c>
      <c r="H337" s="15" t="str">
        <f t="shared" si="16"/>
        <v>Dec</v>
      </c>
      <c r="I337" s="15">
        <f t="shared" si="17"/>
        <v>2022</v>
      </c>
    </row>
    <row r="338" spans="1:9" x14ac:dyDescent="0.35">
      <c r="A338" s="37">
        <v>44898</v>
      </c>
      <c r="B338" s="15" t="s">
        <v>39</v>
      </c>
      <c r="C338" s="25">
        <v>20</v>
      </c>
      <c r="D338" s="39">
        <v>640</v>
      </c>
      <c r="E338" s="38">
        <v>576</v>
      </c>
      <c r="F338" s="40" t="s">
        <v>181</v>
      </c>
      <c r="G338" s="15">
        <f t="shared" si="15"/>
        <v>3</v>
      </c>
      <c r="H338" s="15" t="str">
        <f t="shared" si="16"/>
        <v>Dec</v>
      </c>
      <c r="I338" s="15">
        <f t="shared" si="17"/>
        <v>2022</v>
      </c>
    </row>
    <row r="339" spans="1:9" x14ac:dyDescent="0.35">
      <c r="A339" s="37">
        <v>44899</v>
      </c>
      <c r="B339" s="15" t="s">
        <v>40</v>
      </c>
      <c r="C339" s="25">
        <v>30</v>
      </c>
      <c r="D339" s="39">
        <v>360</v>
      </c>
      <c r="E339" s="38">
        <v>324</v>
      </c>
      <c r="F339" s="40" t="s">
        <v>182</v>
      </c>
      <c r="G339" s="15">
        <f t="shared" si="15"/>
        <v>4</v>
      </c>
      <c r="H339" s="15" t="str">
        <f t="shared" si="16"/>
        <v>Dec</v>
      </c>
      <c r="I339" s="15">
        <f t="shared" si="17"/>
        <v>2022</v>
      </c>
    </row>
    <row r="340" spans="1:9" x14ac:dyDescent="0.35">
      <c r="A340" s="37">
        <v>44900</v>
      </c>
      <c r="B340" s="15" t="s">
        <v>41</v>
      </c>
      <c r="C340" s="25">
        <v>10</v>
      </c>
      <c r="D340" s="39">
        <v>540</v>
      </c>
      <c r="E340" s="38">
        <v>486</v>
      </c>
      <c r="F340" s="40" t="s">
        <v>180</v>
      </c>
      <c r="G340" s="15">
        <f t="shared" si="15"/>
        <v>5</v>
      </c>
      <c r="H340" s="15" t="str">
        <f t="shared" si="16"/>
        <v>Dec</v>
      </c>
      <c r="I340" s="15">
        <f t="shared" si="17"/>
        <v>2022</v>
      </c>
    </row>
    <row r="341" spans="1:9" x14ac:dyDescent="0.35">
      <c r="A341" s="37">
        <v>44901</v>
      </c>
      <c r="B341" s="15" t="s">
        <v>42</v>
      </c>
      <c r="C341" s="25">
        <v>5</v>
      </c>
      <c r="D341" s="39">
        <v>400</v>
      </c>
      <c r="E341" s="38">
        <v>360</v>
      </c>
      <c r="F341" s="40" t="s">
        <v>183</v>
      </c>
      <c r="G341" s="15">
        <f t="shared" si="15"/>
        <v>6</v>
      </c>
      <c r="H341" s="15" t="str">
        <f t="shared" si="16"/>
        <v>Dec</v>
      </c>
      <c r="I341" s="15">
        <f t="shared" si="17"/>
        <v>2022</v>
      </c>
    </row>
    <row r="342" spans="1:9" x14ac:dyDescent="0.35">
      <c r="A342" s="37">
        <v>44902</v>
      </c>
      <c r="B342" s="15" t="s">
        <v>23</v>
      </c>
      <c r="C342" s="25">
        <v>10</v>
      </c>
      <c r="D342" s="39">
        <v>3</v>
      </c>
      <c r="E342" s="38">
        <v>2.7</v>
      </c>
      <c r="F342" s="40" t="s">
        <v>181</v>
      </c>
      <c r="G342" s="15">
        <f t="shared" si="15"/>
        <v>7</v>
      </c>
      <c r="H342" s="15" t="str">
        <f t="shared" si="16"/>
        <v>Dec</v>
      </c>
      <c r="I342" s="15">
        <f t="shared" si="17"/>
        <v>2022</v>
      </c>
    </row>
    <row r="343" spans="1:9" x14ac:dyDescent="0.35">
      <c r="A343" s="37">
        <v>44903</v>
      </c>
      <c r="B343" s="15" t="s">
        <v>24</v>
      </c>
      <c r="C343" s="25">
        <v>15</v>
      </c>
      <c r="D343" s="39">
        <v>45</v>
      </c>
      <c r="E343" s="38">
        <v>40.5</v>
      </c>
      <c r="F343" s="40" t="s">
        <v>180</v>
      </c>
      <c r="G343" s="15">
        <f t="shared" si="15"/>
        <v>8</v>
      </c>
      <c r="H343" s="15" t="str">
        <f t="shared" si="16"/>
        <v>Dec</v>
      </c>
      <c r="I343" s="15">
        <f t="shared" si="17"/>
        <v>2022</v>
      </c>
    </row>
    <row r="344" spans="1:9" x14ac:dyDescent="0.35">
      <c r="A344" s="37">
        <v>44904</v>
      </c>
      <c r="B344" s="15" t="s">
        <v>25</v>
      </c>
      <c r="C344" s="25">
        <v>20</v>
      </c>
      <c r="D344" s="39">
        <v>90</v>
      </c>
      <c r="E344" s="38">
        <v>81</v>
      </c>
      <c r="F344" s="40" t="s">
        <v>180</v>
      </c>
      <c r="G344" s="15">
        <f t="shared" si="15"/>
        <v>9</v>
      </c>
      <c r="H344" s="15" t="str">
        <f t="shared" si="16"/>
        <v>Dec</v>
      </c>
      <c r="I344" s="15">
        <f t="shared" si="17"/>
        <v>2022</v>
      </c>
    </row>
    <row r="345" spans="1:9" x14ac:dyDescent="0.35">
      <c r="A345" s="37">
        <v>44905</v>
      </c>
      <c r="B345" s="15" t="s">
        <v>26</v>
      </c>
      <c r="C345" s="25">
        <v>25</v>
      </c>
      <c r="D345" s="39">
        <v>35</v>
      </c>
      <c r="E345" s="38">
        <v>31.5</v>
      </c>
      <c r="F345" s="40" t="s">
        <v>182</v>
      </c>
      <c r="G345" s="15">
        <f t="shared" si="15"/>
        <v>10</v>
      </c>
      <c r="H345" s="15" t="str">
        <f t="shared" si="16"/>
        <v>Dec</v>
      </c>
      <c r="I345" s="15">
        <f t="shared" si="17"/>
        <v>2022</v>
      </c>
    </row>
    <row r="346" spans="1:9" x14ac:dyDescent="0.35">
      <c r="A346" s="37">
        <v>44906</v>
      </c>
      <c r="B346" s="15" t="s">
        <v>27</v>
      </c>
      <c r="C346" s="25">
        <v>30</v>
      </c>
      <c r="D346" s="39">
        <v>145</v>
      </c>
      <c r="E346" s="38">
        <v>130.5</v>
      </c>
      <c r="F346" s="40" t="s">
        <v>180</v>
      </c>
      <c r="G346" s="15">
        <f t="shared" si="15"/>
        <v>11</v>
      </c>
      <c r="H346" s="15" t="str">
        <f t="shared" si="16"/>
        <v>Dec</v>
      </c>
      <c r="I346" s="15">
        <f t="shared" si="17"/>
        <v>2022</v>
      </c>
    </row>
    <row r="347" spans="1:9" x14ac:dyDescent="0.35">
      <c r="A347" s="37">
        <v>44907</v>
      </c>
      <c r="B347" s="15" t="s">
        <v>28</v>
      </c>
      <c r="C347" s="25">
        <v>10</v>
      </c>
      <c r="D347" s="39">
        <v>125</v>
      </c>
      <c r="E347" s="38">
        <v>112.5</v>
      </c>
      <c r="F347" s="40" t="s">
        <v>183</v>
      </c>
      <c r="G347" s="15">
        <f t="shared" si="15"/>
        <v>12</v>
      </c>
      <c r="H347" s="15" t="str">
        <f t="shared" si="16"/>
        <v>Dec</v>
      </c>
      <c r="I347" s="15">
        <f t="shared" si="17"/>
        <v>2022</v>
      </c>
    </row>
    <row r="348" spans="1:9" x14ac:dyDescent="0.35">
      <c r="A348" s="37">
        <v>44908</v>
      </c>
      <c r="B348" s="15" t="s">
        <v>29</v>
      </c>
      <c r="C348" s="25">
        <v>5</v>
      </c>
      <c r="D348" s="39">
        <v>56</v>
      </c>
      <c r="E348" s="38">
        <v>50.4</v>
      </c>
      <c r="F348" s="40" t="s">
        <v>181</v>
      </c>
      <c r="G348" s="15">
        <f t="shared" si="15"/>
        <v>13</v>
      </c>
      <c r="H348" s="15" t="str">
        <f t="shared" si="16"/>
        <v>Dec</v>
      </c>
      <c r="I348" s="15">
        <f t="shared" si="17"/>
        <v>2022</v>
      </c>
    </row>
    <row r="349" spans="1:9" x14ac:dyDescent="0.35">
      <c r="A349" s="37">
        <v>44909</v>
      </c>
      <c r="B349" s="15" t="s">
        <v>30</v>
      </c>
      <c r="C349" s="25">
        <v>20</v>
      </c>
      <c r="D349" s="39">
        <v>34</v>
      </c>
      <c r="E349" s="38">
        <v>30.6</v>
      </c>
      <c r="F349" s="40" t="s">
        <v>182</v>
      </c>
      <c r="G349" s="15">
        <f t="shared" si="15"/>
        <v>14</v>
      </c>
      <c r="H349" s="15" t="str">
        <f t="shared" si="16"/>
        <v>Dec</v>
      </c>
      <c r="I349" s="15">
        <f t="shared" si="17"/>
        <v>2022</v>
      </c>
    </row>
    <row r="350" spans="1:9" x14ac:dyDescent="0.35">
      <c r="A350" s="37">
        <v>44910</v>
      </c>
      <c r="B350" s="15" t="s">
        <v>31</v>
      </c>
      <c r="C350" s="25">
        <v>15</v>
      </c>
      <c r="D350" s="39">
        <v>87</v>
      </c>
      <c r="E350" s="38">
        <v>78.3</v>
      </c>
      <c r="F350" s="40" t="s">
        <v>180</v>
      </c>
      <c r="G350" s="15">
        <f t="shared" si="15"/>
        <v>15</v>
      </c>
      <c r="H350" s="15" t="str">
        <f t="shared" si="16"/>
        <v>Dec</v>
      </c>
      <c r="I350" s="15">
        <f t="shared" si="17"/>
        <v>2022</v>
      </c>
    </row>
    <row r="351" spans="1:9" x14ac:dyDescent="0.35">
      <c r="A351" s="37">
        <v>44911</v>
      </c>
      <c r="B351" s="15" t="s">
        <v>32</v>
      </c>
      <c r="C351" s="25">
        <v>10</v>
      </c>
      <c r="D351" s="39">
        <v>120</v>
      </c>
      <c r="E351" s="38">
        <v>108</v>
      </c>
      <c r="F351" s="40" t="s">
        <v>183</v>
      </c>
      <c r="G351" s="15">
        <f t="shared" si="15"/>
        <v>16</v>
      </c>
      <c r="H351" s="15" t="str">
        <f t="shared" si="16"/>
        <v>Dec</v>
      </c>
      <c r="I351" s="15">
        <f t="shared" si="17"/>
        <v>2022</v>
      </c>
    </row>
    <row r="352" spans="1:9" x14ac:dyDescent="0.35">
      <c r="A352" s="37">
        <v>44912</v>
      </c>
      <c r="B352" s="15" t="s">
        <v>33</v>
      </c>
      <c r="C352" s="25">
        <v>25</v>
      </c>
      <c r="D352" s="39">
        <v>148</v>
      </c>
      <c r="E352" s="38">
        <v>133.19999999999999</v>
      </c>
      <c r="F352" s="40" t="s">
        <v>181</v>
      </c>
      <c r="G352" s="15">
        <f t="shared" si="15"/>
        <v>17</v>
      </c>
      <c r="H352" s="15" t="str">
        <f t="shared" si="16"/>
        <v>Dec</v>
      </c>
      <c r="I352" s="15">
        <f t="shared" si="17"/>
        <v>2022</v>
      </c>
    </row>
    <row r="353" spans="1:9" x14ac:dyDescent="0.35">
      <c r="A353" s="37">
        <v>44913</v>
      </c>
      <c r="B353" s="15" t="s">
        <v>34</v>
      </c>
      <c r="C353" s="25">
        <v>30</v>
      </c>
      <c r="D353" s="39">
        <v>300</v>
      </c>
      <c r="E353" s="38">
        <v>270</v>
      </c>
      <c r="F353" s="40" t="s">
        <v>181</v>
      </c>
      <c r="G353" s="15">
        <f t="shared" si="15"/>
        <v>18</v>
      </c>
      <c r="H353" s="15" t="str">
        <f t="shared" si="16"/>
        <v>Dec</v>
      </c>
      <c r="I353" s="15">
        <f t="shared" si="17"/>
        <v>2022</v>
      </c>
    </row>
    <row r="354" spans="1:9" x14ac:dyDescent="0.35">
      <c r="A354" s="37">
        <v>44914</v>
      </c>
      <c r="B354" s="15" t="s">
        <v>35</v>
      </c>
      <c r="C354" s="25">
        <v>10</v>
      </c>
      <c r="D354" s="39">
        <v>320</v>
      </c>
      <c r="E354" s="38">
        <v>288</v>
      </c>
      <c r="F354" s="40" t="s">
        <v>180</v>
      </c>
      <c r="G354" s="15">
        <f t="shared" si="15"/>
        <v>19</v>
      </c>
      <c r="H354" s="15" t="str">
        <f t="shared" si="16"/>
        <v>Dec</v>
      </c>
      <c r="I354" s="15">
        <f t="shared" si="17"/>
        <v>2022</v>
      </c>
    </row>
    <row r="355" spans="1:9" x14ac:dyDescent="0.35">
      <c r="A355" s="37">
        <v>44915</v>
      </c>
      <c r="B355" s="15" t="s">
        <v>36</v>
      </c>
      <c r="C355" s="25">
        <v>20</v>
      </c>
      <c r="D355" s="39">
        <v>530</v>
      </c>
      <c r="E355" s="38">
        <v>477</v>
      </c>
      <c r="F355" s="40" t="s">
        <v>180</v>
      </c>
      <c r="G355" s="15">
        <f t="shared" si="15"/>
        <v>20</v>
      </c>
      <c r="H355" s="15" t="str">
        <f t="shared" si="16"/>
        <v>Dec</v>
      </c>
      <c r="I355" s="15">
        <f t="shared" si="17"/>
        <v>2022</v>
      </c>
    </row>
    <row r="356" spans="1:9" x14ac:dyDescent="0.35">
      <c r="A356" s="37">
        <v>44916</v>
      </c>
      <c r="B356" s="15" t="s">
        <v>37</v>
      </c>
      <c r="C356" s="25">
        <v>5</v>
      </c>
      <c r="D356" s="39">
        <v>5000</v>
      </c>
      <c r="E356" s="38">
        <v>4500</v>
      </c>
      <c r="F356" s="40" t="s">
        <v>182</v>
      </c>
      <c r="G356" s="15">
        <f t="shared" si="15"/>
        <v>21</v>
      </c>
      <c r="H356" s="15" t="str">
        <f t="shared" si="16"/>
        <v>Dec</v>
      </c>
      <c r="I356" s="15">
        <f t="shared" si="17"/>
        <v>2022</v>
      </c>
    </row>
    <row r="357" spans="1:9" x14ac:dyDescent="0.35">
      <c r="A357" s="37">
        <v>44917</v>
      </c>
      <c r="B357" s="15" t="s">
        <v>38</v>
      </c>
      <c r="C357" s="25">
        <v>15</v>
      </c>
      <c r="D357" s="39">
        <v>650</v>
      </c>
      <c r="E357" s="38">
        <v>585</v>
      </c>
      <c r="F357" s="40" t="s">
        <v>180</v>
      </c>
      <c r="G357" s="15">
        <f t="shared" si="15"/>
        <v>22</v>
      </c>
      <c r="H357" s="15" t="str">
        <f t="shared" si="16"/>
        <v>Dec</v>
      </c>
      <c r="I357" s="15">
        <f t="shared" si="17"/>
        <v>2022</v>
      </c>
    </row>
    <row r="358" spans="1:9" x14ac:dyDescent="0.35">
      <c r="A358" s="37">
        <v>44918</v>
      </c>
      <c r="B358" s="15" t="s">
        <v>39</v>
      </c>
      <c r="C358" s="25">
        <v>20</v>
      </c>
      <c r="D358" s="39">
        <v>640</v>
      </c>
      <c r="E358" s="38">
        <v>576</v>
      </c>
      <c r="F358" s="40" t="s">
        <v>183</v>
      </c>
      <c r="G358" s="15">
        <f t="shared" si="15"/>
        <v>23</v>
      </c>
      <c r="H358" s="15" t="str">
        <f t="shared" si="16"/>
        <v>Dec</v>
      </c>
      <c r="I358" s="15">
        <f t="shared" si="17"/>
        <v>2022</v>
      </c>
    </row>
    <row r="359" spans="1:9" x14ac:dyDescent="0.35">
      <c r="A359" s="37">
        <v>44919</v>
      </c>
      <c r="B359" s="15" t="s">
        <v>40</v>
      </c>
      <c r="C359" s="25">
        <v>30</v>
      </c>
      <c r="D359" s="39">
        <v>360</v>
      </c>
      <c r="E359" s="38">
        <v>324</v>
      </c>
      <c r="F359" s="40" t="s">
        <v>181</v>
      </c>
      <c r="G359" s="15">
        <f t="shared" si="15"/>
        <v>24</v>
      </c>
      <c r="H359" s="15" t="str">
        <f t="shared" si="16"/>
        <v>Dec</v>
      </c>
      <c r="I359" s="15">
        <f t="shared" si="17"/>
        <v>2022</v>
      </c>
    </row>
    <row r="360" spans="1:9" x14ac:dyDescent="0.35">
      <c r="A360" s="37">
        <v>44920</v>
      </c>
      <c r="B360" s="15" t="s">
        <v>41</v>
      </c>
      <c r="C360" s="25">
        <v>10</v>
      </c>
      <c r="D360" s="39">
        <v>540</v>
      </c>
      <c r="E360" s="38">
        <v>486</v>
      </c>
      <c r="F360" s="40" t="s">
        <v>181</v>
      </c>
      <c r="G360" s="15">
        <f t="shared" si="15"/>
        <v>25</v>
      </c>
      <c r="H360" s="15" t="str">
        <f t="shared" si="16"/>
        <v>Dec</v>
      </c>
      <c r="I360" s="15">
        <f t="shared" si="17"/>
        <v>2022</v>
      </c>
    </row>
    <row r="361" spans="1:9" x14ac:dyDescent="0.35">
      <c r="A361" s="37">
        <v>44921</v>
      </c>
      <c r="B361" s="15" t="s">
        <v>42</v>
      </c>
      <c r="C361" s="25">
        <v>5</v>
      </c>
      <c r="D361" s="39">
        <v>400</v>
      </c>
      <c r="E361" s="38">
        <v>360</v>
      </c>
      <c r="F361" s="40" t="s">
        <v>180</v>
      </c>
      <c r="G361" s="15">
        <f t="shared" si="15"/>
        <v>26</v>
      </c>
      <c r="H361" s="15" t="str">
        <f t="shared" si="16"/>
        <v>Dec</v>
      </c>
      <c r="I361" s="15">
        <f t="shared" si="17"/>
        <v>2022</v>
      </c>
    </row>
    <row r="362" spans="1:9" x14ac:dyDescent="0.35">
      <c r="A362" s="37">
        <v>44922</v>
      </c>
      <c r="B362" s="15" t="s">
        <v>23</v>
      </c>
      <c r="C362" s="25">
        <v>10</v>
      </c>
      <c r="D362" s="39">
        <v>3</v>
      </c>
      <c r="E362" s="38">
        <v>2.7</v>
      </c>
      <c r="F362" s="40" t="s">
        <v>180</v>
      </c>
      <c r="G362" s="15">
        <f t="shared" si="15"/>
        <v>27</v>
      </c>
      <c r="H362" s="15" t="str">
        <f t="shared" si="16"/>
        <v>Dec</v>
      </c>
      <c r="I362" s="15">
        <f t="shared" si="17"/>
        <v>2022</v>
      </c>
    </row>
    <row r="363" spans="1:9" x14ac:dyDescent="0.35">
      <c r="A363" s="37">
        <v>44923</v>
      </c>
      <c r="B363" s="15" t="s">
        <v>24</v>
      </c>
      <c r="C363" s="25">
        <v>15</v>
      </c>
      <c r="D363" s="39">
        <v>45</v>
      </c>
      <c r="E363" s="38">
        <v>40.5</v>
      </c>
      <c r="F363" s="40" t="s">
        <v>182</v>
      </c>
      <c r="G363" s="15">
        <f t="shared" si="15"/>
        <v>28</v>
      </c>
      <c r="H363" s="15" t="str">
        <f t="shared" si="16"/>
        <v>Dec</v>
      </c>
      <c r="I363" s="15">
        <f t="shared" si="17"/>
        <v>2022</v>
      </c>
    </row>
    <row r="364" spans="1:9" x14ac:dyDescent="0.35">
      <c r="A364" s="37">
        <v>44924</v>
      </c>
      <c r="B364" s="15" t="s">
        <v>25</v>
      </c>
      <c r="C364" s="25">
        <v>20</v>
      </c>
      <c r="D364" s="39">
        <v>90</v>
      </c>
      <c r="E364" s="38">
        <v>81</v>
      </c>
      <c r="F364" s="40" t="s">
        <v>180</v>
      </c>
      <c r="G364" s="15">
        <f t="shared" si="15"/>
        <v>29</v>
      </c>
      <c r="H364" s="15" t="str">
        <f t="shared" si="16"/>
        <v>Dec</v>
      </c>
      <c r="I364" s="15">
        <f t="shared" si="17"/>
        <v>2022</v>
      </c>
    </row>
    <row r="365" spans="1:9" x14ac:dyDescent="0.35">
      <c r="A365" s="37">
        <v>44925</v>
      </c>
      <c r="B365" s="15" t="s">
        <v>26</v>
      </c>
      <c r="C365" s="25">
        <v>25</v>
      </c>
      <c r="D365" s="39">
        <v>35</v>
      </c>
      <c r="E365" s="38">
        <v>31.5</v>
      </c>
      <c r="F365" s="40" t="s">
        <v>183</v>
      </c>
      <c r="G365" s="15">
        <f t="shared" si="15"/>
        <v>30</v>
      </c>
      <c r="H365" s="15" t="str">
        <f t="shared" si="16"/>
        <v>Dec</v>
      </c>
      <c r="I365" s="15">
        <f t="shared" si="17"/>
        <v>2022</v>
      </c>
    </row>
    <row r="366" spans="1:9" x14ac:dyDescent="0.35">
      <c r="A366" s="37">
        <v>44926</v>
      </c>
      <c r="B366" s="15" t="s">
        <v>27</v>
      </c>
      <c r="C366" s="25">
        <v>30</v>
      </c>
      <c r="D366" s="39">
        <v>145</v>
      </c>
      <c r="E366" s="38">
        <v>130.5</v>
      </c>
      <c r="F366" s="40" t="s">
        <v>181</v>
      </c>
      <c r="G366" s="15">
        <f t="shared" si="15"/>
        <v>31</v>
      </c>
      <c r="H366" s="15" t="str">
        <f t="shared" si="16"/>
        <v>Dec</v>
      </c>
      <c r="I366" s="15">
        <f t="shared" si="17"/>
        <v>2022</v>
      </c>
    </row>
    <row r="367" spans="1:9" x14ac:dyDescent="0.35">
      <c r="A367" s="48">
        <v>44927</v>
      </c>
      <c r="B367" s="15" t="s">
        <v>31</v>
      </c>
      <c r="C367">
        <f>FORECAST(A367,C2:C366,A2:A366)</f>
        <v>16.615234080987502</v>
      </c>
      <c r="D367">
        <f>FORECAST(A367,D2:D366,A2:A366)</f>
        <v>492.32804455818177</v>
      </c>
      <c r="E367">
        <f>FORECAST(A367,E2:E366,A2:A366)</f>
        <v>443.09524010236328</v>
      </c>
      <c r="G367" s="15">
        <f t="shared" si="15"/>
        <v>1</v>
      </c>
      <c r="H367" s="15" t="str">
        <f t="shared" si="16"/>
        <v>Jan</v>
      </c>
      <c r="I367" s="15">
        <f t="shared" si="17"/>
        <v>2023</v>
      </c>
    </row>
    <row r="368" spans="1:9" x14ac:dyDescent="0.35">
      <c r="A368" s="48">
        <v>44928</v>
      </c>
      <c r="B368" s="15" t="s">
        <v>26</v>
      </c>
      <c r="C368">
        <f t="shared" ref="C368:C376" si="18">FORECAST(A368,C3:C367,A3:A367)</f>
        <v>16.57979663421585</v>
      </c>
      <c r="D368">
        <f t="shared" ref="D368:D376" si="19">FORECAST(A368,D3:D367,A3:A367)</f>
        <v>489.89916929758192</v>
      </c>
      <c r="E368">
        <f t="shared" ref="E368:E376" si="20">FORECAST(A368,E3:E367,A3:A367)</f>
        <v>440.90925236782323</v>
      </c>
      <c r="G368" s="15">
        <f t="shared" si="15"/>
        <v>2</v>
      </c>
      <c r="H368" s="15" t="str">
        <f t="shared" si="16"/>
        <v>Jan</v>
      </c>
      <c r="I368" s="15">
        <f t="shared" si="17"/>
        <v>2023</v>
      </c>
    </row>
    <row r="369" spans="1:9" x14ac:dyDescent="0.35">
      <c r="A369" s="48">
        <v>44929</v>
      </c>
      <c r="B369" s="15" t="s">
        <v>27</v>
      </c>
      <c r="C369">
        <f t="shared" si="18"/>
        <v>16.571295147650538</v>
      </c>
      <c r="D369">
        <f t="shared" si="19"/>
        <v>487.65361173495876</v>
      </c>
      <c r="E369">
        <f t="shared" si="20"/>
        <v>438.88825056146311</v>
      </c>
      <c r="G369" s="15">
        <f t="shared" si="15"/>
        <v>3</v>
      </c>
      <c r="H369" s="15" t="str">
        <f t="shared" si="16"/>
        <v>Jan</v>
      </c>
      <c r="I369" s="15">
        <f t="shared" si="17"/>
        <v>2023</v>
      </c>
    </row>
    <row r="370" spans="1:9" x14ac:dyDescent="0.35">
      <c r="A370" s="48">
        <v>44930</v>
      </c>
      <c r="B370" s="15" t="s">
        <v>31</v>
      </c>
      <c r="C370">
        <f t="shared" si="18"/>
        <v>16.590252211858633</v>
      </c>
      <c r="D370">
        <f t="shared" si="19"/>
        <v>485.61196109069374</v>
      </c>
      <c r="E370">
        <f t="shared" si="20"/>
        <v>437.05076498162452</v>
      </c>
      <c r="G370" s="15">
        <f t="shared" si="15"/>
        <v>4</v>
      </c>
      <c r="H370" s="15" t="str">
        <f t="shared" si="16"/>
        <v>Jan</v>
      </c>
      <c r="I370" s="15">
        <f t="shared" si="17"/>
        <v>2023</v>
      </c>
    </row>
    <row r="371" spans="1:9" x14ac:dyDescent="0.35">
      <c r="A371" s="48">
        <v>44931</v>
      </c>
      <c r="B371" s="15" t="s">
        <v>26</v>
      </c>
      <c r="C371">
        <f t="shared" si="18"/>
        <v>16.637194927990571</v>
      </c>
      <c r="D371">
        <f t="shared" si="19"/>
        <v>483.22612434821707</v>
      </c>
      <c r="E371">
        <f t="shared" si="20"/>
        <v>434.90351191339522</v>
      </c>
      <c r="G371" s="15">
        <f t="shared" si="15"/>
        <v>5</v>
      </c>
      <c r="H371" s="15" t="str">
        <f t="shared" si="16"/>
        <v>Jan</v>
      </c>
      <c r="I371" s="15">
        <f t="shared" si="17"/>
        <v>2023</v>
      </c>
    </row>
    <row r="372" spans="1:9" x14ac:dyDescent="0.35">
      <c r="A372" s="48">
        <v>44932</v>
      </c>
      <c r="B372" s="15" t="s">
        <v>26</v>
      </c>
      <c r="C372">
        <f t="shared" si="18"/>
        <v>16.712654933610821</v>
      </c>
      <c r="D372">
        <f t="shared" si="19"/>
        <v>481.40149903082204</v>
      </c>
      <c r="E372">
        <f t="shared" si="20"/>
        <v>433.26134912774</v>
      </c>
      <c r="G372" s="15">
        <f t="shared" si="15"/>
        <v>6</v>
      </c>
      <c r="H372" s="15" t="str">
        <f t="shared" si="16"/>
        <v>Jan</v>
      </c>
      <c r="I372" s="15">
        <f t="shared" si="17"/>
        <v>2023</v>
      </c>
    </row>
    <row r="373" spans="1:9" x14ac:dyDescent="0.35">
      <c r="A373" s="48">
        <v>44933</v>
      </c>
      <c r="B373" s="15" t="s">
        <v>27</v>
      </c>
      <c r="C373">
        <f t="shared" si="18"/>
        <v>16.67905311925978</v>
      </c>
      <c r="D373">
        <f t="shared" si="19"/>
        <v>479.43111117234457</v>
      </c>
      <c r="E373">
        <f t="shared" si="20"/>
        <v>431.48800005511021</v>
      </c>
      <c r="G373" s="15">
        <f t="shared" si="15"/>
        <v>7</v>
      </c>
      <c r="H373" s="15" t="str">
        <f t="shared" si="16"/>
        <v>Jan</v>
      </c>
      <c r="I373" s="15">
        <f t="shared" si="17"/>
        <v>2023</v>
      </c>
    </row>
    <row r="374" spans="1:9" x14ac:dyDescent="0.35">
      <c r="A374" s="48">
        <v>44934</v>
      </c>
      <c r="B374" s="15" t="s">
        <v>31</v>
      </c>
      <c r="C374">
        <f t="shared" si="18"/>
        <v>16.617156858338696</v>
      </c>
      <c r="D374">
        <f t="shared" si="19"/>
        <v>477.04183656303076</v>
      </c>
      <c r="E374">
        <f t="shared" si="20"/>
        <v>429.33765290672795</v>
      </c>
      <c r="G374" s="15">
        <f t="shared" si="15"/>
        <v>8</v>
      </c>
      <c r="H374" s="15" t="str">
        <f t="shared" si="16"/>
        <v>Jan</v>
      </c>
      <c r="I374" s="15">
        <f t="shared" si="17"/>
        <v>2023</v>
      </c>
    </row>
    <row r="375" spans="1:9" x14ac:dyDescent="0.35">
      <c r="A375" s="48">
        <v>44935</v>
      </c>
      <c r="B375" s="15" t="s">
        <v>26</v>
      </c>
      <c r="C375">
        <f t="shared" si="18"/>
        <v>16.636924038072308</v>
      </c>
      <c r="D375">
        <f t="shared" si="19"/>
        <v>474.48571436604425</v>
      </c>
      <c r="E375">
        <f t="shared" si="20"/>
        <v>427.03714292944005</v>
      </c>
      <c r="G375" s="15">
        <f t="shared" si="15"/>
        <v>9</v>
      </c>
      <c r="H375" s="15" t="str">
        <f t="shared" si="16"/>
        <v>Jan</v>
      </c>
      <c r="I375" s="15">
        <f t="shared" si="17"/>
        <v>2023</v>
      </c>
    </row>
    <row r="376" spans="1:9" x14ac:dyDescent="0.35">
      <c r="A376" s="48">
        <v>44936</v>
      </c>
      <c r="B376" s="15" t="s">
        <v>27</v>
      </c>
      <c r="C376">
        <f t="shared" si="18"/>
        <v>16.629437552839356</v>
      </c>
      <c r="D376">
        <f t="shared" si="19"/>
        <v>472.17437641609831</v>
      </c>
      <c r="E376">
        <f t="shared" si="20"/>
        <v>424.95693877448912</v>
      </c>
      <c r="G376" s="15">
        <f t="shared" si="15"/>
        <v>10</v>
      </c>
      <c r="H376" s="15" t="str">
        <f t="shared" si="16"/>
        <v>Jan</v>
      </c>
      <c r="I376" s="15">
        <f t="shared" si="17"/>
        <v>2023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EADFB-E4ED-4955-AFCC-1842FC525D83}">
  <dimension ref="A3:L44"/>
  <sheetViews>
    <sheetView topLeftCell="C8" workbookViewId="0">
      <selection activeCell="K3" sqref="K3"/>
    </sheetView>
  </sheetViews>
  <sheetFormatPr defaultRowHeight="14.5" x14ac:dyDescent="0.35"/>
  <cols>
    <col min="1" max="1" width="6.26953125" bestFit="1" customWidth="1"/>
    <col min="2" max="2" width="18.6328125" bestFit="1" customWidth="1"/>
    <col min="3" max="3" width="17.08984375" bestFit="1" customWidth="1"/>
    <col min="5" max="5" width="17.08984375" bestFit="1" customWidth="1"/>
    <col min="6" max="6" width="20.90625" bestFit="1" customWidth="1"/>
    <col min="7" max="7" width="10.7265625" bestFit="1" customWidth="1"/>
    <col min="8" max="8" width="16" bestFit="1" customWidth="1"/>
    <col min="9" max="9" width="17.08984375" bestFit="1" customWidth="1"/>
    <col min="10" max="10" width="9.453125" bestFit="1" customWidth="1"/>
    <col min="11" max="11" width="11.81640625" bestFit="1" customWidth="1"/>
    <col min="12" max="13" width="17.08984375" bestFit="1" customWidth="1"/>
    <col min="14" max="16" width="9.453125" bestFit="1" customWidth="1"/>
    <col min="17" max="17" width="8.453125" bestFit="1" customWidth="1"/>
    <col min="18" max="18" width="9.453125" bestFit="1" customWidth="1"/>
    <col min="19" max="25" width="8.453125" bestFit="1" customWidth="1"/>
    <col min="26" max="26" width="10.7265625" bestFit="1" customWidth="1"/>
  </cols>
  <sheetData>
    <row r="3" spans="1:12" x14ac:dyDescent="0.35">
      <c r="A3" s="42" t="s">
        <v>184</v>
      </c>
      <c r="B3" t="s">
        <v>187</v>
      </c>
      <c r="C3" t="s">
        <v>188</v>
      </c>
      <c r="E3" t="s">
        <v>188</v>
      </c>
      <c r="F3" t="s">
        <v>189</v>
      </c>
    </row>
    <row r="4" spans="1:12" x14ac:dyDescent="0.35">
      <c r="A4" s="43">
        <v>1</v>
      </c>
      <c r="B4">
        <v>215</v>
      </c>
      <c r="C4">
        <v>7229</v>
      </c>
      <c r="E4">
        <v>173622</v>
      </c>
      <c r="F4">
        <v>156259.79999999999</v>
      </c>
      <c r="K4" s="43"/>
    </row>
    <row r="5" spans="1:12" x14ac:dyDescent="0.35">
      <c r="A5" s="43">
        <v>2</v>
      </c>
      <c r="B5">
        <v>190</v>
      </c>
      <c r="C5">
        <v>7573</v>
      </c>
      <c r="K5" s="43"/>
    </row>
    <row r="6" spans="1:12" x14ac:dyDescent="0.35">
      <c r="A6" s="43">
        <v>3</v>
      </c>
      <c r="B6">
        <v>185</v>
      </c>
      <c r="C6">
        <v>8111</v>
      </c>
      <c r="E6" s="41" t="s">
        <v>190</v>
      </c>
      <c r="F6" s="41" t="s">
        <v>166</v>
      </c>
      <c r="G6" s="41" t="s">
        <v>12</v>
      </c>
      <c r="H6" s="41" t="s">
        <v>13</v>
      </c>
      <c r="K6" s="43"/>
    </row>
    <row r="7" spans="1:12" x14ac:dyDescent="0.35">
      <c r="A7" s="43">
        <v>4</v>
      </c>
      <c r="B7">
        <v>220</v>
      </c>
      <c r="C7">
        <v>12575</v>
      </c>
      <c r="E7" s="15">
        <f>GETPIVOTDATA("Sum of Selling Price",$E$3)</f>
        <v>173622</v>
      </c>
      <c r="F7" s="15">
        <f>GETPIVOTDATA("Sum of Purchasing Price",$E$3)</f>
        <v>156259.79999999999</v>
      </c>
      <c r="G7" s="15">
        <f>E7-F7</f>
        <v>17362.200000000012</v>
      </c>
      <c r="H7" s="44">
        <f>G7/F7</f>
        <v>0.11111111111111119</v>
      </c>
      <c r="K7" s="43"/>
    </row>
    <row r="8" spans="1:12" x14ac:dyDescent="0.35">
      <c r="A8" s="43">
        <v>5</v>
      </c>
      <c r="B8">
        <v>225</v>
      </c>
      <c r="C8">
        <v>8411</v>
      </c>
    </row>
    <row r="9" spans="1:12" x14ac:dyDescent="0.35">
      <c r="A9" s="43">
        <v>6</v>
      </c>
      <c r="B9">
        <v>180</v>
      </c>
      <c r="C9">
        <v>3888</v>
      </c>
      <c r="E9" s="42" t="s">
        <v>185</v>
      </c>
      <c r="F9" t="s">
        <v>188</v>
      </c>
    </row>
    <row r="10" spans="1:12" x14ac:dyDescent="0.35">
      <c r="A10" s="43">
        <v>7</v>
      </c>
      <c r="B10">
        <v>180</v>
      </c>
      <c r="C10">
        <v>2842</v>
      </c>
      <c r="E10" s="43" t="s">
        <v>191</v>
      </c>
      <c r="F10">
        <v>10516</v>
      </c>
      <c r="G10" t="s">
        <v>20</v>
      </c>
      <c r="H10" s="42" t="s">
        <v>179</v>
      </c>
      <c r="I10" t="s">
        <v>188</v>
      </c>
      <c r="J10" t="s">
        <v>20</v>
      </c>
      <c r="K10" s="42" t="s">
        <v>205</v>
      </c>
      <c r="L10" t="s">
        <v>188</v>
      </c>
    </row>
    <row r="11" spans="1:12" x14ac:dyDescent="0.35">
      <c r="A11" s="43">
        <v>8</v>
      </c>
      <c r="B11">
        <v>195</v>
      </c>
      <c r="C11">
        <v>2547</v>
      </c>
      <c r="E11" s="43" t="s">
        <v>192</v>
      </c>
      <c r="F11">
        <v>17968</v>
      </c>
      <c r="G11" s="15">
        <f>RANK(GETPIVOTDATA("Selling Price",H11,"Payment Mode","Cash"),$I$11:$I$14,0)</f>
        <v>3</v>
      </c>
      <c r="H11" s="43" t="s">
        <v>182</v>
      </c>
      <c r="I11">
        <v>43059</v>
      </c>
      <c r="J11" s="15">
        <f>RANK(GETPIVOTDATA("Selling Price",$K$10,"Product ID","Product1"),$L$11:$L$30,0)</f>
        <v>20</v>
      </c>
      <c r="K11" s="43" t="s">
        <v>23</v>
      </c>
      <c r="L11">
        <v>57</v>
      </c>
    </row>
    <row r="12" spans="1:12" x14ac:dyDescent="0.35">
      <c r="A12" s="43">
        <v>9</v>
      </c>
      <c r="B12">
        <v>165</v>
      </c>
      <c r="C12">
        <v>2426</v>
      </c>
      <c r="E12" s="43" t="s">
        <v>193</v>
      </c>
      <c r="F12">
        <v>10768</v>
      </c>
      <c r="G12" s="15">
        <f>RANK(GETPIVOTDATA("Selling Price",H12,"Payment Mode","Credit Card"),$I$11:$I$14,0)</f>
        <v>1</v>
      </c>
      <c r="H12" s="43" t="s">
        <v>180</v>
      </c>
      <c r="I12">
        <v>53240</v>
      </c>
      <c r="J12" s="15">
        <f>RANK(GETPIVOTDATA("Selling Price",$K$10,"Product ID","Product10"),$L$11:$L$30,0)</f>
        <v>13</v>
      </c>
      <c r="K12" s="43" t="s">
        <v>32</v>
      </c>
      <c r="L12">
        <v>2160</v>
      </c>
    </row>
    <row r="13" spans="1:12" x14ac:dyDescent="0.35">
      <c r="A13" s="43">
        <v>10</v>
      </c>
      <c r="B13">
        <v>175</v>
      </c>
      <c r="C13">
        <v>1901</v>
      </c>
      <c r="E13" s="43" t="s">
        <v>194</v>
      </c>
      <c r="F13">
        <v>18516</v>
      </c>
      <c r="G13" s="15">
        <f>RANK(GETPIVOTDATA("Selling Price",$H$10,"Payment Mode","Debit Card"),$I$11:$I$14,0)</f>
        <v>4</v>
      </c>
      <c r="H13" s="43" t="s">
        <v>181</v>
      </c>
      <c r="I13">
        <v>26750</v>
      </c>
      <c r="J13" s="15">
        <f>RANK(GETPIVOTDATA("Selling Price",K10,"Product ID","Product11"),$L$11:$L$30,0)</f>
        <v>11</v>
      </c>
      <c r="K13" s="43" t="s">
        <v>33</v>
      </c>
      <c r="L13">
        <v>2664</v>
      </c>
    </row>
    <row r="14" spans="1:12" x14ac:dyDescent="0.35">
      <c r="A14" s="43">
        <v>11</v>
      </c>
      <c r="B14">
        <v>230</v>
      </c>
      <c r="C14">
        <v>6609</v>
      </c>
      <c r="E14" s="43" t="s">
        <v>195</v>
      </c>
      <c r="F14">
        <v>10516</v>
      </c>
      <c r="G14" s="15">
        <f>RANK(GETPIVOTDATA("Selling Price",$H$10,"Payment Mode","PayPal"),$I$11:$I$14,0)</f>
        <v>2</v>
      </c>
      <c r="H14" s="43" t="s">
        <v>183</v>
      </c>
      <c r="I14">
        <v>50573</v>
      </c>
      <c r="J14" s="15">
        <f>RANK(GETPIVOTDATA("Selling Price",$K$10,"Product ID","Product12"),$L$11:$L$30,0)</f>
        <v>9</v>
      </c>
      <c r="K14" s="43" t="s">
        <v>34</v>
      </c>
      <c r="L14">
        <v>5400</v>
      </c>
    </row>
    <row r="15" spans="1:12" x14ac:dyDescent="0.35">
      <c r="A15" s="43">
        <v>12</v>
      </c>
      <c r="B15">
        <v>235</v>
      </c>
      <c r="C15">
        <v>7248</v>
      </c>
      <c r="E15" s="43" t="s">
        <v>196</v>
      </c>
      <c r="F15">
        <v>18371</v>
      </c>
      <c r="J15" s="15">
        <f>RANK(GETPIVOTDATA("Selling Price",$K$10,"Product ID","Product13"),$L$11:$L$30,0)</f>
        <v>8</v>
      </c>
      <c r="K15" s="43" t="s">
        <v>35</v>
      </c>
      <c r="L15">
        <v>5760</v>
      </c>
    </row>
    <row r="16" spans="1:12" x14ac:dyDescent="0.35">
      <c r="A16" s="43">
        <v>13</v>
      </c>
      <c r="B16">
        <v>220</v>
      </c>
      <c r="C16">
        <v>3246</v>
      </c>
      <c r="E16" s="43" t="s">
        <v>197</v>
      </c>
      <c r="F16">
        <v>10813</v>
      </c>
      <c r="H16" s="45" t="s">
        <v>203</v>
      </c>
      <c r="J16" s="15">
        <f>RANK(GETPIVOTDATA("Selling Price",$K$10,"Product ID","Product14"),$L$11:$L$30,0)</f>
        <v>5</v>
      </c>
      <c r="K16" s="43" t="s">
        <v>36</v>
      </c>
      <c r="L16">
        <v>9540</v>
      </c>
    </row>
    <row r="17" spans="1:12" x14ac:dyDescent="0.35">
      <c r="A17" s="43">
        <v>14</v>
      </c>
      <c r="B17">
        <v>225</v>
      </c>
      <c r="C17">
        <v>7920</v>
      </c>
      <c r="E17" s="43" t="s">
        <v>198</v>
      </c>
      <c r="F17">
        <v>18206</v>
      </c>
      <c r="G17" s="15"/>
      <c r="H17" t="str">
        <f>VLOOKUP(1,$G$11:$I$14,2,0)</f>
        <v>Credit Card</v>
      </c>
      <c r="I17">
        <f>VLOOKUP(1,$G$11:$I$14,3,0)</f>
        <v>53240</v>
      </c>
      <c r="J17" s="15">
        <f>RANK(GETPIVOTDATA("Selling Price",$K$10,"Product ID","Product15"),$L$11:$L$30,0)</f>
        <v>1</v>
      </c>
      <c r="K17" s="43" t="s">
        <v>37</v>
      </c>
      <c r="L17">
        <v>90000</v>
      </c>
    </row>
    <row r="18" spans="1:12" x14ac:dyDescent="0.35">
      <c r="A18" s="43">
        <v>15</v>
      </c>
      <c r="B18">
        <v>175</v>
      </c>
      <c r="C18">
        <v>12652</v>
      </c>
      <c r="E18" s="43" t="s">
        <v>199</v>
      </c>
      <c r="F18">
        <v>10998</v>
      </c>
      <c r="H18" s="45" t="s">
        <v>204</v>
      </c>
      <c r="J18" s="15">
        <f>RANK(GETPIVOTDATA("Selling Price",$K$10,"Product ID","Product16"),$L$11:$L$30,0)</f>
        <v>2</v>
      </c>
      <c r="K18" s="43" t="s">
        <v>38</v>
      </c>
      <c r="L18">
        <v>11700</v>
      </c>
    </row>
    <row r="19" spans="1:12" x14ac:dyDescent="0.35">
      <c r="A19" s="43">
        <v>16</v>
      </c>
      <c r="B19">
        <v>135</v>
      </c>
      <c r="C19">
        <v>8358</v>
      </c>
      <c r="E19" s="43" t="s">
        <v>200</v>
      </c>
      <c r="F19">
        <v>17921</v>
      </c>
      <c r="G19" s="15"/>
      <c r="H19" t="str">
        <f>VLOOKUP(1,$J$11:$L$30,2,0)</f>
        <v>Product15</v>
      </c>
      <c r="I19">
        <f>VLOOKUP(1,$J$11:$L$30,3,0)</f>
        <v>90000</v>
      </c>
      <c r="J19" s="15">
        <f>RANK(GETPIVOTDATA("Selling Price",$K$10,"Product ID","Product17"),$L$11:$L$30,0)</f>
        <v>3</v>
      </c>
      <c r="K19" s="43" t="s">
        <v>39</v>
      </c>
      <c r="L19">
        <v>11520</v>
      </c>
    </row>
    <row r="20" spans="1:12" x14ac:dyDescent="0.35">
      <c r="A20" s="43">
        <v>17</v>
      </c>
      <c r="B20">
        <v>195</v>
      </c>
      <c r="C20">
        <v>3172</v>
      </c>
      <c r="E20" s="43" t="s">
        <v>201</v>
      </c>
      <c r="F20">
        <v>11493</v>
      </c>
      <c r="J20" s="15">
        <f>RANK(GETPIVOTDATA("Selling Price",$K$10,"Product ID","Product18"),$L$11:$L$30,0)</f>
        <v>7</v>
      </c>
      <c r="K20" s="43" t="s">
        <v>40</v>
      </c>
      <c r="L20">
        <v>6480</v>
      </c>
    </row>
    <row r="21" spans="1:12" x14ac:dyDescent="0.35">
      <c r="A21" s="43">
        <v>18</v>
      </c>
      <c r="B21">
        <v>230</v>
      </c>
      <c r="C21">
        <v>2724</v>
      </c>
      <c r="E21" s="43" t="s">
        <v>202</v>
      </c>
      <c r="F21">
        <v>17536</v>
      </c>
      <c r="J21" s="15">
        <v>9</v>
      </c>
      <c r="K21" s="43" t="s">
        <v>41</v>
      </c>
      <c r="L21">
        <v>9720</v>
      </c>
    </row>
    <row r="22" spans="1:12" x14ac:dyDescent="0.35">
      <c r="A22" s="43">
        <v>19</v>
      </c>
      <c r="B22">
        <v>190</v>
      </c>
      <c r="C22">
        <v>3070</v>
      </c>
      <c r="J22" s="15">
        <f>RANK(GETPIVOTDATA("Selling Price",$K$10,"Product ID","Product2"),$L$11:$L$30,0)</f>
        <v>17</v>
      </c>
      <c r="K22" s="43" t="s">
        <v>24</v>
      </c>
      <c r="L22">
        <v>855</v>
      </c>
    </row>
    <row r="23" spans="1:12" x14ac:dyDescent="0.35">
      <c r="A23" s="43">
        <v>20</v>
      </c>
      <c r="B23">
        <v>195</v>
      </c>
      <c r="C23">
        <v>3034</v>
      </c>
      <c r="F23" s="15"/>
      <c r="J23" s="15">
        <f>RANK(GETPIVOTDATA("Selling Price",$K$10,"Product ID","Product20"),$L$11:$L$30,0)</f>
        <v>6</v>
      </c>
      <c r="K23" s="43" t="s">
        <v>42</v>
      </c>
      <c r="L23">
        <v>7200</v>
      </c>
    </row>
    <row r="24" spans="1:12" x14ac:dyDescent="0.35">
      <c r="A24" s="43">
        <v>21</v>
      </c>
      <c r="B24">
        <v>215</v>
      </c>
      <c r="C24">
        <v>7229</v>
      </c>
      <c r="F24" s="15"/>
      <c r="G24" s="15"/>
      <c r="H24" s="15"/>
      <c r="J24" s="15">
        <f>RANK(GETPIVOTDATA("Selling Price",$K$10,"Product ID","Product3"),$L$11:$L$30,0)</f>
        <v>14</v>
      </c>
      <c r="K24" s="43" t="s">
        <v>25</v>
      </c>
      <c r="L24">
        <v>1710</v>
      </c>
    </row>
    <row r="25" spans="1:12" x14ac:dyDescent="0.35">
      <c r="A25" s="43">
        <v>22</v>
      </c>
      <c r="B25">
        <v>190</v>
      </c>
      <c r="C25">
        <v>7573</v>
      </c>
      <c r="F25" s="15"/>
      <c r="J25" s="15">
        <f>RANK(GETPIVOTDATA("Selling Price",$K$10,"Product ID","Product4"),$L$11:$L$30,0)</f>
        <v>18</v>
      </c>
      <c r="K25" s="43" t="s">
        <v>26</v>
      </c>
      <c r="L25">
        <v>665</v>
      </c>
    </row>
    <row r="26" spans="1:12" x14ac:dyDescent="0.35">
      <c r="A26" s="43">
        <v>23</v>
      </c>
      <c r="B26">
        <v>185</v>
      </c>
      <c r="C26">
        <v>8111</v>
      </c>
      <c r="F26" s="15"/>
      <c r="J26" s="15">
        <f>RANK(GETPIVOTDATA("Selling Price",$K$10,"Product ID","Product5"),$L$11:$L$30,0)</f>
        <v>10</v>
      </c>
      <c r="K26" s="43" t="s">
        <v>27</v>
      </c>
      <c r="L26">
        <v>2755</v>
      </c>
    </row>
    <row r="27" spans="1:12" x14ac:dyDescent="0.35">
      <c r="A27" s="43">
        <v>24</v>
      </c>
      <c r="B27">
        <v>220</v>
      </c>
      <c r="C27">
        <v>12575</v>
      </c>
      <c r="F27" s="15"/>
      <c r="J27" s="15">
        <f>RANK(GETPIVOTDATA("Selling Price",$K$10,"Product ID","Product6"),$L$11:$L$30,0)</f>
        <v>12</v>
      </c>
      <c r="K27" s="43" t="s">
        <v>28</v>
      </c>
      <c r="L27">
        <v>2250</v>
      </c>
    </row>
    <row r="28" spans="1:12" x14ac:dyDescent="0.35">
      <c r="A28" s="43">
        <v>25</v>
      </c>
      <c r="B28">
        <v>225</v>
      </c>
      <c r="C28">
        <v>8411</v>
      </c>
      <c r="F28" s="15"/>
      <c r="J28" s="15">
        <f>RANK(GETPIVOTDATA("Selling Price",$K$10,"Product ID","Product7"),$L$11:$L$30,0)</f>
        <v>16</v>
      </c>
      <c r="K28" s="43" t="s">
        <v>29</v>
      </c>
      <c r="L28">
        <v>1008</v>
      </c>
    </row>
    <row r="29" spans="1:12" x14ac:dyDescent="0.35">
      <c r="A29" s="43">
        <v>26</v>
      </c>
      <c r="B29">
        <v>180</v>
      </c>
      <c r="C29">
        <v>3888</v>
      </c>
      <c r="F29" s="15"/>
      <c r="J29" s="15">
        <f>RANK(GETPIVOTDATA("Selling Price",$K$10,"Product ID","Product8"),$L$11:$L$30,0)</f>
        <v>19</v>
      </c>
      <c r="K29" s="43" t="s">
        <v>30</v>
      </c>
      <c r="L29">
        <v>612</v>
      </c>
    </row>
    <row r="30" spans="1:12" x14ac:dyDescent="0.35">
      <c r="A30" s="43">
        <v>27</v>
      </c>
      <c r="B30">
        <v>180</v>
      </c>
      <c r="C30">
        <v>2842</v>
      </c>
      <c r="F30" s="15"/>
      <c r="J30" s="15">
        <f>RANK(GETPIVOTDATA("Selling Price",$K$10,"Product ID","Product9"),$L$11:$L$30,0)</f>
        <v>15</v>
      </c>
      <c r="K30" s="43" t="s">
        <v>31</v>
      </c>
      <c r="L30">
        <v>1566</v>
      </c>
    </row>
    <row r="31" spans="1:12" x14ac:dyDescent="0.35">
      <c r="A31" s="43">
        <v>28</v>
      </c>
      <c r="B31">
        <v>195</v>
      </c>
      <c r="C31">
        <v>2547</v>
      </c>
      <c r="F31" s="15"/>
    </row>
    <row r="32" spans="1:12" x14ac:dyDescent="0.35">
      <c r="A32" s="43">
        <v>29</v>
      </c>
      <c r="B32">
        <v>160</v>
      </c>
      <c r="C32">
        <v>2026</v>
      </c>
      <c r="F32" s="15"/>
    </row>
    <row r="33" spans="1:6" x14ac:dyDescent="0.35">
      <c r="A33" s="43">
        <v>30</v>
      </c>
      <c r="B33">
        <v>165</v>
      </c>
      <c r="C33">
        <v>1898</v>
      </c>
      <c r="F33" s="15"/>
    </row>
    <row r="34" spans="1:6" x14ac:dyDescent="0.35">
      <c r="A34" s="43">
        <v>31</v>
      </c>
      <c r="B34">
        <v>165</v>
      </c>
      <c r="C34">
        <v>986</v>
      </c>
      <c r="F34" s="15"/>
    </row>
    <row r="35" spans="1:6" x14ac:dyDescent="0.35">
      <c r="F35" s="15"/>
    </row>
    <row r="36" spans="1:6" x14ac:dyDescent="0.35">
      <c r="F36" s="15"/>
    </row>
    <row r="37" spans="1:6" x14ac:dyDescent="0.35">
      <c r="F37" s="15"/>
    </row>
    <row r="38" spans="1:6" x14ac:dyDescent="0.35">
      <c r="F38" s="15"/>
    </row>
    <row r="39" spans="1:6" x14ac:dyDescent="0.35">
      <c r="F39" s="15"/>
    </row>
    <row r="40" spans="1:6" x14ac:dyDescent="0.35">
      <c r="F40" s="15"/>
    </row>
    <row r="41" spans="1:6" x14ac:dyDescent="0.35">
      <c r="F41" s="15"/>
    </row>
    <row r="42" spans="1:6" x14ac:dyDescent="0.35">
      <c r="F42" s="15"/>
    </row>
    <row r="43" spans="1:6" x14ac:dyDescent="0.35">
      <c r="F43" s="15"/>
    </row>
    <row r="44" spans="1:6" x14ac:dyDescent="0.35">
      <c r="F44" s="1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DC68E-F14D-4F77-8033-2F4EDA611A50}">
  <dimension ref="A1"/>
  <sheetViews>
    <sheetView showGridLines="0" tabSelected="1" zoomScale="70" zoomScaleNormal="70" workbookViewId="0">
      <selection activeCell="V23" sqref="V23"/>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22</vt:i4>
      </vt:variant>
    </vt:vector>
  </HeadingPairs>
  <TitlesOfParts>
    <vt:vector size="32" baseType="lpstr">
      <vt:lpstr>Data</vt:lpstr>
      <vt:lpstr>Calcula</vt:lpstr>
      <vt:lpstr>Price Break Model</vt:lpstr>
      <vt:lpstr>ABC</vt:lpstr>
      <vt:lpstr>StockManagement</vt:lpstr>
      <vt:lpstr>ReorderPoint</vt:lpstr>
      <vt:lpstr>Profit</vt:lpstr>
      <vt:lpstr>SalesData</vt:lpstr>
      <vt:lpstr>Analysis</vt:lpstr>
      <vt:lpstr>Visualization</vt:lpstr>
      <vt:lpstr>a</vt:lpstr>
      <vt:lpstr>Average_Inventory__Qbar</vt:lpstr>
      <vt:lpstr>b</vt:lpstr>
      <vt:lpstr>c_1</vt:lpstr>
      <vt:lpstr>c_2</vt:lpstr>
      <vt:lpstr>cp</vt:lpstr>
      <vt:lpstr>D</vt:lpstr>
      <vt:lpstr>Disc</vt:lpstr>
      <vt:lpstr>h</vt:lpstr>
      <vt:lpstr>K</vt:lpstr>
      <vt:lpstr>L</vt:lpstr>
      <vt:lpstr>Length_of_Supply_Cycle__t_d</vt:lpstr>
      <vt:lpstr>m</vt:lpstr>
      <vt:lpstr>Product1</vt:lpstr>
      <vt:lpstr>q</vt:lpstr>
      <vt:lpstr>q_1</vt:lpstr>
      <vt:lpstr>TCU</vt:lpstr>
      <vt:lpstr>TCU_y</vt:lpstr>
      <vt:lpstr>unit_h</vt:lpstr>
      <vt:lpstr>unit_k</vt:lpstr>
      <vt:lpstr>y_</vt:lpstr>
      <vt:lpstr>ZoneDecision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Usman</dc:creator>
  <cp:lastModifiedBy>Muhammad Usman</cp:lastModifiedBy>
  <dcterms:created xsi:type="dcterms:W3CDTF">2024-05-16T01:19:12Z</dcterms:created>
  <dcterms:modified xsi:type="dcterms:W3CDTF">2024-06-05T15:08:36Z</dcterms:modified>
</cp:coreProperties>
</file>