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naik\Biegler\PARETO\pyomo_models\project-pareto\pareto\case_studies\"/>
    </mc:Choice>
  </mc:AlternateContent>
  <xr:revisionPtr revIDLastSave="0" documentId="13_ncr:1_{DFC39388-6201-4C55-BEDE-606C75EF8327}" xr6:coauthVersionLast="47" xr6:coauthVersionMax="47" xr10:uidLastSave="{00000000-0000-0000-0000-000000000000}"/>
  <bookViews>
    <workbookView xWindow="-108" yWindow="-108" windowWidth="23256" windowHeight="12456" tabRatio="834" firstSheet="55" activeTab="56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04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SNA" sheetId="77" r:id="rId26"/>
    <sheet name="FCA" sheetId="41" r:id="rId27"/>
    <sheet name="FNA" sheetId="118" r:id="rId28"/>
    <sheet name="RCA" sheetId="83" r:id="rId29"/>
    <sheet name="RSA" sheetId="105" r:id="rId30"/>
    <sheet name="SCA" sheetId="108" r:id="rId31"/>
    <sheet name="RNA" sheetId="62" r:id="rId32"/>
    <sheet name="PCT" sheetId="42" r:id="rId33"/>
    <sheet name="FCT" sheetId="70" r:id="rId34"/>
    <sheet name="PKT" sheetId="43" r:id="rId35"/>
    <sheet name="CKT" sheetId="44" r:id="rId36"/>
    <sheet name="CCT" sheetId="74" r:id="rId37"/>
    <sheet name="CST" sheetId="64" r:id="rId38"/>
    <sheet name="CompletionsDemand" sheetId="8" r:id="rId39"/>
    <sheet name="PadRates" sheetId="65" r:id="rId40"/>
    <sheet name="FlowbackRates" sheetId="75" r:id="rId41"/>
    <sheet name="InitialStorageLevel" sheetId="122" r:id="rId42"/>
    <sheet name="InitialPipelineCapacity" sheetId="109" r:id="rId43"/>
    <sheet name="InitialDisposalCapacity" sheetId="46" r:id="rId44"/>
    <sheet name="InitialStorageCapacity" sheetId="80" r:id="rId45"/>
    <sheet name="InitialTreatmentCapacity" sheetId="67" r:id="rId46"/>
    <sheet name="FreshwaterSourcingAvailability" sheetId="47" r:id="rId47"/>
    <sheet name="CompletionsPadStorage" sheetId="72" r:id="rId48"/>
    <sheet name="PadOffloadingCapacity" sheetId="48" r:id="rId49"/>
    <sheet name="NodeCapacities" sheetId="102" r:id="rId50"/>
    <sheet name="DisposalOperatingCapacity" sheetId="112" r:id="rId51"/>
    <sheet name="DisposalOperationalCost" sheetId="49" r:id="rId52"/>
    <sheet name="TreatmentOperationalCost" sheetId="68" r:id="rId53"/>
    <sheet name="ReuseOperationalCost" sheetId="50" r:id="rId54"/>
    <sheet name="PipelineOperationalCost" sheetId="69" r:id="rId55"/>
    <sheet name="StorageCost" sheetId="119" r:id="rId56"/>
    <sheet name="StorageWithdrawalRevenue" sheetId="120" r:id="rId57"/>
    <sheet name="FreshSourcingCost" sheetId="52" r:id="rId58"/>
    <sheet name="TruckingHourlyCost" sheetId="71" r:id="rId59"/>
    <sheet name="TruckingTime" sheetId="7" r:id="rId60"/>
    <sheet name="DisposalExpansionCost" sheetId="90" r:id="rId61"/>
    <sheet name="DisposalCapacityIncrements" sheetId="79" r:id="rId62"/>
    <sheet name="StorageExpansionCost" sheetId="91" r:id="rId63"/>
    <sheet name="StorageCapacityIncrements" sheetId="81" r:id="rId64"/>
    <sheet name="TreatmentExpansionCost" sheetId="92" r:id="rId65"/>
    <sheet name="TreatmentCapacityIncrements" sheetId="87" r:id="rId66"/>
    <sheet name="PipelineCapexDistanceBased" sheetId="89" r:id="rId67"/>
    <sheet name="PipelineExpansionDistance" sheetId="94" r:id="rId68"/>
    <sheet name="PipelineCapexCapacityBased" sheetId="98" r:id="rId69"/>
    <sheet name="PipelineCapacityIncrements" sheetId="97" r:id="rId70"/>
    <sheet name="PipelineDiameterValues" sheetId="78" r:id="rId71"/>
    <sheet name="TreatmentEfficiency" sheetId="107" r:id="rId72"/>
    <sheet name="RemovalEfficiency" sheetId="114" r:id="rId73"/>
    <sheet name="DesalinationTechnologies" sheetId="111" r:id="rId74"/>
    <sheet name="DesalinationSites" sheetId="113" r:id="rId75"/>
    <sheet name="CompletionsPadOutsideSystem" sheetId="110" r:id="rId76"/>
    <sheet name="Hydraulics" sheetId="93" r:id="rId77"/>
    <sheet name="Economics" sheetId="95" r:id="rId78"/>
    <sheet name="PadWaterQuality" sheetId="99" r:id="rId79"/>
    <sheet name="StorageInitialWaterQuality" sheetId="100" r:id="rId80"/>
    <sheet name="PadStorageInitialWaterQuality" sheetId="101" r:id="rId81"/>
    <sheet name="MinResidualQuality" sheetId="115" r:id="rId82"/>
    <sheet name="ComponentPrice" sheetId="116" r:id="rId83"/>
    <sheet name="ComponentTreatment" sheetId="117" r:id="rId84"/>
    <sheet name="TimeDiscretization" sheetId="121" r:id="rId85"/>
    <sheet name="TreatmentReward" sheetId="123" r:id="rId86"/>
  </sheets>
  <definedNames>
    <definedName name="_xlnm._FilterDatabase" localSheetId="67" hidden="1">#REF!</definedName>
    <definedName name="_xlnm.Extract" localSheetId="67">PipelineExpansionDistance!#REF!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9" l="1"/>
  <c r="B3" i="49"/>
  <c r="A1" i="123"/>
  <c r="A1" i="109"/>
  <c r="A1" i="46" l="1"/>
  <c r="A1" i="122" l="1"/>
  <c r="A1" i="101" l="1"/>
  <c r="A1" i="100"/>
  <c r="I7" i="94"/>
  <c r="A1" i="112" l="1"/>
  <c r="A1" i="48"/>
  <c r="A1" i="87"/>
  <c r="A1" i="79"/>
  <c r="A1" i="65" l="1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A1" i="98" l="1"/>
  <c r="A1" i="97"/>
  <c r="A1" i="94"/>
  <c r="A1" i="89"/>
  <c r="A1" i="92"/>
  <c r="A1" i="91"/>
  <c r="A1" i="90"/>
  <c r="A1" i="81"/>
  <c r="A1" i="78"/>
  <c r="A1" i="71"/>
  <c r="A1" i="52"/>
  <c r="A1" i="69"/>
  <c r="A1" i="50"/>
  <c r="A1" i="68"/>
  <c r="A1" i="49"/>
  <c r="A1" i="72"/>
  <c r="A1" i="47"/>
  <c r="A1" i="67"/>
  <c r="A1" i="102"/>
  <c r="A1" i="75"/>
  <c r="A1" i="8"/>
  <c r="B6" i="65"/>
  <c r="AE6" i="65" s="1"/>
  <c r="B5" i="65"/>
  <c r="N5" i="65" s="1"/>
  <c r="B4" i="65"/>
  <c r="L4" i="65" s="1"/>
  <c r="B3" i="65"/>
  <c r="I3" i="65" s="1"/>
  <c r="Y3" i="65"/>
  <c r="Z3" i="65"/>
  <c r="AB3" i="65"/>
  <c r="AL3" i="65"/>
  <c r="AW3" i="65"/>
  <c r="J5" i="65"/>
  <c r="T5" i="65"/>
  <c r="U5" i="65"/>
  <c r="AP5" i="65"/>
  <c r="AQ5" i="65"/>
  <c r="BA4" i="65"/>
  <c r="AZ4" i="65"/>
  <c r="AZ3" i="65"/>
  <c r="AN4" i="65" l="1"/>
  <c r="AY4" i="65"/>
  <c r="AB4" i="65"/>
  <c r="AA4" i="65"/>
  <c r="P4" i="65"/>
  <c r="AM4" i="65"/>
  <c r="O4" i="65"/>
  <c r="BA3" i="65"/>
  <c r="AX3" i="65"/>
  <c r="M6" i="65"/>
  <c r="AY3" i="65"/>
  <c r="AA3" i="65"/>
  <c r="AN3" i="65"/>
  <c r="P3" i="65"/>
  <c r="AM3" i="65"/>
  <c r="O3" i="65"/>
  <c r="N3" i="65"/>
  <c r="AK3" i="65"/>
  <c r="M3" i="65"/>
  <c r="R3" i="75"/>
  <c r="T3" i="75"/>
  <c r="AC3" i="75"/>
  <c r="Q3" i="75"/>
  <c r="AD3" i="75"/>
  <c r="AF3" i="75"/>
  <c r="AO3" i="75"/>
  <c r="AP3" i="75"/>
  <c r="AR3" i="75"/>
  <c r="Z6" i="65"/>
  <c r="AE5" i="65"/>
  <c r="I5" i="65"/>
  <c r="AS4" i="65"/>
  <c r="AG4" i="65"/>
  <c r="U4" i="65"/>
  <c r="H4" i="65"/>
  <c r="AR3" i="65"/>
  <c r="AF3" i="65"/>
  <c r="T3" i="65"/>
  <c r="H3" i="65"/>
  <c r="AN5" i="65"/>
  <c r="AY5" i="65"/>
  <c r="AD5" i="65"/>
  <c r="H5" i="65"/>
  <c r="AR4" i="65"/>
  <c r="AF4" i="65"/>
  <c r="T4" i="65"/>
  <c r="G4" i="65"/>
  <c r="AQ3" i="65"/>
  <c r="AE3" i="65"/>
  <c r="S3" i="65"/>
  <c r="G3" i="65"/>
  <c r="AX5" i="65"/>
  <c r="AB5" i="65"/>
  <c r="G5" i="65"/>
  <c r="AQ4" i="65"/>
  <c r="AE4" i="65"/>
  <c r="S4" i="65"/>
  <c r="F4" i="65"/>
  <c r="AP3" i="65"/>
  <c r="AD3" i="65"/>
  <c r="R3" i="65"/>
  <c r="F3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R5" i="65"/>
  <c r="AW4" i="65"/>
  <c r="M4" i="65"/>
  <c r="AV3" i="65"/>
  <c r="AJ3" i="65"/>
  <c r="X3" i="65"/>
  <c r="L3" i="65"/>
  <c r="AL5" i="65"/>
  <c r="P5" i="65"/>
  <c r="AV4" i="65"/>
  <c r="AJ4" i="65"/>
  <c r="X4" i="65"/>
  <c r="K4" i="65"/>
  <c r="AU3" i="65"/>
  <c r="AI3" i="65"/>
  <c r="W3" i="65"/>
  <c r="K3" i="65"/>
  <c r="AK4" i="65"/>
  <c r="AG5" i="65"/>
  <c r="O5" i="65"/>
  <c r="AU4" i="65"/>
  <c r="AI4" i="65"/>
  <c r="W4" i="65"/>
  <c r="J4" i="65"/>
  <c r="AT3" i="65"/>
  <c r="AH3" i="65"/>
  <c r="V3" i="65"/>
  <c r="J3" i="65"/>
  <c r="AX4" i="65"/>
  <c r="Z4" i="65"/>
  <c r="AM5" i="65"/>
  <c r="Y4" i="65"/>
  <c r="AF5" i="65"/>
  <c r="AT4" i="65"/>
  <c r="AH4" i="65"/>
  <c r="V4" i="65"/>
  <c r="I4" i="65"/>
  <c r="AS3" i="65"/>
  <c r="AG3" i="65"/>
  <c r="U3" i="65"/>
  <c r="S3" i="75"/>
  <c r="AE3" i="75"/>
  <c r="AQ3" i="75"/>
  <c r="U3" i="75"/>
  <c r="AG3" i="75"/>
  <c r="AS3" i="75"/>
  <c r="V3" i="75"/>
  <c r="AH3" i="75"/>
  <c r="W3" i="75"/>
  <c r="AI3" i="75"/>
  <c r="X3" i="75"/>
  <c r="AJ3" i="75"/>
  <c r="Y3" i="75"/>
  <c r="AK3" i="75"/>
  <c r="Z3" i="75"/>
  <c r="AL3" i="75"/>
  <c r="O3" i="75"/>
  <c r="AA3" i="75"/>
  <c r="AM3" i="75"/>
  <c r="P3" i="75"/>
  <c r="AB3" i="75"/>
  <c r="AN3" i="75"/>
  <c r="S6" i="65"/>
  <c r="N6" i="65"/>
  <c r="G6" i="65"/>
  <c r="H6" i="65"/>
  <c r="AX6" i="65"/>
  <c r="AQ6" i="65"/>
  <c r="AL6" i="65"/>
  <c r="AP6" i="65"/>
  <c r="AO6" i="65"/>
  <c r="AC6" i="65"/>
  <c r="Q6" i="65"/>
  <c r="E6" i="65"/>
  <c r="AD6" i="65"/>
  <c r="F6" i="65"/>
  <c r="AN6" i="65"/>
  <c r="AB6" i="65"/>
  <c r="P6" i="65"/>
  <c r="D6" i="65"/>
  <c r="F5" i="65"/>
  <c r="R6" i="65"/>
  <c r="AY6" i="65"/>
  <c r="AM6" i="65"/>
  <c r="AA6" i="65"/>
  <c r="O6" i="65"/>
  <c r="C6" i="65"/>
  <c r="AO5" i="65"/>
  <c r="AC5" i="65"/>
  <c r="Q5" i="65"/>
  <c r="E5" i="65"/>
  <c r="AV6" i="65"/>
  <c r="AJ6" i="65"/>
  <c r="X6" i="65"/>
  <c r="L6" i="65"/>
  <c r="AW6" i="65"/>
  <c r="AK6" i="65"/>
  <c r="AU6" i="65"/>
  <c r="AI6" i="65"/>
  <c r="W6" i="65"/>
  <c r="K6" i="65"/>
  <c r="AW5" i="65"/>
  <c r="AK5" i="65"/>
  <c r="Y5" i="65"/>
  <c r="M5" i="65"/>
  <c r="C4" i="65"/>
  <c r="E3" i="65"/>
  <c r="AT6" i="65"/>
  <c r="AH6" i="65"/>
  <c r="V6" i="65"/>
  <c r="J6" i="65"/>
  <c r="AV5" i="65"/>
  <c r="AJ5" i="65"/>
  <c r="X5" i="65"/>
  <c r="L5" i="65"/>
  <c r="D3" i="65"/>
  <c r="Y6" i="65"/>
  <c r="AS6" i="65"/>
  <c r="AG6" i="65"/>
  <c r="U6" i="65"/>
  <c r="I6" i="65"/>
  <c r="AU5" i="65"/>
  <c r="AI5" i="65"/>
  <c r="W5" i="65"/>
  <c r="K5" i="65"/>
  <c r="AR6" i="65"/>
  <c r="AF6" i="65"/>
  <c r="T6" i="65"/>
  <c r="AT5" i="65"/>
  <c r="AH5" i="65"/>
  <c r="V5" i="65"/>
  <c r="BA5" i="65"/>
  <c r="AZ5" i="65"/>
  <c r="BA6" i="65"/>
  <c r="AZ6" i="65"/>
</calcChain>
</file>

<file path=xl/sharedStrings.xml><?xml version="1.0" encoding="utf-8"?>
<sst xmlns="http://schemas.openxmlformats.org/spreadsheetml/2006/main" count="1193" uniqueCount="274">
  <si>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</si>
  <si>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</si>
  <si>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</si>
  <si>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</si>
  <si>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</si>
  <si>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</si>
  <si>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</si>
  <si>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</si>
  <si>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</si>
  <si>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</si>
  <si>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</si>
  <si>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</si>
  <si>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</si>
  <si>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</si>
  <si>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</si>
  <si>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</si>
  <si>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</si>
  <si>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</si>
  <si>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</si>
  <si>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</si>
  <si>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</si>
  <si>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</si>
  <si>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</si>
  <si>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</si>
  <si>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</si>
  <si>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</si>
  <si>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</si>
  <si>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</si>
  <si>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</si>
  <si>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</si>
  <si>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</si>
  <si>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</si>
  <si>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</si>
  <si>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</si>
  <si>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</si>
  <si>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</si>
  <si>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</si>
  <si>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</si>
  <si>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</si>
  <si>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</si>
  <si>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</si>
  <si>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</si>
  <si>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</si>
  <si>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</si>
  <si>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</si>
  <si>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</si>
  <si>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</si>
  <si>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</si>
  <si>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</si>
  <si>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</si>
  <si>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</si>
  <si>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</si>
  <si>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</si>
  <si>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</si>
  <si>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</si>
  <si>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</si>
  <si>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</si>
  <si>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</si>
  <si>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</si>
  <si>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</si>
  <si>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</si>
  <si>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</si>
  <si>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</si>
  <si>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</si>
  <si>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</si>
  <si>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</si>
  <si>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</si>
  <si>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</si>
  <si>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</si>
  <si>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</si>
  <si>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</si>
  <si>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</si>
  <si>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</si>
  <si>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</si>
  <si>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</si>
  <si>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</si>
  <si>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</si>
  <si>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</si>
  <si>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</si>
  <si>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</si>
  <si>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</si>
  <si>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</si>
  <si>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</si>
  <si>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</si>
  <si>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</si>
  <si>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</si>
  <si>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</si>
  <si>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</si>
  <si>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</si>
  <si>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</si>
  <si>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</si>
  <si>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</si>
  <si>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</si>
  <si>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</si>
  <si>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</si>
  <si>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</si>
  <si>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</si>
  <si>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</si>
  <si>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</si>
  <si>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</si>
  <si>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</si>
  <si>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</si>
  <si>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</si>
  <si>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</si>
  <si>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</si>
  <si>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</si>
  <si>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</si>
  <si>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</si>
  <si>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</si>
  <si>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</si>
  <si>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List of all SWD Sites [-]</t>
  </si>
  <si>
    <t>K01</t>
  </si>
  <si>
    <t>K02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</si>
  <si>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</si>
  <si>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</si>
  <si>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</si>
  <si>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</si>
  <si>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</si>
  <si>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List of all Treatment Site Identifiers [-]</t>
  </si>
  <si>
    <t>R01</t>
  </si>
  <si>
    <t>R02</t>
  </si>
  <si>
    <t>CB</t>
  </si>
  <si>
    <t>CB-EV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</si>
  <si>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</si>
  <si>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</si>
  <si>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</si>
  <si>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</si>
  <si>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</si>
  <si>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</si>
  <si>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</si>
  <si>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</si>
  <si>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</si>
  <si>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</si>
  <si>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</si>
  <si>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</si>
  <si>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</si>
  <si>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</si>
  <si>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</si>
  <si>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</si>
  <si>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</si>
  <si>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</si>
  <si>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</si>
  <si>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</si>
  <si>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</si>
  <si>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</si>
  <si>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</si>
  <si>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</si>
  <si>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</si>
  <si>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</si>
  <si>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</si>
  <si>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</si>
  <si>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</si>
  <si>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</si>
  <si>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</si>
  <si>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</si>
  <si>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</si>
  <si>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</si>
  <si>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</si>
  <si>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</si>
  <si>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</si>
  <si>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</si>
  <si>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</si>
  <si>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</si>
  <si>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</si>
  <si>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</si>
  <si>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</si>
  <si>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</si>
  <si>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</si>
  <si>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</si>
  <si>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 Sites to Completions Sites Piping Arcs [-]</t>
  </si>
  <si>
    <t>TreatmentSites</t>
  </si>
  <si>
    <t>Treatment Sites to Storage Sites Piping Arcs [-]</t>
  </si>
  <si>
    <t>Storage Sites to Completions Piping Arcs [-]</t>
  </si>
  <si>
    <t>StorageSites</t>
  </si>
  <si>
    <t>Treatment Sites to Network Nodes Piping Arcs [-]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</si>
  <si>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</si>
  <si>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</si>
  <si>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</si>
  <si>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</si>
  <si>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</si>
  <si>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</si>
  <si>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</si>
  <si>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</si>
  <si>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</si>
  <si>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</si>
  <si>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</si>
  <si>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</si>
  <si>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</si>
  <si>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</si>
  <si>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</si>
  <si>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</si>
  <si>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</si>
  <si>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</si>
  <si>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</si>
  <si>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</si>
  <si>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</si>
  <si>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</si>
  <si>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</si>
  <si>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</si>
  <si>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</si>
  <si>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</si>
  <si>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</si>
  <si>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</si>
  <si>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</si>
  <si>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</si>
  <si>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</si>
  <si>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</si>
  <si>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</si>
  <si>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</si>
  <si>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</si>
  <si>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</si>
  <si>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</si>
  <si>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</si>
  <si>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</si>
  <si>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</si>
  <si>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</si>
  <si>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</si>
  <si>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</si>
  <si>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</si>
  <si>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</si>
  <si>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</si>
  <si>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</si>
  <si>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</si>
  <si>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</si>
  <si>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</si>
  <si>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</si>
  <si>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</si>
  <si>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</si>
  <si>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</si>
  <si>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</si>
  <si>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</si>
  <si>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</si>
  <si>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</si>
  <si>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</si>
  <si>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</si>
  <si>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</si>
  <si>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</si>
  <si>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</si>
  <si>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InjectionCapacities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</si>
  <si>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</si>
  <si>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</si>
  <si>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</si>
  <si>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</si>
  <si>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</si>
  <si>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</si>
  <si>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</si>
  <si>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</si>
  <si>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</si>
  <si>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</si>
  <si>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</si>
  <si>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</si>
  <si>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</si>
  <si>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</si>
  <si>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</si>
  <si>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</si>
  <si>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</si>
  <si>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</si>
  <si>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</si>
  <si>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MVC</t>
  </si>
  <si>
    <t>MD</t>
  </si>
  <si>
    <t>OARO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</si>
  <si>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</si>
  <si>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Li</t>
  </si>
  <si>
    <t>Minimum Water Quality out of Residual Stream</t>
  </si>
  <si>
    <t>Choice on whether the site will treat that componenet or not</t>
  </si>
  <si>
    <t>Price earned based on each residuual treatment node [USD/mg]</t>
  </si>
  <si>
    <t>Freshwater Sources to Network Nodes Piping Arcs [-]</t>
  </si>
  <si>
    <t>Time discretization for inventory</t>
  </si>
  <si>
    <t>Cost to release produced water [kUSD/bbl]</t>
  </si>
  <si>
    <t>R01_TW</t>
  </si>
  <si>
    <t>R02_TW</t>
  </si>
  <si>
    <t>Table of Water Quality of Produced Water and Flowback Water [g/liter]</t>
  </si>
  <si>
    <t>Table of Initial Storage Capacity [liters]</t>
  </si>
  <si>
    <t>Cost to store produced water [USD/bbl]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</si>
</sst>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CE4D6"/>
        <bgColor rgb="FF000000"/>
      </patternFill>
    </fill>
  </fills>
  <borders count="4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110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3" fillId="3" borderId="19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1" xfId="2" applyFont="1" applyFill="1" applyBorder="1" applyAlignment="1">
      <alignment horizontal="center"/>
    </xf>
    <xf numFmtId="43" fontId="1" fillId="3" borderId="16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7" xfId="0" applyFont="1" applyFill="1" applyBorder="1" applyAlignment="1">
      <alignment horizontal="center"/>
    </xf>
    <xf numFmtId="0" fontId="1" fillId="4" borderId="17" xfId="0" applyFont="1" applyFill="1" applyBorder="1"/>
    <xf numFmtId="0" fontId="1" fillId="4" borderId="22" xfId="0" applyFont="1" applyFill="1" applyBorder="1" applyAlignment="1">
      <alignment horizontal="center"/>
    </xf>
    <xf numFmtId="0" fontId="1" fillId="4" borderId="22" xfId="0" applyFont="1" applyFill="1" applyBorder="1"/>
    <xf numFmtId="0" fontId="1" fillId="4" borderId="24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4" xfId="0" applyFont="1" applyFill="1" applyBorder="1"/>
    <xf numFmtId="0" fontId="1" fillId="4" borderId="27" xfId="0" applyFont="1" applyFill="1" applyBorder="1"/>
    <xf numFmtId="0" fontId="1" fillId="4" borderId="30" xfId="0" applyFont="1" applyFill="1" applyBorder="1" applyAlignment="1">
      <alignment horizontal="center"/>
    </xf>
    <xf numFmtId="0" fontId="1" fillId="4" borderId="23" xfId="0" applyFont="1" applyFill="1" applyBorder="1" applyAlignment="1">
      <alignment horizontal="center"/>
    </xf>
    <xf numFmtId="0" fontId="1" fillId="4" borderId="31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4" borderId="26" xfId="0" quotePrefix="1" applyFont="1" applyFill="1" applyBorder="1" applyAlignment="1">
      <alignment horizontal="center"/>
    </xf>
    <xf numFmtId="0" fontId="1" fillId="4" borderId="28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left"/>
    </xf>
    <xf numFmtId="0" fontId="3" fillId="4" borderId="29" xfId="0" applyFont="1" applyFill="1" applyBorder="1" applyAlignment="1">
      <alignment horizontal="left"/>
    </xf>
    <xf numFmtId="0" fontId="3" fillId="3" borderId="32" xfId="0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165" fontId="1" fillId="0" borderId="0" xfId="2" applyNumberFormat="1" applyFont="1"/>
    <xf numFmtId="165" fontId="1" fillId="0" borderId="0" xfId="2" applyNumberFormat="1" applyFont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1" fillId="3" borderId="33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38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1" fillId="3" borderId="40" xfId="0" applyFont="1" applyFill="1" applyBorder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1" fillId="3" borderId="30" xfId="0" applyFont="1" applyFill="1" applyBorder="1" applyAlignment="1">
      <alignment horizontal="center"/>
    </xf>
    <xf numFmtId="0" fontId="3" fillId="3" borderId="30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3" fontId="3" fillId="3" borderId="22" xfId="0" applyNumberFormat="1" applyFont="1" applyFill="1" applyBorder="1" applyAlignment="1">
      <alignment horizontal="center"/>
    </xf>
    <xf numFmtId="3" fontId="3" fillId="3" borderId="38" xfId="0" applyNumberFormat="1" applyFont="1" applyFill="1" applyBorder="1" applyAlignment="1">
      <alignment horizontal="center"/>
    </xf>
    <xf numFmtId="43" fontId="1" fillId="3" borderId="41" xfId="2" applyFont="1" applyFill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43" fontId="1" fillId="3" borderId="43" xfId="2" applyFont="1" applyFill="1" applyBorder="1" applyAlignment="1">
      <alignment horizontal="center"/>
    </xf>
    <xf numFmtId="3" fontId="9" fillId="5" borderId="16" xfId="0" applyNumberFormat="1" applyFont="1" applyFill="1" applyBorder="1" applyAlignment="1">
      <alignment horizontal="center"/>
    </xf>
    <xf numFmtId="3" fontId="9" fillId="5" borderId="1" xfId="0" applyNumberFormat="1" applyFont="1" applyFill="1" applyBorder="1" applyAlignment="1">
      <alignment horizontal="center"/>
    </xf>
    <xf numFmtId="11" fontId="1" fillId="3" borderId="21" xfId="2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1" fontId="1" fillId="0" borderId="0" xfId="0" applyNumberFormat="1" applyFont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calcChain" Target="calcChain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theme" Target="theme/theme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144425</xdr:colOff>
      <xdr:row>37</xdr:row>
      <xdr:rowOff>39089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1471AA2-E63B-4D6A-BE14-72AE3450CF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107700" cy="70875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>
      <selection activeCell="F23" sqref="F23"/>
    </sheetView>
  </sheetViews>
  <sheetFormatPr defaultColWidth="8.77734375" defaultRowHeight="14.4" x14ac:dyDescent="0.3"/>
  <cols>
    <col min="2" max="2" width="4.109375" customWidth="1"/>
    <col min="10" max="10" width="4.44140625" customWidth="1"/>
    <col min="11" max="11" width="9.44140625" customWidth="1"/>
  </cols>
  <sheetData>
    <row r="1" spans="2:11" ht="15" thickBot="1" x14ac:dyDescent="0.35"/>
    <row r="2" spans="2:11" x14ac:dyDescent="0.3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2:11" x14ac:dyDescent="0.3">
      <c r="B3" s="15"/>
      <c r="C3" s="16" t="s">
        <v>0</v>
      </c>
      <c r="D3" s="17"/>
      <c r="E3" s="17"/>
      <c r="F3" s="17"/>
      <c r="G3" s="17"/>
      <c r="H3" s="17"/>
      <c r="I3" s="17"/>
      <c r="J3" s="17"/>
      <c r="K3" s="18"/>
    </row>
    <row r="4" spans="2:11" x14ac:dyDescent="0.3">
      <c r="B4" s="15"/>
      <c r="C4" s="17"/>
      <c r="D4" s="17"/>
      <c r="E4" s="17"/>
      <c r="F4" s="17"/>
      <c r="G4" s="17"/>
      <c r="H4" s="17"/>
      <c r="I4" s="17"/>
      <c r="J4" s="17"/>
      <c r="K4" s="18"/>
    </row>
    <row r="5" spans="2:11" x14ac:dyDescent="0.3">
      <c r="B5" s="15"/>
      <c r="C5" s="17" t="s">
        <v>1</v>
      </c>
      <c r="D5" s="17"/>
      <c r="E5" s="17"/>
      <c r="F5" s="17"/>
      <c r="G5" s="17"/>
      <c r="H5" s="17"/>
      <c r="I5" s="17"/>
      <c r="J5" s="17"/>
      <c r="K5" s="18"/>
    </row>
    <row r="6" spans="2:11" x14ac:dyDescent="0.3">
      <c r="B6" s="15"/>
      <c r="C6" s="17" t="s">
        <v>2</v>
      </c>
      <c r="D6" s="17"/>
      <c r="E6" s="17"/>
      <c r="F6" s="17"/>
      <c r="G6" s="17"/>
      <c r="H6" s="17"/>
      <c r="I6" s="17"/>
      <c r="J6" s="17"/>
      <c r="K6" s="18"/>
    </row>
    <row r="7" spans="2:11" x14ac:dyDescent="0.3">
      <c r="B7" s="15"/>
      <c r="C7" s="17" t="s">
        <v>3</v>
      </c>
      <c r="D7" s="17"/>
      <c r="E7" s="17"/>
      <c r="F7" s="17"/>
      <c r="G7" s="17"/>
      <c r="H7" s="17"/>
      <c r="I7" s="17"/>
      <c r="J7" s="17"/>
      <c r="K7" s="18"/>
    </row>
    <row r="8" spans="2:11" x14ac:dyDescent="0.3">
      <c r="B8" s="15"/>
      <c r="C8" s="17" t="s">
        <v>4</v>
      </c>
      <c r="D8" s="17"/>
      <c r="E8" s="17"/>
      <c r="F8" s="17"/>
      <c r="G8" s="17"/>
      <c r="H8" s="17"/>
      <c r="I8" s="17"/>
      <c r="J8" s="17"/>
      <c r="K8" s="18"/>
    </row>
    <row r="9" spans="2:11" x14ac:dyDescent="0.3">
      <c r="B9" s="15"/>
      <c r="C9" s="17" t="s">
        <v>5</v>
      </c>
      <c r="D9" s="17"/>
      <c r="E9" s="17"/>
      <c r="F9" s="17"/>
      <c r="G9" s="17"/>
      <c r="H9" s="17"/>
      <c r="I9" s="17"/>
      <c r="J9" s="17"/>
      <c r="K9" s="18"/>
    </row>
    <row r="10" spans="2:11" x14ac:dyDescent="0.3">
      <c r="B10" s="15"/>
      <c r="C10" s="17" t="s">
        <v>6</v>
      </c>
      <c r="D10" s="17"/>
      <c r="E10" s="17"/>
      <c r="F10" s="17"/>
      <c r="G10" s="17"/>
      <c r="H10" s="17"/>
      <c r="I10" s="17"/>
      <c r="J10" s="17"/>
      <c r="K10" s="18"/>
    </row>
    <row r="11" spans="2:11" x14ac:dyDescent="0.3">
      <c r="B11" s="15"/>
      <c r="C11" s="17"/>
      <c r="D11" s="17"/>
      <c r="E11" s="17"/>
      <c r="F11" s="17"/>
      <c r="G11" s="17"/>
      <c r="H11" s="17"/>
      <c r="I11" s="17"/>
      <c r="J11" s="17"/>
      <c r="K11" s="18"/>
    </row>
    <row r="12" spans="2:11" x14ac:dyDescent="0.3">
      <c r="B12" s="15"/>
      <c r="C12" s="17" t="s">
        <v>7</v>
      </c>
      <c r="D12" s="17"/>
      <c r="E12" s="17"/>
      <c r="F12" s="17"/>
      <c r="G12" s="17"/>
      <c r="H12" s="17"/>
      <c r="I12" s="17"/>
      <c r="J12" s="17"/>
      <c r="K12" s="18"/>
    </row>
    <row r="13" spans="2:11" x14ac:dyDescent="0.3">
      <c r="B13" s="15"/>
      <c r="C13" s="17" t="s">
        <v>8</v>
      </c>
      <c r="D13" s="17"/>
      <c r="E13" s="17"/>
      <c r="F13" s="17"/>
      <c r="G13" s="17"/>
      <c r="H13" s="17"/>
      <c r="I13" s="17"/>
      <c r="J13" s="17"/>
      <c r="K13" s="18"/>
    </row>
    <row r="14" spans="2:11" x14ac:dyDescent="0.3">
      <c r="B14" s="15"/>
      <c r="C14" s="17"/>
      <c r="D14" s="17"/>
      <c r="E14" s="17"/>
      <c r="F14" s="17"/>
      <c r="G14" s="17"/>
      <c r="H14" s="17"/>
      <c r="I14" s="17"/>
      <c r="J14" s="17"/>
      <c r="K14" s="18"/>
    </row>
    <row r="15" spans="2:11" x14ac:dyDescent="0.3">
      <c r="B15" s="15"/>
      <c r="C15" s="17" t="s">
        <v>9</v>
      </c>
      <c r="D15" s="17"/>
      <c r="E15" s="17"/>
      <c r="F15" s="17"/>
      <c r="G15" s="17"/>
      <c r="H15" s="17"/>
      <c r="I15" s="17"/>
      <c r="J15" s="17"/>
      <c r="K15" s="18"/>
    </row>
    <row r="16" spans="2:11" x14ac:dyDescent="0.3">
      <c r="B16" s="15"/>
      <c r="C16" s="17" t="s">
        <v>10</v>
      </c>
      <c r="D16" s="17"/>
      <c r="E16" s="17"/>
      <c r="F16" s="17"/>
      <c r="G16" s="17"/>
      <c r="H16" s="17"/>
      <c r="I16" s="17"/>
      <c r="J16" s="17"/>
      <c r="K16" s="18"/>
    </row>
    <row r="17" spans="2:13" x14ac:dyDescent="0.3">
      <c r="B17" s="15"/>
      <c r="C17" s="17" t="s">
        <v>11</v>
      </c>
      <c r="D17" s="17"/>
      <c r="E17" s="17"/>
      <c r="F17" s="17"/>
      <c r="G17" s="17"/>
      <c r="H17" s="17"/>
      <c r="I17" s="17"/>
      <c r="J17" s="17"/>
      <c r="K17" s="18"/>
    </row>
    <row r="18" spans="2:13" x14ac:dyDescent="0.3">
      <c r="B18" s="15"/>
      <c r="C18" s="17" t="s">
        <v>12</v>
      </c>
      <c r="D18" s="17"/>
      <c r="E18" s="17"/>
      <c r="F18" s="17"/>
      <c r="G18" s="17"/>
      <c r="H18" s="17"/>
      <c r="I18" s="17"/>
      <c r="J18" s="17"/>
      <c r="K18" s="18"/>
    </row>
    <row r="19" spans="2:13" x14ac:dyDescent="0.3">
      <c r="B19" s="15"/>
      <c r="C19" s="17"/>
      <c r="D19" s="17"/>
      <c r="E19" s="17"/>
      <c r="F19" s="17"/>
      <c r="G19" s="17"/>
      <c r="H19" s="17"/>
      <c r="I19" s="17"/>
      <c r="J19" s="17"/>
      <c r="K19" s="18"/>
    </row>
    <row r="20" spans="2:13" x14ac:dyDescent="0.3">
      <c r="B20" s="15"/>
      <c r="C20" s="17"/>
      <c r="D20" s="17"/>
      <c r="E20" s="17"/>
      <c r="F20" s="17"/>
      <c r="G20" s="17"/>
      <c r="H20" s="17"/>
      <c r="I20" s="17"/>
      <c r="J20" s="17"/>
      <c r="K20" s="18"/>
    </row>
    <row r="21" spans="2:13" x14ac:dyDescent="0.3">
      <c r="B21" s="15"/>
      <c r="C21" s="19" t="s">
        <v>13</v>
      </c>
      <c r="D21" s="17"/>
      <c r="E21" s="17"/>
      <c r="F21" s="19" t="s">
        <v>14</v>
      </c>
      <c r="G21" s="17"/>
      <c r="H21" s="17"/>
      <c r="I21" s="17"/>
      <c r="J21" s="17"/>
      <c r="K21" s="18"/>
    </row>
    <row r="22" spans="2:13" x14ac:dyDescent="0.3">
      <c r="B22" s="15"/>
      <c r="C22" s="17"/>
      <c r="D22" s="17"/>
      <c r="E22" s="17"/>
      <c r="F22" s="17"/>
      <c r="G22" s="17"/>
      <c r="H22" s="17"/>
      <c r="I22" s="17"/>
      <c r="J22" s="17"/>
      <c r="K22" s="18"/>
    </row>
    <row r="23" spans="2:13" x14ac:dyDescent="0.3">
      <c r="B23" s="15"/>
      <c r="C23" s="20" t="s">
        <v>15</v>
      </c>
      <c r="D23" s="17"/>
      <c r="E23" s="17"/>
      <c r="F23" s="17" t="s">
        <v>16</v>
      </c>
      <c r="G23" s="17"/>
      <c r="H23" s="17"/>
      <c r="I23" s="17"/>
      <c r="J23" s="17"/>
      <c r="K23" s="18"/>
    </row>
    <row r="24" spans="2:13" x14ac:dyDescent="0.3">
      <c r="B24" s="15"/>
      <c r="C24" s="20" t="s">
        <v>17</v>
      </c>
      <c r="D24" s="17"/>
      <c r="E24" s="17"/>
      <c r="F24" s="17" t="s">
        <v>18</v>
      </c>
      <c r="G24" s="17"/>
      <c r="H24" s="17"/>
      <c r="I24" s="17"/>
      <c r="J24" s="17"/>
      <c r="K24" s="18"/>
    </row>
    <row r="25" spans="2:13" x14ac:dyDescent="0.3">
      <c r="B25" s="15"/>
      <c r="C25" s="20" t="s">
        <v>19</v>
      </c>
      <c r="D25" s="17"/>
      <c r="E25" s="17"/>
      <c r="F25" s="17" t="s">
        <v>20</v>
      </c>
      <c r="G25" s="17"/>
      <c r="H25" s="17"/>
      <c r="I25" s="17"/>
      <c r="J25" s="17"/>
      <c r="K25" s="18"/>
    </row>
    <row r="26" spans="2:13" x14ac:dyDescent="0.3">
      <c r="B26" s="15"/>
      <c r="C26" s="20" t="s">
        <v>21</v>
      </c>
      <c r="D26" s="17"/>
      <c r="E26" s="17"/>
      <c r="F26" s="17" t="s">
        <v>22</v>
      </c>
      <c r="G26" s="17"/>
      <c r="H26" s="17"/>
      <c r="I26" s="17"/>
      <c r="J26" s="17"/>
      <c r="K26" s="18"/>
    </row>
    <row r="27" spans="2:13" x14ac:dyDescent="0.3">
      <c r="B27" s="15"/>
      <c r="C27" s="20" t="s">
        <v>23</v>
      </c>
      <c r="D27" s="17"/>
      <c r="E27" s="17"/>
      <c r="F27" s="17" t="s">
        <v>24</v>
      </c>
      <c r="G27" s="17"/>
      <c r="H27" s="17"/>
      <c r="I27" s="17"/>
      <c r="J27" s="17"/>
      <c r="K27" s="18"/>
    </row>
    <row r="28" spans="2:13" x14ac:dyDescent="0.3">
      <c r="B28" s="15"/>
      <c r="C28" s="20" t="s">
        <v>25</v>
      </c>
      <c r="D28" s="17"/>
      <c r="E28" s="17"/>
      <c r="F28" s="17" t="s">
        <v>26</v>
      </c>
      <c r="G28" s="17"/>
      <c r="H28" s="17"/>
      <c r="I28" s="17"/>
      <c r="J28" s="17"/>
      <c r="K28" s="18"/>
    </row>
    <row r="29" spans="2:13" x14ac:dyDescent="0.3">
      <c r="B29" s="15"/>
      <c r="C29" s="20" t="s">
        <v>27</v>
      </c>
      <c r="D29" s="17"/>
      <c r="E29" s="17"/>
      <c r="F29" s="17" t="s">
        <v>28</v>
      </c>
      <c r="G29" s="17"/>
      <c r="H29" s="17"/>
      <c r="I29" s="17"/>
      <c r="J29" s="17"/>
      <c r="K29" s="18"/>
    </row>
    <row r="30" spans="2:13" x14ac:dyDescent="0.3">
      <c r="B30" s="15"/>
      <c r="C30" s="20" t="s">
        <v>29</v>
      </c>
      <c r="D30" s="17"/>
      <c r="E30" s="17"/>
      <c r="F30" s="17" t="s">
        <v>30</v>
      </c>
      <c r="G30" s="17"/>
      <c r="H30" s="17"/>
      <c r="I30" s="17"/>
      <c r="J30" s="17"/>
      <c r="K30" s="18"/>
    </row>
    <row r="31" spans="2:13" x14ac:dyDescent="0.3">
      <c r="B31" s="15"/>
      <c r="C31" s="20" t="s">
        <v>31</v>
      </c>
      <c r="D31" s="17"/>
      <c r="E31" s="17"/>
      <c r="F31" s="17" t="s">
        <v>32</v>
      </c>
      <c r="G31" s="17"/>
      <c r="H31" s="17"/>
      <c r="I31" s="17"/>
      <c r="J31" s="17"/>
      <c r="K31" s="18"/>
      <c r="M31" s="24" t="s">
        <v>33</v>
      </c>
    </row>
    <row r="32" spans="2:13" x14ac:dyDescent="0.3">
      <c r="B32" s="15"/>
      <c r="C32" s="20" t="s">
        <v>34</v>
      </c>
      <c r="D32" s="17"/>
      <c r="E32" s="17"/>
      <c r="F32" s="17" t="s">
        <v>35</v>
      </c>
      <c r="G32" s="17"/>
      <c r="H32" s="17"/>
      <c r="I32" s="17"/>
      <c r="J32" s="17"/>
      <c r="K32" s="18"/>
    </row>
    <row r="33" spans="2:11" x14ac:dyDescent="0.3">
      <c r="B33" s="15"/>
      <c r="C33" s="20" t="s">
        <v>36</v>
      </c>
      <c r="D33" s="17"/>
      <c r="E33" s="17"/>
      <c r="F33" s="17" t="s">
        <v>37</v>
      </c>
      <c r="G33" s="17"/>
      <c r="H33" s="17"/>
      <c r="I33" s="17"/>
      <c r="J33" s="17"/>
      <c r="K33" s="18"/>
    </row>
    <row r="34" spans="2:11" x14ac:dyDescent="0.3">
      <c r="B34" s="15"/>
      <c r="C34" s="20" t="s">
        <v>38</v>
      </c>
      <c r="D34" s="17"/>
      <c r="E34" s="17"/>
      <c r="F34" s="17" t="s">
        <v>39</v>
      </c>
      <c r="G34" s="17"/>
      <c r="H34" s="17"/>
      <c r="I34" s="17"/>
      <c r="J34" s="17"/>
      <c r="K34" s="18"/>
    </row>
    <row r="35" spans="2:11" x14ac:dyDescent="0.3">
      <c r="B35" s="15"/>
      <c r="C35" s="20" t="s">
        <v>40</v>
      </c>
      <c r="D35" s="17"/>
      <c r="E35" s="17"/>
      <c r="F35" s="17" t="s">
        <v>41</v>
      </c>
      <c r="G35" s="17"/>
      <c r="H35" s="17"/>
      <c r="I35" s="17"/>
      <c r="J35" s="17"/>
      <c r="K35" s="18"/>
    </row>
    <row r="36" spans="2:11" x14ac:dyDescent="0.3">
      <c r="B36" s="15"/>
      <c r="C36" s="20" t="s">
        <v>42</v>
      </c>
      <c r="D36" s="17"/>
      <c r="E36" s="17"/>
      <c r="F36" s="17" t="s">
        <v>43</v>
      </c>
      <c r="G36" s="17"/>
      <c r="H36" s="17"/>
      <c r="I36" s="17"/>
      <c r="J36" s="17"/>
      <c r="K36" s="18"/>
    </row>
    <row r="37" spans="2:11" ht="15" thickBot="1" x14ac:dyDescent="0.35">
      <c r="B37" s="21"/>
      <c r="C37" s="22"/>
      <c r="D37" s="22"/>
      <c r="E37" s="22"/>
      <c r="F37" s="22"/>
      <c r="G37" s="22"/>
      <c r="H37" s="22"/>
      <c r="I37" s="22"/>
      <c r="J37" s="22"/>
      <c r="K37" s="23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/>
  </sheetViews>
  <sheetFormatPr defaultColWidth="9.109375" defaultRowHeight="15.6" x14ac:dyDescent="0.3"/>
  <cols>
    <col min="1" max="3" width="9.109375" style="1"/>
    <col min="4" max="4" width="3.4414062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118</v>
      </c>
    </row>
    <row r="2" spans="1:16" x14ac:dyDescent="0.3">
      <c r="A2" s="2" t="s">
        <v>119</v>
      </c>
    </row>
    <row r="3" spans="1:16" x14ac:dyDescent="0.3">
      <c r="A3" s="2" t="s">
        <v>120</v>
      </c>
      <c r="N3" s="11"/>
      <c r="O3" s="11"/>
      <c r="P3" s="11"/>
    </row>
    <row r="4" spans="1:16" x14ac:dyDescent="0.3">
      <c r="A4" s="10"/>
    </row>
    <row r="5" spans="1:16" x14ac:dyDescent="0.3">
      <c r="A5" s="10"/>
    </row>
    <row r="6" spans="1:16" x14ac:dyDescent="0.3">
      <c r="A6" s="10"/>
    </row>
    <row r="7" spans="1:16" x14ac:dyDescent="0.3">
      <c r="A7" s="10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6"/>
  <sheetViews>
    <sheetView workbookViewId="0"/>
  </sheetViews>
  <sheetFormatPr defaultColWidth="9.109375" defaultRowHeight="15.6" x14ac:dyDescent="0.3"/>
  <cols>
    <col min="1" max="3" width="9.109375" style="1"/>
    <col min="4" max="4" width="3.4414062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118</v>
      </c>
    </row>
    <row r="2" spans="1:16" x14ac:dyDescent="0.3">
      <c r="A2" s="2" t="s">
        <v>121</v>
      </c>
    </row>
    <row r="3" spans="1:16" x14ac:dyDescent="0.3">
      <c r="A3" s="2" t="s">
        <v>122</v>
      </c>
      <c r="N3" s="11"/>
      <c r="O3" s="11"/>
      <c r="P3" s="11"/>
    </row>
    <row r="4" spans="1:16" x14ac:dyDescent="0.3">
      <c r="A4" s="2" t="s">
        <v>258</v>
      </c>
    </row>
    <row r="5" spans="1:16" x14ac:dyDescent="0.3">
      <c r="A5" s="2" t="s">
        <v>259</v>
      </c>
    </row>
    <row r="6" spans="1:16" x14ac:dyDescent="0.3">
      <c r="A6" s="2" t="s">
        <v>260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A5" sqref="A5"/>
    </sheetView>
  </sheetViews>
  <sheetFormatPr defaultColWidth="9.109375" defaultRowHeight="15.6" x14ac:dyDescent="0.3"/>
  <cols>
    <col min="1" max="3" width="9.109375" style="1"/>
    <col min="4" max="4" width="3.4414062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123</v>
      </c>
    </row>
    <row r="2" spans="1:16" x14ac:dyDescent="0.3">
      <c r="A2" s="2"/>
    </row>
    <row r="3" spans="1:16" x14ac:dyDescent="0.3">
      <c r="A3" s="2"/>
      <c r="N3" s="11"/>
      <c r="O3" s="11"/>
      <c r="P3" s="11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/>
  </sheetViews>
  <sheetFormatPr defaultColWidth="9.109375" defaultRowHeight="15.6" x14ac:dyDescent="0.3"/>
  <cols>
    <col min="1" max="3" width="9.109375" style="1"/>
    <col min="4" max="4" width="3.4414062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124</v>
      </c>
    </row>
    <row r="2" spans="1:16" x14ac:dyDescent="0.3">
      <c r="A2" s="2" t="s">
        <v>125</v>
      </c>
    </row>
    <row r="3" spans="1:16" x14ac:dyDescent="0.3">
      <c r="A3" s="2" t="s">
        <v>126</v>
      </c>
      <c r="N3" s="11"/>
      <c r="O3" s="11"/>
      <c r="P3" s="11"/>
    </row>
    <row r="4" spans="1:16" x14ac:dyDescent="0.3">
      <c r="A4" s="2" t="s">
        <v>127</v>
      </c>
    </row>
    <row r="5" spans="1:16" x14ac:dyDescent="0.3">
      <c r="A5" s="2" t="s">
        <v>128</v>
      </c>
    </row>
    <row r="6" spans="1:16" x14ac:dyDescent="0.3">
      <c r="A6" s="2" t="s">
        <v>129</v>
      </c>
    </row>
    <row r="7" spans="1:16" x14ac:dyDescent="0.3">
      <c r="A7" s="2" t="s">
        <v>130</v>
      </c>
    </row>
    <row r="8" spans="1:16" x14ac:dyDescent="0.3">
      <c r="A8" s="2" t="s">
        <v>131</v>
      </c>
    </row>
    <row r="9" spans="1:16" x14ac:dyDescent="0.3">
      <c r="A9" s="2" t="s">
        <v>132</v>
      </c>
    </row>
    <row r="10" spans="1:16" x14ac:dyDescent="0.3">
      <c r="A10" s="2" t="s">
        <v>133</v>
      </c>
    </row>
    <row r="11" spans="1:16" x14ac:dyDescent="0.3">
      <c r="A11" s="10"/>
    </row>
    <row r="12" spans="1:16" x14ac:dyDescent="0.3">
      <c r="A12" s="10"/>
    </row>
    <row r="13" spans="1:16" x14ac:dyDescent="0.3">
      <c r="A13" s="10"/>
    </row>
    <row r="14" spans="1:16" x14ac:dyDescent="0.3">
      <c r="A14" s="10"/>
    </row>
    <row r="15" spans="1:16" x14ac:dyDescent="0.3">
      <c r="A15" s="10"/>
    </row>
    <row r="16" spans="1:16" x14ac:dyDescent="0.3">
      <c r="A16" s="10"/>
    </row>
    <row r="17" spans="1:1" x14ac:dyDescent="0.3">
      <c r="A17" s="10"/>
    </row>
    <row r="18" spans="1:1" x14ac:dyDescent="0.3">
      <c r="A18" s="10"/>
    </row>
    <row r="19" spans="1:1" x14ac:dyDescent="0.3">
      <c r="A19" s="10"/>
    </row>
    <row r="20" spans="1:1" x14ac:dyDescent="0.3">
      <c r="A20" s="10"/>
    </row>
    <row r="21" spans="1:1" x14ac:dyDescent="0.3">
      <c r="A21" s="10"/>
    </row>
    <row r="22" spans="1:1" x14ac:dyDescent="0.3">
      <c r="A22" s="10"/>
    </row>
    <row r="23" spans="1:1" x14ac:dyDescent="0.3">
      <c r="A23" s="10"/>
    </row>
    <row r="24" spans="1:1" x14ac:dyDescent="0.3">
      <c r="A24" s="10"/>
    </row>
    <row r="25" spans="1:1" x14ac:dyDescent="0.3">
      <c r="A25" s="10"/>
    </row>
    <row r="26" spans="1:1" x14ac:dyDescent="0.3">
      <c r="A26" s="10"/>
    </row>
    <row r="27" spans="1:1" x14ac:dyDescent="0.3">
      <c r="A27" s="10"/>
    </row>
    <row r="28" spans="1:1" x14ac:dyDescent="0.3">
      <c r="A28" s="10"/>
    </row>
    <row r="29" spans="1:1" x14ac:dyDescent="0.3">
      <c r="A29" s="10"/>
    </row>
    <row r="30" spans="1:1" x14ac:dyDescent="0.3">
      <c r="A30" s="10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6"/>
  <sheetViews>
    <sheetView workbookViewId="0">
      <selection activeCell="A8" sqref="A8"/>
    </sheetView>
  </sheetViews>
  <sheetFormatPr defaultColWidth="9.109375" defaultRowHeight="15.6" x14ac:dyDescent="0.3"/>
  <cols>
    <col min="1" max="3" width="9.109375" style="1"/>
    <col min="4" max="4" width="3.4414062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" x14ac:dyDescent="0.3">
      <c r="A1" s="1" t="s">
        <v>134</v>
      </c>
    </row>
    <row r="2" spans="1:1" x14ac:dyDescent="0.3">
      <c r="A2" s="2" t="s">
        <v>135</v>
      </c>
    </row>
    <row r="3" spans="1:1" x14ac:dyDescent="0.3">
      <c r="A3" s="2" t="s">
        <v>136</v>
      </c>
    </row>
    <row r="4" spans="1:1" x14ac:dyDescent="0.3">
      <c r="A4" s="2" t="s">
        <v>137</v>
      </c>
    </row>
    <row r="5" spans="1:1" x14ac:dyDescent="0.3">
      <c r="A5" s="2" t="s">
        <v>138</v>
      </c>
    </row>
    <row r="6" spans="1:1" x14ac:dyDescent="0.3">
      <c r="A6" s="2" t="s">
        <v>139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7" sqref="A7"/>
    </sheetView>
  </sheetViews>
  <sheetFormatPr defaultColWidth="9.109375" defaultRowHeight="15.6" x14ac:dyDescent="0.3"/>
  <cols>
    <col min="1" max="3" width="9.109375" style="1"/>
    <col min="4" max="4" width="3.4414062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140</v>
      </c>
    </row>
    <row r="2" spans="1:16" x14ac:dyDescent="0.3">
      <c r="A2" s="2" t="s">
        <v>141</v>
      </c>
    </row>
    <row r="3" spans="1:16" x14ac:dyDescent="0.3">
      <c r="A3" s="2" t="s">
        <v>142</v>
      </c>
      <c r="N3" s="11"/>
      <c r="O3" s="11"/>
      <c r="P3" s="11"/>
    </row>
    <row r="4" spans="1:16" x14ac:dyDescent="0.3">
      <c r="A4" s="2" t="s">
        <v>143</v>
      </c>
    </row>
    <row r="5" spans="1:16" x14ac:dyDescent="0.3">
      <c r="A5" s="2" t="s">
        <v>144</v>
      </c>
    </row>
    <row r="6" spans="1:16" x14ac:dyDescent="0.3">
      <c r="A6" s="10"/>
    </row>
    <row r="7" spans="1:16" x14ac:dyDescent="0.3">
      <c r="A7" s="10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7" sqref="A7"/>
    </sheetView>
  </sheetViews>
  <sheetFormatPr defaultColWidth="9.109375" defaultRowHeight="15.6" x14ac:dyDescent="0.3"/>
  <cols>
    <col min="1" max="3" width="9.109375" style="1"/>
    <col min="4" max="4" width="3.4414062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145</v>
      </c>
    </row>
    <row r="2" spans="1:16" x14ac:dyDescent="0.3">
      <c r="A2" s="2" t="s">
        <v>146</v>
      </c>
    </row>
    <row r="3" spans="1:16" x14ac:dyDescent="0.3">
      <c r="A3" s="2" t="s">
        <v>147</v>
      </c>
      <c r="N3" s="11"/>
      <c r="O3" s="11"/>
      <c r="P3" s="11"/>
    </row>
    <row r="4" spans="1:16" x14ac:dyDescent="0.3">
      <c r="A4" s="2" t="s">
        <v>148</v>
      </c>
    </row>
    <row r="5" spans="1:16" x14ac:dyDescent="0.3">
      <c r="A5" s="2" t="s">
        <v>149</v>
      </c>
    </row>
    <row r="6" spans="1:16" x14ac:dyDescent="0.3">
      <c r="A6" s="10"/>
    </row>
    <row r="7" spans="1:16" x14ac:dyDescent="0.3">
      <c r="A7" s="10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7" sqref="A7"/>
    </sheetView>
  </sheetViews>
  <sheetFormatPr defaultColWidth="9.109375" defaultRowHeight="15.6" x14ac:dyDescent="0.3"/>
  <cols>
    <col min="1" max="3" width="9.109375" style="1"/>
    <col min="4" max="4" width="3.4414062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150</v>
      </c>
    </row>
    <row r="2" spans="1:16" x14ac:dyDescent="0.3">
      <c r="A2" s="2" t="s">
        <v>151</v>
      </c>
    </row>
    <row r="3" spans="1:16" x14ac:dyDescent="0.3">
      <c r="A3" s="2" t="s">
        <v>152</v>
      </c>
      <c r="N3" s="11"/>
      <c r="O3" s="11"/>
      <c r="P3" s="11"/>
    </row>
    <row r="4" spans="1:16" x14ac:dyDescent="0.3">
      <c r="A4" s="2" t="s">
        <v>153</v>
      </c>
    </row>
    <row r="5" spans="1:16" x14ac:dyDescent="0.3">
      <c r="A5" s="2" t="s">
        <v>154</v>
      </c>
    </row>
    <row r="6" spans="1:16" x14ac:dyDescent="0.3">
      <c r="A6" s="10"/>
    </row>
    <row r="7" spans="1:16" x14ac:dyDescent="0.3">
      <c r="A7" s="10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K6"/>
  <sheetViews>
    <sheetView workbookViewId="0">
      <selection activeCell="A17" sqref="A17"/>
    </sheetView>
  </sheetViews>
  <sheetFormatPr defaultColWidth="9.109375" defaultRowHeight="15.6" x14ac:dyDescent="0.3"/>
  <cols>
    <col min="1" max="1" width="15.44140625" style="1" customWidth="1"/>
    <col min="2" max="16384" width="9.109375" style="1"/>
  </cols>
  <sheetData>
    <row r="1" spans="1:11" ht="16.2" thickBot="1" x14ac:dyDescent="0.35">
      <c r="A1" s="1" t="s">
        <v>155</v>
      </c>
    </row>
    <row r="2" spans="1:11" s="6" customFormat="1" x14ac:dyDescent="0.3">
      <c r="A2" s="4" t="s">
        <v>156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x14ac:dyDescent="0.3">
      <c r="A3" s="26" t="s">
        <v>89</v>
      </c>
      <c r="B3" s="7">
        <v>1</v>
      </c>
      <c r="C3" s="7"/>
      <c r="D3" s="7"/>
      <c r="E3" s="7"/>
      <c r="F3" s="7"/>
      <c r="G3" s="7"/>
      <c r="H3" s="7"/>
      <c r="I3" s="7"/>
      <c r="J3" s="29"/>
    </row>
    <row r="4" spans="1:11" s="6" customFormat="1" x14ac:dyDescent="0.3">
      <c r="A4" s="26" t="s">
        <v>90</v>
      </c>
      <c r="B4" s="7"/>
      <c r="C4" s="7"/>
      <c r="D4" s="7"/>
      <c r="E4" s="7"/>
      <c r="F4" s="7">
        <v>1</v>
      </c>
      <c r="G4" s="7"/>
      <c r="H4" s="7"/>
      <c r="I4" s="7"/>
      <c r="J4" s="29"/>
    </row>
    <row r="5" spans="1:11" s="6" customFormat="1" x14ac:dyDescent="0.3">
      <c r="A5" s="26" t="s">
        <v>91</v>
      </c>
      <c r="B5" s="7"/>
      <c r="C5" s="7"/>
      <c r="D5" s="7"/>
      <c r="E5" s="7"/>
      <c r="F5" s="7"/>
      <c r="G5" s="7">
        <v>1</v>
      </c>
      <c r="H5" s="7"/>
      <c r="I5" s="7"/>
      <c r="J5" s="29"/>
    </row>
    <row r="6" spans="1:11" s="6" customFormat="1" ht="16.2" thickBot="1" x14ac:dyDescent="0.35">
      <c r="A6" s="27" t="s">
        <v>92</v>
      </c>
      <c r="B6" s="8"/>
      <c r="C6" s="8"/>
      <c r="D6" s="8"/>
      <c r="E6" s="8"/>
      <c r="F6" s="8"/>
      <c r="G6" s="8"/>
      <c r="H6" s="8"/>
      <c r="I6" s="8"/>
      <c r="J6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K3"/>
  <sheetViews>
    <sheetView workbookViewId="0"/>
  </sheetViews>
  <sheetFormatPr defaultColWidth="9.109375" defaultRowHeight="15.6" x14ac:dyDescent="0.3"/>
  <cols>
    <col min="1" max="1" width="16.77734375" style="1" customWidth="1"/>
    <col min="2" max="16384" width="9.109375" style="1"/>
  </cols>
  <sheetData>
    <row r="1" spans="1:11" ht="16.2" thickBot="1" x14ac:dyDescent="0.35">
      <c r="A1" s="1" t="s">
        <v>157</v>
      </c>
    </row>
    <row r="2" spans="1:11" s="6" customFormat="1" x14ac:dyDescent="0.3">
      <c r="A2" s="4" t="s">
        <v>158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ht="16.2" thickBot="1" x14ac:dyDescent="0.35">
      <c r="A3" s="27" t="s">
        <v>109</v>
      </c>
      <c r="B3" s="8"/>
      <c r="C3" s="8"/>
      <c r="D3" s="8"/>
      <c r="E3" s="8"/>
      <c r="F3" s="8"/>
      <c r="G3" s="8"/>
      <c r="H3" s="8"/>
      <c r="I3" s="8">
        <v>1</v>
      </c>
      <c r="J3" s="9"/>
      <c r="K3" s="11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="70" zoomScaleNormal="70" workbookViewId="0">
      <selection activeCell="U15" sqref="U15"/>
    </sheetView>
  </sheetViews>
  <sheetFormatPr defaultColWidth="8.77734375" defaultRowHeight="14.4" x14ac:dyDescent="0.3"/>
  <cols>
    <col min="2" max="2" width="4.109375" customWidth="1"/>
    <col min="10" max="10" width="4.44140625" customWidth="1"/>
    <col min="11" max="11" width="9.44140625" customWidth="1"/>
  </cols>
  <sheetData>
    <row r="3" spans="3:3" x14ac:dyDescent="0.3">
      <c r="C3" s="38"/>
    </row>
    <row r="21" spans="3:13" x14ac:dyDescent="0.3">
      <c r="C21" s="39"/>
      <c r="F21" s="39"/>
    </row>
    <row r="23" spans="3:13" x14ac:dyDescent="0.3">
      <c r="C23" s="40"/>
    </row>
    <row r="24" spans="3:13" x14ac:dyDescent="0.3">
      <c r="C24" s="40"/>
    </row>
    <row r="25" spans="3:13" x14ac:dyDescent="0.3">
      <c r="C25" s="40"/>
    </row>
    <row r="26" spans="3:13" x14ac:dyDescent="0.3">
      <c r="C26" s="40"/>
    </row>
    <row r="27" spans="3:13" x14ac:dyDescent="0.3">
      <c r="C27" s="40"/>
    </row>
    <row r="28" spans="3:13" x14ac:dyDescent="0.3">
      <c r="C28" s="40"/>
    </row>
    <row r="29" spans="3:13" x14ac:dyDescent="0.3">
      <c r="C29" s="40"/>
    </row>
    <row r="30" spans="3:13" x14ac:dyDescent="0.3">
      <c r="C30" s="40"/>
    </row>
    <row r="31" spans="3:13" x14ac:dyDescent="0.3">
      <c r="C31" s="40"/>
      <c r="M31" s="24"/>
    </row>
    <row r="32" spans="3:13" x14ac:dyDescent="0.3">
      <c r="C32" s="40"/>
    </row>
    <row r="33" spans="3:3" x14ac:dyDescent="0.3">
      <c r="C33" s="40"/>
    </row>
    <row r="34" spans="3:3" x14ac:dyDescent="0.3">
      <c r="C34" s="40"/>
    </row>
    <row r="35" spans="3:3" x14ac:dyDescent="0.3">
      <c r="C35" s="40"/>
    </row>
    <row r="36" spans="3:3" x14ac:dyDescent="0.3">
      <c r="C36" s="40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B3"/>
  <sheetViews>
    <sheetView workbookViewId="0"/>
  </sheetViews>
  <sheetFormatPr defaultColWidth="9.109375" defaultRowHeight="15.6" x14ac:dyDescent="0.3"/>
  <cols>
    <col min="1" max="1" width="17.44140625" style="1" customWidth="1"/>
    <col min="2" max="16384" width="9.109375" style="1"/>
  </cols>
  <sheetData>
    <row r="1" spans="1:2" ht="16.2" thickBot="1" x14ac:dyDescent="0.35">
      <c r="A1" s="1" t="s">
        <v>159</v>
      </c>
    </row>
    <row r="2" spans="1:2" s="6" customFormat="1" x14ac:dyDescent="0.3">
      <c r="A2" s="4" t="s">
        <v>158</v>
      </c>
      <c r="B2" s="25" t="s">
        <v>109</v>
      </c>
    </row>
    <row r="3" spans="1:2" ht="16.2" thickBot="1" x14ac:dyDescent="0.35">
      <c r="A3" s="27" t="s">
        <v>109</v>
      </c>
      <c r="B3" s="9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K12"/>
  <sheetViews>
    <sheetView zoomScaleNormal="100" workbookViewId="0">
      <selection activeCell="J18" sqref="J18"/>
    </sheetView>
  </sheetViews>
  <sheetFormatPr defaultColWidth="9.109375" defaultRowHeight="15.6" x14ac:dyDescent="0.3"/>
  <cols>
    <col min="1" max="1" width="15.109375" style="1" customWidth="1"/>
    <col min="2" max="16384" width="9.109375" style="1"/>
  </cols>
  <sheetData>
    <row r="1" spans="1:11" ht="16.2" thickBot="1" x14ac:dyDescent="0.35">
      <c r="A1" s="1" t="s">
        <v>160</v>
      </c>
    </row>
    <row r="2" spans="1:11" s="6" customFormat="1" x14ac:dyDescent="0.3">
      <c r="A2" s="4" t="s">
        <v>161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x14ac:dyDescent="0.3">
      <c r="A3" s="26" t="s">
        <v>125</v>
      </c>
      <c r="B3" s="7"/>
      <c r="C3" s="7">
        <v>1</v>
      </c>
      <c r="D3" s="7"/>
      <c r="E3" s="7"/>
      <c r="F3" s="7"/>
      <c r="G3" s="7"/>
      <c r="H3" s="7"/>
      <c r="I3" s="7"/>
      <c r="J3" s="29"/>
    </row>
    <row r="4" spans="1:11" s="6" customFormat="1" x14ac:dyDescent="0.3">
      <c r="A4" s="26" t="s">
        <v>126</v>
      </c>
      <c r="B4" s="7"/>
      <c r="C4" s="7"/>
      <c r="D4" s="7">
        <v>1</v>
      </c>
      <c r="E4" s="7"/>
      <c r="F4" s="7"/>
      <c r="G4" s="7"/>
      <c r="H4" s="7"/>
      <c r="I4" s="7"/>
      <c r="J4" s="29"/>
    </row>
    <row r="5" spans="1:11" s="6" customFormat="1" x14ac:dyDescent="0.3">
      <c r="A5" s="26" t="s">
        <v>127</v>
      </c>
      <c r="B5" s="7"/>
      <c r="C5" s="7"/>
      <c r="D5" s="7"/>
      <c r="E5" s="7"/>
      <c r="F5" s="7"/>
      <c r="G5" s="7"/>
      <c r="H5" s="7"/>
      <c r="I5" s="7"/>
      <c r="J5" s="29"/>
    </row>
    <row r="6" spans="1:11" s="6" customFormat="1" x14ac:dyDescent="0.3">
      <c r="A6" s="26" t="s">
        <v>128</v>
      </c>
      <c r="B6" s="7"/>
      <c r="C6" s="7"/>
      <c r="D6" s="7">
        <v>1</v>
      </c>
      <c r="E6" s="7"/>
      <c r="F6" s="7"/>
      <c r="G6" s="7"/>
      <c r="H6" s="7"/>
      <c r="I6" s="7"/>
      <c r="J6" s="29"/>
    </row>
    <row r="7" spans="1:11" s="6" customFormat="1" x14ac:dyDescent="0.3">
      <c r="A7" s="26" t="s">
        <v>129</v>
      </c>
      <c r="B7" s="7"/>
      <c r="C7" s="7">
        <v>1</v>
      </c>
      <c r="D7" s="7"/>
      <c r="E7" s="7"/>
      <c r="F7" s="7"/>
      <c r="G7" s="7"/>
      <c r="H7" s="7"/>
      <c r="I7" s="7">
        <v>1</v>
      </c>
      <c r="J7" s="29"/>
    </row>
    <row r="8" spans="1:11" x14ac:dyDescent="0.3">
      <c r="A8" s="26" t="s">
        <v>130</v>
      </c>
      <c r="B8" s="7"/>
      <c r="C8" s="7"/>
      <c r="D8" s="7"/>
      <c r="E8" s="7">
        <v>1</v>
      </c>
      <c r="F8" s="7"/>
      <c r="G8" s="7"/>
      <c r="H8" s="7"/>
      <c r="I8" s="7"/>
      <c r="J8" s="29"/>
      <c r="K8" s="6"/>
    </row>
    <row r="9" spans="1:11" ht="15" customHeight="1" x14ac:dyDescent="0.3">
      <c r="A9" s="26" t="s">
        <v>131</v>
      </c>
      <c r="B9" s="7"/>
      <c r="C9" s="7"/>
      <c r="D9" s="7"/>
      <c r="E9" s="7"/>
      <c r="F9" s="7"/>
      <c r="G9" s="7">
        <v>1</v>
      </c>
      <c r="H9" s="7"/>
      <c r="I9" s="7"/>
      <c r="J9" s="29"/>
      <c r="K9" s="6"/>
    </row>
    <row r="10" spans="1:11" x14ac:dyDescent="0.3">
      <c r="A10" s="26" t="s">
        <v>132</v>
      </c>
      <c r="B10" s="7"/>
      <c r="C10" s="7"/>
      <c r="D10" s="7"/>
      <c r="E10" s="7"/>
      <c r="F10" s="7"/>
      <c r="G10" s="7"/>
      <c r="H10" s="7">
        <v>1</v>
      </c>
      <c r="I10" s="7"/>
      <c r="J10" s="29"/>
      <c r="K10" s="6"/>
    </row>
    <row r="11" spans="1:11" ht="16.2" thickBot="1" x14ac:dyDescent="0.35">
      <c r="A11" s="27" t="s">
        <v>133</v>
      </c>
      <c r="B11" s="8"/>
      <c r="C11" s="8"/>
      <c r="D11" s="8"/>
      <c r="E11" s="8"/>
      <c r="F11" s="8"/>
      <c r="G11" s="8"/>
      <c r="H11" s="8">
        <v>1</v>
      </c>
      <c r="I11" s="8"/>
      <c r="J11" s="9"/>
      <c r="K11" s="6"/>
    </row>
    <row r="12" spans="1:11" x14ac:dyDescent="0.3">
      <c r="A12" s="11"/>
      <c r="B12" s="6"/>
      <c r="C12" s="6"/>
      <c r="D12" s="6"/>
      <c r="E12" s="6"/>
      <c r="F12" s="6"/>
      <c r="G12" s="6"/>
      <c r="H12" s="6"/>
      <c r="I12" s="6"/>
      <c r="J12" s="6"/>
      <c r="K12" s="6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B12"/>
  <sheetViews>
    <sheetView workbookViewId="0">
      <selection activeCell="E10" sqref="E10"/>
    </sheetView>
  </sheetViews>
  <sheetFormatPr defaultColWidth="9.109375" defaultRowHeight="15.6" x14ac:dyDescent="0.3"/>
  <cols>
    <col min="1" max="1" width="15.6640625" style="1" customWidth="1"/>
    <col min="2" max="16384" width="9.109375" style="1"/>
  </cols>
  <sheetData>
    <row r="1" spans="1:2" ht="16.2" thickBot="1" x14ac:dyDescent="0.35">
      <c r="A1" s="1" t="s">
        <v>162</v>
      </c>
    </row>
    <row r="2" spans="1:2" s="6" customFormat="1" x14ac:dyDescent="0.3">
      <c r="A2" s="4" t="s">
        <v>161</v>
      </c>
      <c r="B2" s="25" t="s">
        <v>109</v>
      </c>
    </row>
    <row r="3" spans="1:2" x14ac:dyDescent="0.3">
      <c r="A3" s="26" t="s">
        <v>125</v>
      </c>
      <c r="B3" s="29">
        <v>1</v>
      </c>
    </row>
    <row r="4" spans="1:2" x14ac:dyDescent="0.3">
      <c r="A4" s="26" t="s">
        <v>126</v>
      </c>
      <c r="B4" s="29"/>
    </row>
    <row r="5" spans="1:2" x14ac:dyDescent="0.3">
      <c r="A5" s="26" t="s">
        <v>127</v>
      </c>
      <c r="B5" s="29"/>
    </row>
    <row r="6" spans="1:2" x14ac:dyDescent="0.3">
      <c r="A6" s="26" t="s">
        <v>128</v>
      </c>
      <c r="B6" s="29"/>
    </row>
    <row r="7" spans="1:2" x14ac:dyDescent="0.3">
      <c r="A7" s="26" t="s">
        <v>129</v>
      </c>
      <c r="B7" s="29">
        <v>1</v>
      </c>
    </row>
    <row r="8" spans="1:2" x14ac:dyDescent="0.3">
      <c r="A8" s="26" t="s">
        <v>130</v>
      </c>
      <c r="B8" s="29"/>
    </row>
    <row r="9" spans="1:2" x14ac:dyDescent="0.3">
      <c r="A9" s="26" t="s">
        <v>131</v>
      </c>
      <c r="B9" s="29"/>
    </row>
    <row r="10" spans="1:2" x14ac:dyDescent="0.3">
      <c r="A10" s="26" t="s">
        <v>132</v>
      </c>
      <c r="B10" s="29"/>
    </row>
    <row r="11" spans="1:2" ht="16.2" thickBot="1" x14ac:dyDescent="0.35">
      <c r="A11" s="27" t="s">
        <v>133</v>
      </c>
      <c r="B11" s="9"/>
    </row>
    <row r="12" spans="1:2" x14ac:dyDescent="0.3">
      <c r="A12" s="11"/>
      <c r="B12" s="6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C12"/>
  <sheetViews>
    <sheetView workbookViewId="0">
      <selection activeCell="M15" sqref="M15"/>
    </sheetView>
  </sheetViews>
  <sheetFormatPr defaultColWidth="9.109375" defaultRowHeight="15.6" x14ac:dyDescent="0.3"/>
  <cols>
    <col min="1" max="1" width="14.6640625" style="1" customWidth="1"/>
    <col min="2" max="16384" width="9.109375" style="1"/>
  </cols>
  <sheetData>
    <row r="1" spans="1:3" ht="16.2" thickBot="1" x14ac:dyDescent="0.35">
      <c r="A1" s="1" t="s">
        <v>163</v>
      </c>
    </row>
    <row r="2" spans="1:3" s="6" customFormat="1" x14ac:dyDescent="0.3">
      <c r="A2" s="4" t="s">
        <v>161</v>
      </c>
      <c r="B2" s="5" t="s">
        <v>111</v>
      </c>
      <c r="C2" s="25" t="s">
        <v>112</v>
      </c>
    </row>
    <row r="3" spans="1:3" x14ac:dyDescent="0.3">
      <c r="A3" s="26" t="s">
        <v>125</v>
      </c>
      <c r="B3" s="7">
        <v>1</v>
      </c>
      <c r="C3" s="29"/>
    </row>
    <row r="4" spans="1:3" x14ac:dyDescent="0.3">
      <c r="A4" s="26" t="s">
        <v>126</v>
      </c>
      <c r="B4" s="7"/>
      <c r="C4" s="29"/>
    </row>
    <row r="5" spans="1:3" x14ac:dyDescent="0.3">
      <c r="A5" s="26" t="s">
        <v>127</v>
      </c>
      <c r="B5" s="7"/>
      <c r="C5" s="29"/>
    </row>
    <row r="6" spans="1:3" x14ac:dyDescent="0.3">
      <c r="A6" s="26" t="s">
        <v>128</v>
      </c>
      <c r="B6" s="7"/>
      <c r="C6" s="29">
        <v>1</v>
      </c>
    </row>
    <row r="7" spans="1:3" x14ac:dyDescent="0.3">
      <c r="A7" s="26" t="s">
        <v>129</v>
      </c>
      <c r="B7" s="7"/>
      <c r="C7" s="29"/>
    </row>
    <row r="8" spans="1:3" x14ac:dyDescent="0.3">
      <c r="A8" s="26" t="s">
        <v>130</v>
      </c>
      <c r="B8" s="7"/>
      <c r="C8" s="29"/>
    </row>
    <row r="9" spans="1:3" x14ac:dyDescent="0.3">
      <c r="A9" s="26" t="s">
        <v>131</v>
      </c>
      <c r="B9" s="7"/>
      <c r="C9" s="29"/>
    </row>
    <row r="10" spans="1:3" x14ac:dyDescent="0.3">
      <c r="A10" s="26" t="s">
        <v>132</v>
      </c>
      <c r="B10" s="7"/>
      <c r="C10" s="29"/>
    </row>
    <row r="11" spans="1:3" ht="16.2" thickBot="1" x14ac:dyDescent="0.35">
      <c r="A11" s="27" t="s">
        <v>133</v>
      </c>
      <c r="B11" s="8"/>
      <c r="C11" s="9"/>
    </row>
    <row r="12" spans="1:3" x14ac:dyDescent="0.3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12"/>
  <sheetViews>
    <sheetView workbookViewId="0"/>
  </sheetViews>
  <sheetFormatPr defaultColWidth="9.109375" defaultRowHeight="15.6" x14ac:dyDescent="0.3"/>
  <cols>
    <col min="1" max="1" width="15" style="1" customWidth="1"/>
    <col min="2" max="16384" width="9.109375" style="1"/>
  </cols>
  <sheetData>
    <row r="1" spans="1:3" ht="16.2" thickBot="1" x14ac:dyDescent="0.35">
      <c r="A1" s="1" t="s">
        <v>164</v>
      </c>
    </row>
    <row r="2" spans="1:3" s="6" customFormat="1" x14ac:dyDescent="0.3">
      <c r="A2" s="4" t="s">
        <v>161</v>
      </c>
      <c r="B2" s="5" t="s">
        <v>119</v>
      </c>
      <c r="C2" s="25" t="s">
        <v>120</v>
      </c>
    </row>
    <row r="3" spans="1:3" x14ac:dyDescent="0.3">
      <c r="A3" s="26" t="s">
        <v>125</v>
      </c>
      <c r="B3" s="7"/>
      <c r="C3" s="29"/>
    </row>
    <row r="4" spans="1:3" x14ac:dyDescent="0.3">
      <c r="A4" s="26" t="s">
        <v>126</v>
      </c>
      <c r="B4" s="7"/>
      <c r="C4" s="29"/>
    </row>
    <row r="5" spans="1:3" x14ac:dyDescent="0.3">
      <c r="A5" s="26" t="s">
        <v>127</v>
      </c>
      <c r="B5" s="7">
        <v>1</v>
      </c>
      <c r="C5" s="29"/>
    </row>
    <row r="6" spans="1:3" x14ac:dyDescent="0.3">
      <c r="A6" s="26" t="s">
        <v>128</v>
      </c>
      <c r="B6" s="7"/>
      <c r="C6" s="29"/>
    </row>
    <row r="7" spans="1:3" x14ac:dyDescent="0.3">
      <c r="A7" s="26" t="s">
        <v>129</v>
      </c>
      <c r="B7" s="7"/>
      <c r="C7" s="29"/>
    </row>
    <row r="8" spans="1:3" x14ac:dyDescent="0.3">
      <c r="A8" s="26" t="s">
        <v>130</v>
      </c>
      <c r="B8" s="7"/>
      <c r="C8" s="29"/>
    </row>
    <row r="9" spans="1:3" x14ac:dyDescent="0.3">
      <c r="A9" s="26" t="s">
        <v>131</v>
      </c>
      <c r="B9" s="7"/>
      <c r="C9" s="29"/>
    </row>
    <row r="10" spans="1:3" x14ac:dyDescent="0.3">
      <c r="A10" s="26" t="s">
        <v>132</v>
      </c>
      <c r="B10" s="7"/>
      <c r="C10" s="29"/>
    </row>
    <row r="11" spans="1:3" ht="16.2" thickBot="1" x14ac:dyDescent="0.35">
      <c r="A11" s="27" t="s">
        <v>133</v>
      </c>
      <c r="B11" s="8"/>
      <c r="C11" s="9">
        <v>1</v>
      </c>
    </row>
    <row r="12" spans="1:3" x14ac:dyDescent="0.3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B11"/>
  <sheetViews>
    <sheetView workbookViewId="0"/>
  </sheetViews>
  <sheetFormatPr defaultColWidth="9.109375" defaultRowHeight="15.6" x14ac:dyDescent="0.3"/>
  <cols>
    <col min="1" max="1" width="16" style="1" customWidth="1"/>
    <col min="2" max="16384" width="9.109375" style="1"/>
  </cols>
  <sheetData>
    <row r="1" spans="1:2" ht="16.2" thickBot="1" x14ac:dyDescent="0.35">
      <c r="A1" s="1" t="s">
        <v>165</v>
      </c>
    </row>
    <row r="2" spans="1:2" s="6" customFormat="1" x14ac:dyDescent="0.3">
      <c r="A2" s="4" t="s">
        <v>161</v>
      </c>
      <c r="B2" s="46" t="s">
        <v>117</v>
      </c>
    </row>
    <row r="3" spans="1:2" x14ac:dyDescent="0.3">
      <c r="A3" s="26" t="s">
        <v>125</v>
      </c>
      <c r="B3" s="86"/>
    </row>
    <row r="4" spans="1:2" x14ac:dyDescent="0.3">
      <c r="A4" s="26" t="s">
        <v>126</v>
      </c>
      <c r="B4" s="86"/>
    </row>
    <row r="5" spans="1:2" x14ac:dyDescent="0.3">
      <c r="A5" s="26" t="s">
        <v>127</v>
      </c>
      <c r="B5" s="86"/>
    </row>
    <row r="6" spans="1:2" x14ac:dyDescent="0.3">
      <c r="A6" s="26" t="s">
        <v>128</v>
      </c>
      <c r="B6" s="86"/>
    </row>
    <row r="7" spans="1:2" x14ac:dyDescent="0.3">
      <c r="A7" s="26" t="s">
        <v>129</v>
      </c>
      <c r="B7" s="86"/>
    </row>
    <row r="8" spans="1:2" x14ac:dyDescent="0.3">
      <c r="A8" s="26" t="s">
        <v>130</v>
      </c>
      <c r="B8" s="86"/>
    </row>
    <row r="9" spans="1:2" x14ac:dyDescent="0.3">
      <c r="A9" s="26" t="s">
        <v>131</v>
      </c>
      <c r="B9" s="86"/>
    </row>
    <row r="10" spans="1:2" x14ac:dyDescent="0.3">
      <c r="A10" s="26" t="s">
        <v>132</v>
      </c>
      <c r="B10" s="86"/>
    </row>
    <row r="11" spans="1:2" ht="16.2" thickBot="1" x14ac:dyDescent="0.35">
      <c r="A11" s="27" t="s">
        <v>133</v>
      </c>
      <c r="B11" s="87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J3"/>
  <sheetViews>
    <sheetView workbookViewId="0">
      <selection activeCell="K23" sqref="K23"/>
    </sheetView>
  </sheetViews>
  <sheetFormatPr defaultColWidth="9.109375" defaultRowHeight="15.6" x14ac:dyDescent="0.3"/>
  <cols>
    <col min="1" max="1" width="13.109375" style="1" customWidth="1"/>
    <col min="2" max="16384" width="9.109375" style="1"/>
  </cols>
  <sheetData>
    <row r="1" spans="1:10" ht="16.2" thickBot="1" x14ac:dyDescent="0.35">
      <c r="A1" s="1" t="s">
        <v>166</v>
      </c>
    </row>
    <row r="2" spans="1:10" s="6" customFormat="1" x14ac:dyDescent="0.3">
      <c r="A2" s="4" t="s">
        <v>173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</row>
    <row r="3" spans="1:10" ht="16.2" thickBot="1" x14ac:dyDescent="0.35">
      <c r="A3" s="27" t="s">
        <v>117</v>
      </c>
      <c r="B3" s="31"/>
      <c r="C3" s="31"/>
      <c r="D3" s="31"/>
      <c r="E3" s="31"/>
      <c r="F3" s="31"/>
      <c r="G3" s="31"/>
      <c r="H3" s="31"/>
      <c r="I3" s="31"/>
      <c r="J3" s="33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B4"/>
  <sheetViews>
    <sheetView workbookViewId="0">
      <selection activeCell="J17" sqref="J17"/>
    </sheetView>
  </sheetViews>
  <sheetFormatPr defaultColWidth="9.109375" defaultRowHeight="15.6" x14ac:dyDescent="0.3"/>
  <cols>
    <col min="1" max="1" width="19.6640625" style="1" customWidth="1"/>
    <col min="2" max="16384" width="9.109375" style="1"/>
  </cols>
  <sheetData>
    <row r="1" spans="1:2" ht="16.2" thickBot="1" x14ac:dyDescent="0.35">
      <c r="A1" s="1" t="s">
        <v>167</v>
      </c>
    </row>
    <row r="2" spans="1:2" s="6" customFormat="1" x14ac:dyDescent="0.3">
      <c r="A2" s="4" t="s">
        <v>168</v>
      </c>
      <c r="B2" s="25" t="s">
        <v>109</v>
      </c>
    </row>
    <row r="3" spans="1:2" x14ac:dyDescent="0.3">
      <c r="A3" s="26" t="s">
        <v>114</v>
      </c>
      <c r="B3" s="29">
        <v>1</v>
      </c>
    </row>
    <row r="4" spans="1:2" ht="16.2" thickBot="1" x14ac:dyDescent="0.35">
      <c r="A4" s="27" t="s">
        <v>115</v>
      </c>
      <c r="B4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7D036-2A71-C94A-8FA4-3D5051D6983D}">
  <sheetPr>
    <tabColor theme="7" tint="0.39997558519241921"/>
  </sheetPr>
  <dimension ref="A1:J4"/>
  <sheetViews>
    <sheetView workbookViewId="0">
      <selection activeCell="L22" sqref="L22"/>
    </sheetView>
  </sheetViews>
  <sheetFormatPr defaultColWidth="11.5546875" defaultRowHeight="14.4" x14ac:dyDescent="0.3"/>
  <sheetData>
    <row r="1" spans="1:10" ht="16.2" thickBot="1" x14ac:dyDescent="0.35">
      <c r="A1" s="1" t="s">
        <v>266</v>
      </c>
      <c r="B1" s="1"/>
      <c r="C1" s="1"/>
      <c r="D1" s="1"/>
      <c r="E1" s="1"/>
      <c r="F1" s="1"/>
      <c r="G1" s="1"/>
      <c r="H1" s="1"/>
      <c r="I1" s="1"/>
      <c r="J1" s="1"/>
    </row>
    <row r="2" spans="1:10" ht="15.6" x14ac:dyDescent="0.3">
      <c r="A2" s="4" t="s">
        <v>173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</row>
    <row r="3" spans="1:10" ht="16.2" thickBot="1" x14ac:dyDescent="0.35">
      <c r="A3" s="27" t="s">
        <v>114</v>
      </c>
      <c r="B3" s="31"/>
      <c r="C3" s="31"/>
      <c r="D3" s="31"/>
      <c r="E3" s="31"/>
      <c r="F3" s="31"/>
      <c r="G3" s="31"/>
      <c r="H3" s="31"/>
      <c r="I3" s="31"/>
      <c r="J3" s="33"/>
    </row>
    <row r="4" spans="1:10" ht="16.2" thickBot="1" x14ac:dyDescent="0.35">
      <c r="A4" s="27" t="s">
        <v>115</v>
      </c>
      <c r="B4" s="31"/>
      <c r="C4" s="31"/>
      <c r="D4" s="31"/>
      <c r="E4" s="31"/>
      <c r="F4" s="31"/>
      <c r="G4" s="31"/>
      <c r="H4" s="31"/>
      <c r="I4" s="31"/>
      <c r="J4" s="33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B4"/>
  <sheetViews>
    <sheetView workbookViewId="0">
      <selection activeCell="N17" activeCellId="1" sqref="R35 N17"/>
    </sheetView>
  </sheetViews>
  <sheetFormatPr defaultColWidth="9.109375" defaultRowHeight="15.6" x14ac:dyDescent="0.3"/>
  <cols>
    <col min="1" max="1" width="15.44140625" style="1" customWidth="1"/>
    <col min="2" max="16384" width="9.109375" style="1"/>
  </cols>
  <sheetData>
    <row r="1" spans="1:2" ht="16.2" thickBot="1" x14ac:dyDescent="0.35">
      <c r="A1" s="1" t="s">
        <v>169</v>
      </c>
    </row>
    <row r="2" spans="1:2" s="6" customFormat="1" x14ac:dyDescent="0.3">
      <c r="A2" s="4" t="s">
        <v>170</v>
      </c>
      <c r="B2" s="25" t="s">
        <v>109</v>
      </c>
    </row>
    <row r="3" spans="1:2" x14ac:dyDescent="0.3">
      <c r="A3" s="26" t="s">
        <v>119</v>
      </c>
      <c r="B3" s="29"/>
    </row>
    <row r="4" spans="1:2" ht="16.2" thickBot="1" x14ac:dyDescent="0.35">
      <c r="A4" s="27" t="s">
        <v>120</v>
      </c>
      <c r="B4" s="9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AZ12"/>
  <sheetViews>
    <sheetView zoomScaleNormal="100" workbookViewId="0">
      <selection activeCell="B7" sqref="B7"/>
    </sheetView>
  </sheetViews>
  <sheetFormatPr defaultColWidth="9.109375" defaultRowHeight="15.6" x14ac:dyDescent="0.3"/>
  <cols>
    <col min="1" max="1" width="16.77734375" style="1" customWidth="1"/>
    <col min="2" max="2" width="13.109375" style="1" customWidth="1"/>
    <col min="3" max="3" width="9.109375" style="1"/>
    <col min="4" max="4" width="92.44140625" style="1" bestFit="1" customWidth="1"/>
    <col min="5" max="5" width="8.44140625" style="1" bestFit="1" customWidth="1"/>
    <col min="6" max="6" width="2.109375" style="1" bestFit="1" customWidth="1"/>
    <col min="7" max="7" width="12.44140625" style="1" bestFit="1" customWidth="1"/>
    <col min="8" max="8" width="0.6640625" style="1" customWidth="1"/>
    <col min="9" max="9" width="8.44140625" style="1" bestFit="1" customWidth="1"/>
    <col min="10" max="10" width="2.109375" style="1" bestFit="1" customWidth="1"/>
    <col min="11" max="11" width="12.44140625" style="1" bestFit="1" customWidth="1"/>
    <col min="12" max="48" width="9.109375" style="1"/>
    <col min="49" max="49" width="13.77734375" style="1" bestFit="1" customWidth="1"/>
    <col min="50" max="50" width="9.109375" style="1" bestFit="1" customWidth="1"/>
    <col min="51" max="51" width="6.109375" style="1" bestFit="1" customWidth="1"/>
    <col min="52" max="52" width="15.44140625" style="1" bestFit="1" customWidth="1"/>
    <col min="53" max="16384" width="9.109375" style="1"/>
  </cols>
  <sheetData>
    <row r="1" spans="1:52" ht="16.2" thickBot="1" x14ac:dyDescent="0.35">
      <c r="A1" s="1" t="s">
        <v>44</v>
      </c>
    </row>
    <row r="2" spans="1:52" s="6" customFormat="1" x14ac:dyDescent="0.3">
      <c r="A2" s="4" t="s">
        <v>45</v>
      </c>
      <c r="B2" s="25" t="s">
        <v>46</v>
      </c>
      <c r="D2" s="68" t="s">
        <v>47</v>
      </c>
      <c r="E2" s="69" t="s">
        <v>48</v>
      </c>
      <c r="F2" s="61"/>
      <c r="G2" s="61"/>
      <c r="H2" s="62"/>
      <c r="I2" s="61"/>
      <c r="J2" s="61"/>
      <c r="K2" s="63"/>
    </row>
    <row r="3" spans="1:52" x14ac:dyDescent="0.3">
      <c r="A3" s="26" t="s">
        <v>49</v>
      </c>
      <c r="B3" s="42" t="s">
        <v>50</v>
      </c>
      <c r="D3" s="56" t="s">
        <v>51</v>
      </c>
      <c r="E3" s="57" t="s">
        <v>50</v>
      </c>
      <c r="F3" s="58" t="s">
        <v>52</v>
      </c>
      <c r="G3" s="51" t="s">
        <v>53</v>
      </c>
      <c r="H3" s="55"/>
      <c r="I3" s="51" t="s">
        <v>54</v>
      </c>
      <c r="J3" s="58" t="s">
        <v>52</v>
      </c>
      <c r="K3" s="53" t="s">
        <v>55</v>
      </c>
    </row>
    <row r="4" spans="1:52" x14ac:dyDescent="0.3">
      <c r="A4" s="26" t="s">
        <v>56</v>
      </c>
      <c r="B4" s="42" t="s">
        <v>57</v>
      </c>
      <c r="D4" s="56" t="s">
        <v>58</v>
      </c>
      <c r="E4" s="57" t="s">
        <v>59</v>
      </c>
      <c r="F4" s="58" t="s">
        <v>52</v>
      </c>
      <c r="G4" s="51" t="s">
        <v>60</v>
      </c>
      <c r="H4" s="55"/>
      <c r="I4" s="51"/>
      <c r="J4" s="51"/>
      <c r="K4" s="53"/>
    </row>
    <row r="5" spans="1:52" x14ac:dyDescent="0.3">
      <c r="A5" s="26" t="s">
        <v>61</v>
      </c>
      <c r="B5" s="42" t="s">
        <v>62</v>
      </c>
      <c r="D5" s="56" t="s">
        <v>63</v>
      </c>
      <c r="E5" s="59"/>
      <c r="F5" s="52"/>
      <c r="G5" s="52"/>
      <c r="H5" s="56"/>
      <c r="I5" s="52"/>
      <c r="J5" s="52"/>
      <c r="K5" s="54"/>
    </row>
    <row r="6" spans="1:52" x14ac:dyDescent="0.3">
      <c r="A6" s="26" t="s">
        <v>64</v>
      </c>
      <c r="B6" s="42" t="s">
        <v>65</v>
      </c>
      <c r="D6" s="56" t="s">
        <v>66</v>
      </c>
      <c r="E6" s="57" t="s">
        <v>65</v>
      </c>
      <c r="F6" s="58" t="s">
        <v>52</v>
      </c>
      <c r="G6" s="51" t="s">
        <v>67</v>
      </c>
      <c r="H6" s="56"/>
      <c r="I6" s="52"/>
      <c r="J6" s="52"/>
      <c r="K6" s="54"/>
    </row>
    <row r="7" spans="1:52" x14ac:dyDescent="0.3">
      <c r="A7" s="26" t="s">
        <v>68</v>
      </c>
      <c r="B7" s="42" t="s">
        <v>69</v>
      </c>
      <c r="D7" s="56" t="s">
        <v>70</v>
      </c>
      <c r="E7" s="57" t="s">
        <v>71</v>
      </c>
      <c r="F7" s="58" t="s">
        <v>52</v>
      </c>
      <c r="G7" s="51" t="s">
        <v>72</v>
      </c>
      <c r="H7" s="56"/>
      <c r="I7" s="52"/>
      <c r="J7" s="52"/>
      <c r="K7" s="54"/>
    </row>
    <row r="8" spans="1:52" x14ac:dyDescent="0.3">
      <c r="A8" s="26" t="s">
        <v>73</v>
      </c>
      <c r="B8" s="42" t="s">
        <v>74</v>
      </c>
      <c r="D8" s="56" t="s">
        <v>75</v>
      </c>
      <c r="E8" s="59"/>
      <c r="F8" s="52"/>
      <c r="G8" s="52"/>
      <c r="H8" s="56"/>
      <c r="I8" s="52"/>
      <c r="J8" s="52"/>
      <c r="K8" s="54"/>
      <c r="AT8" s="30" t="s">
        <v>49</v>
      </c>
      <c r="AU8" s="30" t="s">
        <v>56</v>
      </c>
      <c r="AV8" s="30" t="s">
        <v>61</v>
      </c>
      <c r="AW8" s="30" t="s">
        <v>64</v>
      </c>
      <c r="AX8" s="30" t="s">
        <v>68</v>
      </c>
      <c r="AY8" s="30" t="s">
        <v>73</v>
      </c>
      <c r="AZ8" s="30" t="s">
        <v>76</v>
      </c>
    </row>
    <row r="9" spans="1:52" ht="16.2" thickBot="1" x14ac:dyDescent="0.35">
      <c r="A9" s="27" t="s">
        <v>77</v>
      </c>
      <c r="B9" s="37" t="s">
        <v>78</v>
      </c>
      <c r="D9" s="60" t="s">
        <v>79</v>
      </c>
      <c r="E9" s="64" t="s">
        <v>80</v>
      </c>
      <c r="F9" s="65" t="s">
        <v>52</v>
      </c>
      <c r="G9" s="66" t="s">
        <v>81</v>
      </c>
      <c r="H9" s="60"/>
      <c r="I9" s="67" t="s">
        <v>82</v>
      </c>
      <c r="J9" s="65" t="s">
        <v>52</v>
      </c>
      <c r="K9" s="66" t="s">
        <v>83</v>
      </c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74</v>
      </c>
    </row>
    <row r="10" spans="1:52" x14ac:dyDescent="0.3"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78</v>
      </c>
    </row>
    <row r="11" spans="1:52" x14ac:dyDescent="0.3">
      <c r="AU11" s="1" t="s">
        <v>87</v>
      </c>
      <c r="AZ11" s="1" t="s">
        <v>80</v>
      </c>
    </row>
    <row r="12" spans="1:52" x14ac:dyDescent="0.3">
      <c r="AU12" s="1" t="s">
        <v>59</v>
      </c>
      <c r="AZ12" s="1" t="s">
        <v>82</v>
      </c>
    </row>
  </sheetData>
  <dataValidations count="8">
    <dataValidation type="list" allowBlank="1" showInputMessage="1" showErrorMessage="1" sqref="B3" xr:uid="{0366540F-07AE-4F25-B907-A754D6EED801}">
      <formula1>$AT$9:$AT$10</formula1>
    </dataValidation>
    <dataValidation type="list" allowBlank="1" showInputMessage="1" showErrorMessage="1" sqref="B4" xr:uid="{C79D4C95-A2FA-4887-96DC-7C746F015FE0}">
      <formula1>$AU$9:$AU$12</formula1>
    </dataValidation>
    <dataValidation type="list" allowBlank="1" showInputMessage="1" showErrorMessage="1" sqref="B6" xr:uid="{31C57A55-793D-4314-90EE-3947816FAD7C}">
      <formula1>$AW$9:$AW$10</formula1>
    </dataValidation>
    <dataValidation type="list" allowBlank="1" showInputMessage="1" showErrorMessage="1" sqref="B7" xr:uid="{2875C8E3-1AA6-4283-BA6A-B0ED7E3E7451}">
      <formula1>$AX$9:$AX$10</formula1>
    </dataValidation>
    <dataValidation type="list" allowBlank="1" showInputMessage="1" showErrorMessage="1" sqref="B8" xr:uid="{A2352212-D4AC-4060-A6D0-EDF0F167C76E}">
      <formula1>$AY$9:$AY$10</formula1>
    </dataValidation>
    <dataValidation type="list" allowBlank="1" showInputMessage="1" showErrorMessage="1" sqref="B9" xr:uid="{6A0898C7-A0E4-4D50-B77F-749952BD9BF8}">
      <formula1>$AZ$9:$AZ$12</formula1>
    </dataValidation>
    <dataValidation type="list" allowBlank="1" showInputMessage="1" showErrorMessage="1" sqref="B5" xr:uid="{7798E450-1C40-4081-9434-3CDB06544C0F}">
      <formula1>$AV$9:$AV$10</formula1>
    </dataValidation>
    <dataValidation type="list" showInputMessage="1" showErrorMessage="1" sqref="B10" xr:uid="{A24BB091-DB56-43A3-A3BF-F8F5DFC553A8}">
      <formula1>"removed concentration, removal load"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B4"/>
  <sheetViews>
    <sheetView workbookViewId="0"/>
  </sheetViews>
  <sheetFormatPr defaultColWidth="8.77734375" defaultRowHeight="14.4" x14ac:dyDescent="0.3"/>
  <cols>
    <col min="1" max="1" width="16.44140625" customWidth="1"/>
  </cols>
  <sheetData>
    <row r="1" spans="1:2" ht="16.2" thickBot="1" x14ac:dyDescent="0.35">
      <c r="A1" s="1" t="s">
        <v>171</v>
      </c>
      <c r="B1" s="1"/>
    </row>
    <row r="2" spans="1:2" ht="15.6" x14ac:dyDescent="0.3">
      <c r="A2" s="4" t="s">
        <v>170</v>
      </c>
      <c r="B2" s="25" t="s">
        <v>117</v>
      </c>
    </row>
    <row r="3" spans="1:2" ht="15.6" x14ac:dyDescent="0.3">
      <c r="A3" s="26" t="s">
        <v>119</v>
      </c>
      <c r="B3" s="29"/>
    </row>
    <row r="4" spans="1:2" ht="16.2" thickBot="1" x14ac:dyDescent="0.35">
      <c r="A4" s="27" t="s">
        <v>120</v>
      </c>
      <c r="B4" s="9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B3"/>
  <sheetViews>
    <sheetView workbookViewId="0"/>
  </sheetViews>
  <sheetFormatPr defaultColWidth="8.77734375" defaultRowHeight="14.4" x14ac:dyDescent="0.3"/>
  <cols>
    <col min="1" max="1" width="14.6640625" customWidth="1"/>
  </cols>
  <sheetData>
    <row r="1" spans="1:2" ht="16.2" thickBot="1" x14ac:dyDescent="0.35">
      <c r="A1" s="1" t="s">
        <v>172</v>
      </c>
    </row>
    <row r="2" spans="1:2" ht="15.6" x14ac:dyDescent="0.3">
      <c r="A2" s="4" t="s">
        <v>173</v>
      </c>
      <c r="B2" s="25" t="s">
        <v>109</v>
      </c>
    </row>
    <row r="3" spans="1:2" ht="16.2" thickBot="1" x14ac:dyDescent="0.35">
      <c r="A3" s="27" t="s">
        <v>117</v>
      </c>
      <c r="B3" s="9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J4"/>
  <sheetViews>
    <sheetView workbookViewId="0">
      <selection activeCell="K26" sqref="K26"/>
    </sheetView>
  </sheetViews>
  <sheetFormatPr defaultColWidth="9.109375" defaultRowHeight="15.6" x14ac:dyDescent="0.3"/>
  <cols>
    <col min="1" max="1" width="15.6640625" style="1" customWidth="1"/>
    <col min="2" max="16384" width="9.109375" style="1"/>
  </cols>
  <sheetData>
    <row r="1" spans="1:10" ht="16.2" thickBot="1" x14ac:dyDescent="0.35">
      <c r="A1" s="1" t="s">
        <v>174</v>
      </c>
    </row>
    <row r="2" spans="1:10" s="6" customFormat="1" x14ac:dyDescent="0.3">
      <c r="A2" s="4" t="s">
        <v>170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</row>
    <row r="3" spans="1:10" x14ac:dyDescent="0.3">
      <c r="A3" s="26" t="s">
        <v>119</v>
      </c>
      <c r="B3" s="7"/>
      <c r="C3" s="7"/>
      <c r="D3" s="7"/>
      <c r="E3" s="7"/>
      <c r="F3" s="7"/>
      <c r="G3" s="7"/>
      <c r="H3" s="7"/>
      <c r="I3" s="7"/>
      <c r="J3" s="29"/>
    </row>
    <row r="4" spans="1:10" ht="16.2" thickBot="1" x14ac:dyDescent="0.35">
      <c r="A4" s="27" t="s">
        <v>120</v>
      </c>
      <c r="B4" s="8"/>
      <c r="C4" s="8"/>
      <c r="D4" s="8"/>
      <c r="E4" s="8"/>
      <c r="F4" s="8"/>
      <c r="G4" s="8"/>
      <c r="H4" s="8"/>
      <c r="I4" s="8"/>
      <c r="J4" s="9"/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B6"/>
  <sheetViews>
    <sheetView workbookViewId="0">
      <selection activeCell="B4" sqref="B4"/>
    </sheetView>
  </sheetViews>
  <sheetFormatPr defaultColWidth="9.109375" defaultRowHeight="15.6" x14ac:dyDescent="0.3"/>
  <cols>
    <col min="1" max="1" width="15.44140625" style="1" customWidth="1"/>
    <col min="2" max="16384" width="9.109375" style="1"/>
  </cols>
  <sheetData>
    <row r="1" spans="1:2" ht="16.2" thickBot="1" x14ac:dyDescent="0.35">
      <c r="A1" s="1" t="s">
        <v>175</v>
      </c>
    </row>
    <row r="2" spans="1:2" s="6" customFormat="1" x14ac:dyDescent="0.3">
      <c r="A2" s="4" t="s">
        <v>156</v>
      </c>
      <c r="B2" s="25" t="s">
        <v>109</v>
      </c>
    </row>
    <row r="3" spans="1:2" s="6" customFormat="1" x14ac:dyDescent="0.3">
      <c r="A3" s="26" t="s">
        <v>89</v>
      </c>
      <c r="B3" s="29"/>
    </row>
    <row r="4" spans="1:2" x14ac:dyDescent="0.3">
      <c r="A4" s="26" t="s">
        <v>90</v>
      </c>
      <c r="B4" s="29"/>
    </row>
    <row r="5" spans="1:2" x14ac:dyDescent="0.3">
      <c r="A5" s="26" t="s">
        <v>91</v>
      </c>
      <c r="B5" s="29"/>
    </row>
    <row r="6" spans="1:2" ht="16.2" thickBot="1" x14ac:dyDescent="0.35">
      <c r="A6" s="27" t="s">
        <v>92</v>
      </c>
      <c r="B6" s="9"/>
    </row>
  </sheetData>
  <phoneticPr fontId="2" type="noConversion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B4"/>
  <sheetViews>
    <sheetView workbookViewId="0">
      <selection activeCell="J19" sqref="J19"/>
    </sheetView>
  </sheetViews>
  <sheetFormatPr defaultColWidth="9.109375" defaultRowHeight="15.6" x14ac:dyDescent="0.3"/>
  <cols>
    <col min="1" max="1" width="19.77734375" style="1" customWidth="1"/>
    <col min="2" max="16384" width="9.109375" style="1"/>
  </cols>
  <sheetData>
    <row r="1" spans="1:2" ht="16.2" thickBot="1" x14ac:dyDescent="0.35">
      <c r="A1" s="1" t="s">
        <v>176</v>
      </c>
    </row>
    <row r="2" spans="1:2" s="6" customFormat="1" x14ac:dyDescent="0.3">
      <c r="A2" s="4" t="s">
        <v>168</v>
      </c>
      <c r="B2" s="25" t="s">
        <v>109</v>
      </c>
    </row>
    <row r="3" spans="1:2" x14ac:dyDescent="0.3">
      <c r="A3" s="26" t="s">
        <v>114</v>
      </c>
      <c r="B3" s="29">
        <v>1</v>
      </c>
    </row>
    <row r="4" spans="1:2" ht="16.2" thickBot="1" x14ac:dyDescent="0.35">
      <c r="A4" s="27" t="s">
        <v>115</v>
      </c>
      <c r="B4" s="9">
        <v>1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C6"/>
  <sheetViews>
    <sheetView topLeftCell="A2" workbookViewId="0">
      <selection activeCell="C3" sqref="C3"/>
    </sheetView>
  </sheetViews>
  <sheetFormatPr defaultColWidth="9.109375" defaultRowHeight="15.6" x14ac:dyDescent="0.3"/>
  <cols>
    <col min="1" max="1" width="15.44140625" style="1" customWidth="1"/>
    <col min="2" max="16384" width="9.109375" style="1"/>
  </cols>
  <sheetData>
    <row r="1" spans="1:3" ht="16.2" thickBot="1" x14ac:dyDescent="0.35">
      <c r="A1" s="1" t="s">
        <v>177</v>
      </c>
    </row>
    <row r="2" spans="1:3" s="6" customFormat="1" x14ac:dyDescent="0.3">
      <c r="A2" s="4" t="s">
        <v>156</v>
      </c>
      <c r="B2" s="5" t="s">
        <v>111</v>
      </c>
      <c r="C2" s="25" t="s">
        <v>112</v>
      </c>
    </row>
    <row r="3" spans="1:3" s="6" customFormat="1" x14ac:dyDescent="0.3">
      <c r="A3" s="26" t="s">
        <v>89</v>
      </c>
      <c r="B3" s="7">
        <v>1</v>
      </c>
      <c r="C3" s="29"/>
    </row>
    <row r="4" spans="1:3" s="6" customFormat="1" x14ac:dyDescent="0.3">
      <c r="A4" s="26" t="s">
        <v>90</v>
      </c>
      <c r="B4" s="7">
        <v>1</v>
      </c>
      <c r="C4" s="29"/>
    </row>
    <row r="5" spans="1:3" s="6" customFormat="1" x14ac:dyDescent="0.3">
      <c r="A5" s="26" t="s">
        <v>91</v>
      </c>
      <c r="B5" s="7"/>
      <c r="C5" s="29">
        <v>1</v>
      </c>
    </row>
    <row r="6" spans="1:3" ht="16.2" thickBot="1" x14ac:dyDescent="0.35">
      <c r="A6" s="27" t="s">
        <v>92</v>
      </c>
      <c r="B6" s="8"/>
      <c r="C6" s="9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C3"/>
  <sheetViews>
    <sheetView workbookViewId="0">
      <selection activeCell="D6" sqref="D6"/>
    </sheetView>
  </sheetViews>
  <sheetFormatPr defaultColWidth="9.109375" defaultRowHeight="15.6" x14ac:dyDescent="0.3"/>
  <cols>
    <col min="1" max="1" width="18.109375" style="1" customWidth="1"/>
    <col min="2" max="16384" width="9.109375" style="1"/>
  </cols>
  <sheetData>
    <row r="1" spans="1:3" ht="16.2" thickBot="1" x14ac:dyDescent="0.35">
      <c r="A1" s="1" t="s">
        <v>178</v>
      </c>
    </row>
    <row r="2" spans="1:3" s="6" customFormat="1" x14ac:dyDescent="0.3">
      <c r="A2" s="4" t="s">
        <v>158</v>
      </c>
      <c r="B2" s="5" t="s">
        <v>111</v>
      </c>
      <c r="C2" s="25" t="s">
        <v>112</v>
      </c>
    </row>
    <row r="3" spans="1:3" s="6" customFormat="1" ht="16.2" thickBot="1" x14ac:dyDescent="0.35">
      <c r="A3" s="27" t="s">
        <v>109</v>
      </c>
      <c r="B3" s="8">
        <v>1</v>
      </c>
      <c r="C3" s="9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B3"/>
  <sheetViews>
    <sheetView workbookViewId="0"/>
  </sheetViews>
  <sheetFormatPr defaultColWidth="9.109375" defaultRowHeight="15.6" x14ac:dyDescent="0.3"/>
  <cols>
    <col min="1" max="1" width="17.6640625" style="1" customWidth="1"/>
    <col min="2" max="16384" width="9.109375" style="1"/>
  </cols>
  <sheetData>
    <row r="1" spans="1:2" ht="16.2" thickBot="1" x14ac:dyDescent="0.35">
      <c r="A1" s="1" t="s">
        <v>179</v>
      </c>
    </row>
    <row r="2" spans="1:2" s="6" customFormat="1" x14ac:dyDescent="0.3">
      <c r="A2" s="4" t="s">
        <v>158</v>
      </c>
      <c r="B2" s="25" t="s">
        <v>109</v>
      </c>
    </row>
    <row r="3" spans="1:2" s="6" customFormat="1" ht="16.2" thickBot="1" x14ac:dyDescent="0.35">
      <c r="A3" s="27" t="s">
        <v>109</v>
      </c>
      <c r="B3" s="33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5" sqref="A5"/>
    </sheetView>
  </sheetViews>
  <sheetFormatPr defaultColWidth="9.109375" defaultRowHeight="15.6" x14ac:dyDescent="0.3"/>
  <cols>
    <col min="1" max="1" width="18" style="1" customWidth="1"/>
    <col min="2" max="16384" width="9.109375" style="1"/>
  </cols>
  <sheetData>
    <row r="1" spans="1:2" ht="16.2" thickBot="1" x14ac:dyDescent="0.35">
      <c r="A1" s="1" t="s">
        <v>180</v>
      </c>
    </row>
    <row r="2" spans="1:2" s="6" customFormat="1" x14ac:dyDescent="0.3">
      <c r="A2" s="4" t="s">
        <v>158</v>
      </c>
      <c r="B2" s="25" t="s">
        <v>117</v>
      </c>
    </row>
    <row r="3" spans="1:2" s="6" customFormat="1" ht="16.2" thickBot="1" x14ac:dyDescent="0.35">
      <c r="A3" s="27" t="s">
        <v>109</v>
      </c>
      <c r="B3" s="9"/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C8"/>
  <sheetViews>
    <sheetView showZeros="0" workbookViewId="0">
      <selection activeCell="B3" sqref="B3"/>
    </sheetView>
  </sheetViews>
  <sheetFormatPr defaultColWidth="9.109375" defaultRowHeight="15.6" x14ac:dyDescent="0.3"/>
  <cols>
    <col min="1" max="1" width="18" style="1" customWidth="1"/>
    <col min="2" max="2" width="15.44140625" style="1" bestFit="1" customWidth="1"/>
    <col min="3" max="3" width="9.77734375" style="1" bestFit="1" customWidth="1"/>
    <col min="4" max="53" width="9.109375" style="1"/>
    <col min="54" max="54" width="11.6640625" style="1" bestFit="1" customWidth="1"/>
    <col min="55" max="55" width="13.109375" style="1" bestFit="1" customWidth="1"/>
    <col min="56" max="16384" width="9.109375" style="1"/>
  </cols>
  <sheetData>
    <row r="1" spans="1:55" ht="16.2" thickBot="1" x14ac:dyDescent="0.35">
      <c r="A1" s="1" t="str">
        <f>_xlfn.CONCAT( "Table of Completions Water Demand for Completions Sites over ",VLOOKUP("decision period", Units!$A$2:$B$9, 2, FALSE),"s [",VLOOKUP("volume", Units!$A$2:$B$9, 2, FALSE),"/", VLOOKUP("time", Units!$A$2:$B$9, 2, FALSE),"]")</f>
        <v>Table of Completions Water Demand for Completions Sites over weeks [bbl/day]</v>
      </c>
    </row>
    <row r="2" spans="1:55" s="6" customFormat="1" x14ac:dyDescent="0.3">
      <c r="A2" s="4" t="s">
        <v>158</v>
      </c>
      <c r="B2" s="5" t="s">
        <v>181</v>
      </c>
      <c r="C2" s="5" t="s">
        <v>182</v>
      </c>
      <c r="D2" s="5" t="s">
        <v>183</v>
      </c>
      <c r="E2" s="5" t="s">
        <v>184</v>
      </c>
      <c r="F2" s="5" t="s">
        <v>185</v>
      </c>
      <c r="G2" s="5" t="s">
        <v>186</v>
      </c>
      <c r="H2" s="5" t="s">
        <v>187</v>
      </c>
      <c r="I2" s="5" t="s">
        <v>188</v>
      </c>
      <c r="J2" s="5" t="s">
        <v>189</v>
      </c>
      <c r="K2" s="5" t="s">
        <v>190</v>
      </c>
      <c r="L2" s="5" t="s">
        <v>191</v>
      </c>
      <c r="M2" s="5" t="s">
        <v>192</v>
      </c>
      <c r="N2" s="5" t="s">
        <v>193</v>
      </c>
      <c r="O2" s="5" t="s">
        <v>194</v>
      </c>
      <c r="P2" s="5" t="s">
        <v>195</v>
      </c>
      <c r="Q2" s="5" t="s">
        <v>196</v>
      </c>
      <c r="R2" s="5" t="s">
        <v>197</v>
      </c>
      <c r="S2" s="5" t="s">
        <v>198</v>
      </c>
      <c r="T2" s="5" t="s">
        <v>199</v>
      </c>
      <c r="U2" s="5" t="s">
        <v>200</v>
      </c>
      <c r="V2" s="5" t="s">
        <v>201</v>
      </c>
      <c r="W2" s="5" t="s">
        <v>202</v>
      </c>
      <c r="X2" s="5" t="s">
        <v>203</v>
      </c>
      <c r="Y2" s="5" t="s">
        <v>204</v>
      </c>
      <c r="Z2" s="5" t="s">
        <v>205</v>
      </c>
      <c r="AA2" s="5" t="s">
        <v>206</v>
      </c>
      <c r="AB2" s="5" t="s">
        <v>207</v>
      </c>
      <c r="AC2" s="5" t="s">
        <v>208</v>
      </c>
      <c r="AD2" s="5" t="s">
        <v>209</v>
      </c>
      <c r="AE2" s="5" t="s">
        <v>210</v>
      </c>
      <c r="AF2" s="5" t="s">
        <v>211</v>
      </c>
      <c r="AG2" s="5" t="s">
        <v>212</v>
      </c>
      <c r="AH2" s="5" t="s">
        <v>213</v>
      </c>
      <c r="AI2" s="5" t="s">
        <v>214</v>
      </c>
      <c r="AJ2" s="5" t="s">
        <v>215</v>
      </c>
      <c r="AK2" s="5" t="s">
        <v>216</v>
      </c>
      <c r="AL2" s="5" t="s">
        <v>217</v>
      </c>
      <c r="AM2" s="5" t="s">
        <v>218</v>
      </c>
      <c r="AN2" s="5" t="s">
        <v>219</v>
      </c>
      <c r="AO2" s="5" t="s">
        <v>220</v>
      </c>
      <c r="AP2" s="5" t="s">
        <v>221</v>
      </c>
      <c r="AQ2" s="5" t="s">
        <v>222</v>
      </c>
      <c r="AR2" s="5" t="s">
        <v>223</v>
      </c>
      <c r="AS2" s="5" t="s">
        <v>224</v>
      </c>
      <c r="AT2" s="5" t="s">
        <v>225</v>
      </c>
      <c r="AU2" s="5" t="s">
        <v>226</v>
      </c>
      <c r="AV2" s="5" t="s">
        <v>227</v>
      </c>
      <c r="AW2" s="5" t="s">
        <v>228</v>
      </c>
      <c r="AX2" s="5" t="s">
        <v>229</v>
      </c>
      <c r="AY2" s="5" t="s">
        <v>230</v>
      </c>
      <c r="AZ2" s="5" t="s">
        <v>231</v>
      </c>
      <c r="BA2" s="25" t="s">
        <v>232</v>
      </c>
    </row>
    <row r="3" spans="1:55" s="6" customFormat="1" ht="16.2" thickBot="1" x14ac:dyDescent="0.35">
      <c r="A3" s="27" t="s">
        <v>109</v>
      </c>
      <c r="B3" s="8">
        <v>0</v>
      </c>
      <c r="C3" s="8">
        <v>45000</v>
      </c>
      <c r="D3" s="8">
        <v>50000</v>
      </c>
      <c r="E3" s="8">
        <v>50000</v>
      </c>
      <c r="F3" s="8">
        <v>50000</v>
      </c>
      <c r="G3" s="8">
        <v>50000</v>
      </c>
      <c r="H3" s="8">
        <v>50000</v>
      </c>
      <c r="I3" s="8">
        <v>50000</v>
      </c>
      <c r="J3" s="8">
        <v>50000</v>
      </c>
      <c r="K3" s="8">
        <v>50000</v>
      </c>
      <c r="L3" s="8">
        <v>37142.857142857145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  <c r="AS3" s="8">
        <v>0</v>
      </c>
      <c r="AT3" s="8">
        <v>10714.285714285714</v>
      </c>
      <c r="AU3" s="8">
        <v>45714.285714285717</v>
      </c>
      <c r="AV3" s="8">
        <v>45714.285714285717</v>
      </c>
      <c r="AW3" s="8">
        <v>45714.285714285717</v>
      </c>
      <c r="AX3" s="8">
        <v>45714.285714285717</v>
      </c>
      <c r="AY3" s="8">
        <v>45714.285714285717</v>
      </c>
      <c r="AZ3" s="8">
        <v>22857.142857142859</v>
      </c>
      <c r="BA3" s="9">
        <v>11428.571428571429</v>
      </c>
      <c r="BB3" s="74"/>
      <c r="BC3" s="74"/>
    </row>
    <row r="7" spans="1:55" x14ac:dyDescent="0.3">
      <c r="B7" s="45"/>
    </row>
    <row r="8" spans="1:55" x14ac:dyDescent="0.3">
      <c r="F8" s="10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/>
  </sheetViews>
  <sheetFormatPr defaultColWidth="9.109375" defaultRowHeight="15.6" x14ac:dyDescent="0.3"/>
  <cols>
    <col min="1" max="2" width="9.109375" style="1"/>
    <col min="3" max="3" width="3.44140625" style="1" customWidth="1"/>
    <col min="4" max="12" width="9.109375" style="1"/>
    <col min="13" max="13" width="11.109375" style="1" customWidth="1"/>
    <col min="14" max="14" width="10.6640625" style="1" customWidth="1"/>
    <col min="15" max="15" width="12.77734375" style="1" customWidth="1"/>
    <col min="16" max="16" width="4.44140625" style="1" customWidth="1"/>
    <col min="17" max="16384" width="9.109375" style="1"/>
  </cols>
  <sheetData>
    <row r="1" spans="1:4" x14ac:dyDescent="0.3">
      <c r="A1" s="1" t="s">
        <v>88</v>
      </c>
    </row>
    <row r="2" spans="1:4" x14ac:dyDescent="0.3">
      <c r="A2" s="2" t="s">
        <v>89</v>
      </c>
    </row>
    <row r="3" spans="1:4" x14ac:dyDescent="0.3">
      <c r="A3" s="2" t="s">
        <v>90</v>
      </c>
      <c r="D3" s="10"/>
    </row>
    <row r="4" spans="1:4" x14ac:dyDescent="0.3">
      <c r="A4" s="2" t="s">
        <v>91</v>
      </c>
    </row>
    <row r="5" spans="1:4" x14ac:dyDescent="0.3">
      <c r="A5" s="2" t="s">
        <v>92</v>
      </c>
    </row>
    <row r="6" spans="1:4" x14ac:dyDescent="0.3">
      <c r="A6" s="10"/>
    </row>
    <row r="7" spans="1:4" x14ac:dyDescent="0.3">
      <c r="A7" s="10"/>
    </row>
    <row r="8" spans="1:4" x14ac:dyDescent="0.3">
      <c r="A8" s="10"/>
    </row>
    <row r="9" spans="1:4" x14ac:dyDescent="0.3">
      <c r="A9" s="10"/>
    </row>
    <row r="10" spans="1:4" x14ac:dyDescent="0.3">
      <c r="A10" s="10"/>
    </row>
    <row r="11" spans="1:4" x14ac:dyDescent="0.3">
      <c r="A11" s="10"/>
    </row>
    <row r="12" spans="1:4" x14ac:dyDescent="0.3">
      <c r="A12" s="10"/>
    </row>
    <row r="13" spans="1:4" x14ac:dyDescent="0.3">
      <c r="A13" s="10"/>
    </row>
    <row r="14" spans="1:4" x14ac:dyDescent="0.3">
      <c r="A14" s="10"/>
    </row>
    <row r="15" spans="1:4" x14ac:dyDescent="0.3">
      <c r="A15" s="10"/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0"/>
  <sheetViews>
    <sheetView workbookViewId="0">
      <selection activeCell="E3" sqref="E3"/>
    </sheetView>
  </sheetViews>
  <sheetFormatPr defaultColWidth="9.109375" defaultRowHeight="15.6" x14ac:dyDescent="0.3"/>
  <cols>
    <col min="1" max="1" width="15.6640625" style="6" customWidth="1"/>
    <col min="2" max="2" width="16.44140625" style="1" bestFit="1" customWidth="1"/>
    <col min="3" max="3" width="14.109375" style="1" bestFit="1" customWidth="1"/>
    <col min="4" max="5" width="10.109375" style="1" bestFit="1" customWidth="1"/>
    <col min="6" max="16384" width="9.109375" style="1"/>
  </cols>
  <sheetData>
    <row r="1" spans="1:53" ht="16.2" thickBot="1" x14ac:dyDescent="0.35">
      <c r="A1" s="1" t="str">
        <f>_xlfn.CONCAT( "Table of Production Rate Forecasts by Pads [",VLOOKUP("volume", Units!$A$2:$B$9, 2, FALSE),"/", VLOOKUP("time", Units!$A$2:$B$9, 2, FALSE),"]")</f>
        <v>Table of Production Rate Forecasts by Pads [bbl/day]</v>
      </c>
    </row>
    <row r="2" spans="1:53" s="6" customFormat="1" x14ac:dyDescent="0.3">
      <c r="A2" s="4" t="s">
        <v>156</v>
      </c>
      <c r="B2" s="5" t="s">
        <v>181</v>
      </c>
      <c r="C2" s="5" t="s">
        <v>182</v>
      </c>
      <c r="D2" s="5" t="s">
        <v>183</v>
      </c>
      <c r="E2" s="5" t="s">
        <v>184</v>
      </c>
      <c r="F2" s="5" t="s">
        <v>185</v>
      </c>
      <c r="G2" s="5" t="s">
        <v>186</v>
      </c>
      <c r="H2" s="5" t="s">
        <v>187</v>
      </c>
      <c r="I2" s="5" t="s">
        <v>188</v>
      </c>
      <c r="J2" s="5" t="s">
        <v>189</v>
      </c>
      <c r="K2" s="5" t="s">
        <v>190</v>
      </c>
      <c r="L2" s="5" t="s">
        <v>191</v>
      </c>
      <c r="M2" s="5" t="s">
        <v>192</v>
      </c>
      <c r="N2" s="5" t="s">
        <v>193</v>
      </c>
      <c r="O2" s="5" t="s">
        <v>194</v>
      </c>
      <c r="P2" s="5" t="s">
        <v>195</v>
      </c>
      <c r="Q2" s="5" t="s">
        <v>196</v>
      </c>
      <c r="R2" s="5" t="s">
        <v>197</v>
      </c>
      <c r="S2" s="5" t="s">
        <v>198</v>
      </c>
      <c r="T2" s="5" t="s">
        <v>199</v>
      </c>
      <c r="U2" s="5" t="s">
        <v>200</v>
      </c>
      <c r="V2" s="5" t="s">
        <v>201</v>
      </c>
      <c r="W2" s="5" t="s">
        <v>202</v>
      </c>
      <c r="X2" s="5" t="s">
        <v>203</v>
      </c>
      <c r="Y2" s="5" t="s">
        <v>204</v>
      </c>
      <c r="Z2" s="5" t="s">
        <v>205</v>
      </c>
      <c r="AA2" s="5" t="s">
        <v>206</v>
      </c>
      <c r="AB2" s="5" t="s">
        <v>207</v>
      </c>
      <c r="AC2" s="5" t="s">
        <v>208</v>
      </c>
      <c r="AD2" s="5" t="s">
        <v>209</v>
      </c>
      <c r="AE2" s="5" t="s">
        <v>210</v>
      </c>
      <c r="AF2" s="5" t="s">
        <v>211</v>
      </c>
      <c r="AG2" s="5" t="s">
        <v>212</v>
      </c>
      <c r="AH2" s="5" t="s">
        <v>213</v>
      </c>
      <c r="AI2" s="5" t="s">
        <v>214</v>
      </c>
      <c r="AJ2" s="5" t="s">
        <v>215</v>
      </c>
      <c r="AK2" s="5" t="s">
        <v>216</v>
      </c>
      <c r="AL2" s="5" t="s">
        <v>217</v>
      </c>
      <c r="AM2" s="5" t="s">
        <v>218</v>
      </c>
      <c r="AN2" s="5" t="s">
        <v>219</v>
      </c>
      <c r="AO2" s="5" t="s">
        <v>220</v>
      </c>
      <c r="AP2" s="5" t="s">
        <v>221</v>
      </c>
      <c r="AQ2" s="5" t="s">
        <v>222</v>
      </c>
      <c r="AR2" s="5" t="s">
        <v>223</v>
      </c>
      <c r="AS2" s="5" t="s">
        <v>224</v>
      </c>
      <c r="AT2" s="5" t="s">
        <v>225</v>
      </c>
      <c r="AU2" s="5" t="s">
        <v>226</v>
      </c>
      <c r="AV2" s="5" t="s">
        <v>227</v>
      </c>
      <c r="AW2" s="5" t="s">
        <v>228</v>
      </c>
      <c r="AX2" s="5" t="s">
        <v>229</v>
      </c>
      <c r="AY2" s="5" t="s">
        <v>230</v>
      </c>
      <c r="AZ2" s="5" t="s">
        <v>231</v>
      </c>
      <c r="BA2" s="25" t="s">
        <v>232</v>
      </c>
    </row>
    <row r="3" spans="1:53" s="6" customFormat="1" x14ac:dyDescent="0.3">
      <c r="A3" s="26" t="s">
        <v>89</v>
      </c>
      <c r="B3" s="34">
        <f>(5000*7)/7</f>
        <v>5000</v>
      </c>
      <c r="C3" s="34">
        <f>$B3*(VALUE(RIGHT(C$2,2)))^(-0.21)</f>
        <v>4322.6861565393256</v>
      </c>
      <c r="D3" s="34">
        <f t="shared" ref="D3:BA3" si="0">$B3*(VALUE(RIGHT(D$2,2)))^(-0.21)</f>
        <v>3969.854054028066</v>
      </c>
      <c r="E3" s="34">
        <f t="shared" si="0"/>
        <v>3737.1231215873463</v>
      </c>
      <c r="F3" s="34">
        <f t="shared" si="0"/>
        <v>3566.0407645411756</v>
      </c>
      <c r="G3" s="34">
        <f t="shared" si="0"/>
        <v>3432.0866325657289</v>
      </c>
      <c r="H3" s="34">
        <f t="shared" si="0"/>
        <v>3322.7633834431954</v>
      </c>
      <c r="I3" s="34">
        <f t="shared" si="0"/>
        <v>3230.8820765937307</v>
      </c>
      <c r="J3" s="34">
        <f t="shared" si="0"/>
        <v>3151.9482420566142</v>
      </c>
      <c r="K3" s="34">
        <f t="shared" si="0"/>
        <v>3082.9750093074108</v>
      </c>
      <c r="L3" s="34">
        <f t="shared" si="0"/>
        <v>3021.8822690895304</v>
      </c>
      <c r="M3" s="34">
        <f t="shared" si="0"/>
        <v>2967.1666749271099</v>
      </c>
      <c r="N3" s="34">
        <f t="shared" si="0"/>
        <v>2917.7084983850377</v>
      </c>
      <c r="O3" s="34">
        <f t="shared" si="0"/>
        <v>2872.652655813135</v>
      </c>
      <c r="P3" s="34">
        <f t="shared" si="0"/>
        <v>2831.3322771886264</v>
      </c>
      <c r="Q3" s="34">
        <f t="shared" si="0"/>
        <v>2793.2178451805498</v>
      </c>
      <c r="R3" s="34">
        <f t="shared" si="0"/>
        <v>2757.8823208879021</v>
      </c>
      <c r="S3" s="34">
        <f t="shared" si="0"/>
        <v>2724.9766064133187</v>
      </c>
      <c r="T3" s="34">
        <f t="shared" si="0"/>
        <v>2694.2118882559803</v>
      </c>
      <c r="U3" s="34">
        <f t="shared" si="0"/>
        <v>2665.3466787379693</v>
      </c>
      <c r="V3" s="34">
        <f t="shared" si="0"/>
        <v>2638.1771376675965</v>
      </c>
      <c r="W3" s="34">
        <f t="shared" si="0"/>
        <v>2612.529730256992</v>
      </c>
      <c r="X3" s="34">
        <f t="shared" si="0"/>
        <v>2588.2555787844931</v>
      </c>
      <c r="Y3" s="34">
        <f t="shared" si="0"/>
        <v>2565.2260619704475</v>
      </c>
      <c r="Z3" s="34">
        <f t="shared" si="0"/>
        <v>2543.3293468738825</v>
      </c>
      <c r="AA3" s="34">
        <f t="shared" si="0"/>
        <v>2522.4676269572292</v>
      </c>
      <c r="AB3" s="34">
        <f t="shared" si="0"/>
        <v>2502.5549013630175</v>
      </c>
      <c r="AC3" s="34">
        <f t="shared" si="0"/>
        <v>2483.5151735658728</v>
      </c>
      <c r="AD3" s="34">
        <f t="shared" si="0"/>
        <v>2465.2809782959771</v>
      </c>
      <c r="AE3" s="34">
        <f t="shared" si="0"/>
        <v>2447.7921678332477</v>
      </c>
      <c r="AF3" s="34">
        <f t="shared" si="0"/>
        <v>2430.9949050140044</v>
      </c>
      <c r="AG3" s="34">
        <f t="shared" si="0"/>
        <v>2414.8408223121137</v>
      </c>
      <c r="AH3" s="34">
        <f t="shared" si="0"/>
        <v>2399.2863153481208</v>
      </c>
      <c r="AI3" s="34">
        <f t="shared" si="0"/>
        <v>2384.2919459733362</v>
      </c>
      <c r="AJ3" s="34">
        <f t="shared" si="0"/>
        <v>2369.8219352566389</v>
      </c>
      <c r="AK3" s="34">
        <f t="shared" si="0"/>
        <v>2355.8437306872729</v>
      </c>
      <c r="AL3" s="34">
        <f t="shared" si="0"/>
        <v>2342.3276349980756</v>
      </c>
      <c r="AM3" s="34">
        <f t="shared" si="0"/>
        <v>2329.2464864295607</v>
      </c>
      <c r="AN3" s="34">
        <f t="shared" si="0"/>
        <v>2316.5753821571975</v>
      </c>
      <c r="AO3" s="34">
        <f t="shared" si="0"/>
        <v>2304.2914381117375</v>
      </c>
      <c r="AP3" s="34">
        <f t="shared" si="0"/>
        <v>2292.3735796250239</v>
      </c>
      <c r="AQ3" s="34">
        <f t="shared" si="0"/>
        <v>2280.8023582988521</v>
      </c>
      <c r="AR3" s="34">
        <f t="shared" si="0"/>
        <v>2269.5597912736284</v>
      </c>
      <c r="AS3" s="34">
        <f t="shared" si="0"/>
        <v>2258.6292197058638</v>
      </c>
      <c r="AT3" s="34">
        <f t="shared" si="0"/>
        <v>2247.995183779557</v>
      </c>
      <c r="AU3" s="34">
        <f t="shared" si="0"/>
        <v>2237.6433119994817</v>
      </c>
      <c r="AV3" s="34">
        <f t="shared" si="0"/>
        <v>2227.5602228629186</v>
      </c>
      <c r="AW3" s="34">
        <f t="shared" si="0"/>
        <v>2217.7334372947093</v>
      </c>
      <c r="AX3" s="34">
        <f t="shared" si="0"/>
        <v>2208.1513004701742</v>
      </c>
      <c r="AY3" s="34">
        <f t="shared" si="0"/>
        <v>2198.8029118503878</v>
      </c>
      <c r="AZ3" s="34">
        <f t="shared" si="0"/>
        <v>2189.6780624218341</v>
      </c>
      <c r="BA3" s="35">
        <f t="shared" si="0"/>
        <v>2180.7671782733241</v>
      </c>
    </row>
    <row r="4" spans="1:53" s="6" customFormat="1" x14ac:dyDescent="0.3">
      <c r="A4" s="26" t="s">
        <v>90</v>
      </c>
      <c r="B4" s="34">
        <f>(13000*7)/7</f>
        <v>13000</v>
      </c>
      <c r="C4" s="34">
        <f t="shared" ref="C4:BA4" si="1">$B4*(VALUE(RIGHT(C$2,2)))^(-0.35)</f>
        <v>10199.593272657759</v>
      </c>
      <c r="D4" s="34">
        <f t="shared" si="1"/>
        <v>8850.1557384298558</v>
      </c>
      <c r="E4" s="34">
        <f t="shared" si="1"/>
        <v>8002.4386867419562</v>
      </c>
      <c r="F4" s="34">
        <f t="shared" si="1"/>
        <v>7401.2291525269902</v>
      </c>
      <c r="G4" s="34">
        <f t="shared" si="1"/>
        <v>6943.6914562817392</v>
      </c>
      <c r="H4" s="34">
        <f t="shared" si="1"/>
        <v>6578.9871524644777</v>
      </c>
      <c r="I4" s="34">
        <f t="shared" si="1"/>
        <v>6278.5861380114975</v>
      </c>
      <c r="J4" s="34">
        <f t="shared" si="1"/>
        <v>6025.0197380356067</v>
      </c>
      <c r="K4" s="34">
        <f t="shared" si="1"/>
        <v>5806.8866979625209</v>
      </c>
      <c r="L4" s="34">
        <f t="shared" si="1"/>
        <v>5616.3726073325097</v>
      </c>
      <c r="M4" s="34">
        <f t="shared" si="1"/>
        <v>5447.9098973001837</v>
      </c>
      <c r="N4" s="34">
        <f t="shared" si="1"/>
        <v>5297.4050229787554</v>
      </c>
      <c r="O4" s="34">
        <f t="shared" si="1"/>
        <v>5161.7687000906553</v>
      </c>
      <c r="P4" s="34">
        <f t="shared" si="1"/>
        <v>5038.6177427439279</v>
      </c>
      <c r="Q4" s="34">
        <f t="shared" si="1"/>
        <v>4926.0788411587946</v>
      </c>
      <c r="R4" s="34">
        <f t="shared" si="1"/>
        <v>4822.655389453148</v>
      </c>
      <c r="S4" s="34">
        <f t="shared" si="1"/>
        <v>4727.1346759767848</v>
      </c>
      <c r="T4" s="34">
        <f t="shared" si="1"/>
        <v>4638.5216926550756</v>
      </c>
      <c r="U4" s="34">
        <f t="shared" si="1"/>
        <v>4555.9909615095667</v>
      </c>
      <c r="V4" s="34">
        <f t="shared" si="1"/>
        <v>4478.8508384953684</v>
      </c>
      <c r="W4" s="34">
        <f t="shared" si="1"/>
        <v>4406.5166355759993</v>
      </c>
      <c r="X4" s="34">
        <f t="shared" si="1"/>
        <v>4338.4900892934511</v>
      </c>
      <c r="Y4" s="34">
        <f t="shared" si="1"/>
        <v>4274.3434721960448</v>
      </c>
      <c r="Z4" s="34">
        <f t="shared" si="1"/>
        <v>4213.7071514011832</v>
      </c>
      <c r="AA4" s="34">
        <f t="shared" si="1"/>
        <v>4156.2597411475017</v>
      </c>
      <c r="AB4" s="34">
        <f t="shared" si="1"/>
        <v>4101.7202314406904</v>
      </c>
      <c r="AC4" s="34">
        <f t="shared" si="1"/>
        <v>4049.8416391123101</v>
      </c>
      <c r="AD4" s="34">
        <f t="shared" si="1"/>
        <v>4000.4058439727946</v>
      </c>
      <c r="AE4" s="34">
        <f t="shared" si="1"/>
        <v>3953.2193563373075</v>
      </c>
      <c r="AF4" s="34">
        <f t="shared" si="1"/>
        <v>3908.1098230304679</v>
      </c>
      <c r="AG4" s="34">
        <f t="shared" si="1"/>
        <v>3864.9231237588433</v>
      </c>
      <c r="AH4" s="34">
        <f t="shared" si="1"/>
        <v>3823.52094307262</v>
      </c>
      <c r="AI4" s="34">
        <f t="shared" si="1"/>
        <v>3783.7787282010004</v>
      </c>
      <c r="AJ4" s="34">
        <f t="shared" si="1"/>
        <v>3745.5839620708166</v>
      </c>
      <c r="AK4" s="34">
        <f t="shared" si="1"/>
        <v>3708.8346953876949</v>
      </c>
      <c r="AL4" s="34">
        <f t="shared" si="1"/>
        <v>3673.4382929104909</v>
      </c>
      <c r="AM4" s="34">
        <f t="shared" si="1"/>
        <v>3639.3103578062914</v>
      </c>
      <c r="AN4" s="34">
        <f t="shared" si="1"/>
        <v>3606.3738048386595</v>
      </c>
      <c r="AO4" s="34">
        <f t="shared" si="1"/>
        <v>3574.5580585617336</v>
      </c>
      <c r="AP4" s="34">
        <f t="shared" si="1"/>
        <v>3543.7983569997164</v>
      </c>
      <c r="AQ4" s="34">
        <f t="shared" si="1"/>
        <v>3514.035144734994</v>
      </c>
      <c r="AR4" s="34">
        <f t="shared" si="1"/>
        <v>3485.2135420978043</v>
      </c>
      <c r="AS4" s="34">
        <f t="shared" si="1"/>
        <v>3457.28287939042</v>
      </c>
      <c r="AT4" s="34">
        <f t="shared" si="1"/>
        <v>3430.1962868999744</v>
      </c>
      <c r="AU4" s="34">
        <f t="shared" si="1"/>
        <v>3403.9103329422956</v>
      </c>
      <c r="AV4" s="34">
        <f t="shared" si="1"/>
        <v>3378.3847034009873</v>
      </c>
      <c r="AW4" s="34">
        <f t="shared" si="1"/>
        <v>3353.5819172337992</v>
      </c>
      <c r="AX4" s="34">
        <f t="shared" si="1"/>
        <v>3329.4670732532813</v>
      </c>
      <c r="AY4" s="34">
        <f t="shared" si="1"/>
        <v>3306.0076241831839</v>
      </c>
      <c r="AZ4" s="34">
        <f t="shared" si="1"/>
        <v>3283.1731745721877</v>
      </c>
      <c r="BA4" s="35">
        <f t="shared" si="1"/>
        <v>3260.9352996327957</v>
      </c>
    </row>
    <row r="5" spans="1:53" x14ac:dyDescent="0.3">
      <c r="A5" s="26" t="s">
        <v>91</v>
      </c>
      <c r="B5" s="34">
        <f>(8000*7)/7</f>
        <v>8000</v>
      </c>
      <c r="C5" s="34">
        <f>$B5*(VALUE(RIGHT(C$2,2)))^(-0.25)</f>
        <v>6727.171322029717</v>
      </c>
      <c r="D5" s="34">
        <f t="shared" ref="D5:BA5" si="2">$B5*(VALUE(RIGHT(D$2,2)))^(-0.25)</f>
        <v>6078.6854852127399</v>
      </c>
      <c r="E5" s="34">
        <f t="shared" si="2"/>
        <v>5656.8542494923804</v>
      </c>
      <c r="F5" s="34">
        <f t="shared" si="2"/>
        <v>5349.9224398113756</v>
      </c>
      <c r="G5" s="34">
        <f t="shared" si="2"/>
        <v>5111.5448339701798</v>
      </c>
      <c r="H5" s="34">
        <f t="shared" si="2"/>
        <v>4918.3052236101157</v>
      </c>
      <c r="I5" s="34">
        <f t="shared" si="2"/>
        <v>4756.8284600108846</v>
      </c>
      <c r="J5" s="34">
        <f t="shared" si="2"/>
        <v>4618.8021535170055</v>
      </c>
      <c r="K5" s="34">
        <f t="shared" si="2"/>
        <v>4498.7306015227923</v>
      </c>
      <c r="L5" s="34">
        <f t="shared" si="2"/>
        <v>4392.8038942088997</v>
      </c>
      <c r="M5" s="34">
        <f t="shared" si="2"/>
        <v>4298.279727294168</v>
      </c>
      <c r="N5" s="34">
        <f t="shared" si="2"/>
        <v>4213.1231027834128</v>
      </c>
      <c r="O5" s="34">
        <f t="shared" si="2"/>
        <v>4135.7852316573644</v>
      </c>
      <c r="P5" s="34">
        <f t="shared" si="2"/>
        <v>4065.0619852369177</v>
      </c>
      <c r="Q5" s="34">
        <f t="shared" si="2"/>
        <v>4000</v>
      </c>
      <c r="R5" s="34">
        <f t="shared" si="2"/>
        <v>3939.8324840436189</v>
      </c>
      <c r="S5" s="34">
        <f t="shared" si="2"/>
        <v>3883.9341736585875</v>
      </c>
      <c r="T5" s="34">
        <f t="shared" si="2"/>
        <v>3831.7890035485975</v>
      </c>
      <c r="U5" s="34">
        <f t="shared" si="2"/>
        <v>3782.9664360127035</v>
      </c>
      <c r="V5" s="34">
        <f t="shared" si="2"/>
        <v>3737.1038218256008</v>
      </c>
      <c r="W5" s="34">
        <f t="shared" si="2"/>
        <v>3693.8930475528209</v>
      </c>
      <c r="X5" s="34">
        <f t="shared" si="2"/>
        <v>3653.0702839738501</v>
      </c>
      <c r="Y5" s="34">
        <f t="shared" si="2"/>
        <v>3614.4080144393793</v>
      </c>
      <c r="Z5" s="34">
        <f t="shared" si="2"/>
        <v>3577.7087639996635</v>
      </c>
      <c r="AA5" s="34">
        <f t="shared" si="2"/>
        <v>3542.800114153179</v>
      </c>
      <c r="AB5" s="34">
        <f t="shared" si="2"/>
        <v>3509.5307012066469</v>
      </c>
      <c r="AC5" s="34">
        <f t="shared" si="2"/>
        <v>3477.7669755599313</v>
      </c>
      <c r="AD5" s="34">
        <f t="shared" si="2"/>
        <v>3447.390555671248</v>
      </c>
      <c r="AE5" s="34">
        <f t="shared" si="2"/>
        <v>3418.2960511698725</v>
      </c>
      <c r="AF5" s="34">
        <f t="shared" si="2"/>
        <v>3390.3892593201731</v>
      </c>
      <c r="AG5" s="34">
        <f t="shared" si="2"/>
        <v>3363.5856610148585</v>
      </c>
      <c r="AH5" s="34">
        <f t="shared" si="2"/>
        <v>3337.8091588892048</v>
      </c>
      <c r="AI5" s="34">
        <f t="shared" si="2"/>
        <v>3312.9910125324163</v>
      </c>
      <c r="AJ5" s="34">
        <f t="shared" si="2"/>
        <v>3289.0689352041582</v>
      </c>
      <c r="AK5" s="34">
        <f t="shared" si="2"/>
        <v>3265.9863237109048</v>
      </c>
      <c r="AL5" s="34">
        <f t="shared" si="2"/>
        <v>3243.6915987101593</v>
      </c>
      <c r="AM5" s="34">
        <f t="shared" si="2"/>
        <v>3222.1376370926187</v>
      </c>
      <c r="AN5" s="34">
        <f t="shared" si="2"/>
        <v>3201.2812815379993</v>
      </c>
      <c r="AO5" s="34">
        <f t="shared" si="2"/>
        <v>3181.0829150682025</v>
      </c>
      <c r="AP5" s="34">
        <f t="shared" si="2"/>
        <v>3161.5060905952382</v>
      </c>
      <c r="AQ5" s="34">
        <f t="shared" si="2"/>
        <v>3142.5172072041037</v>
      </c>
      <c r="AR5" s="34">
        <f t="shared" si="2"/>
        <v>3124.0852263161291</v>
      </c>
      <c r="AS5" s="34">
        <f t="shared" si="2"/>
        <v>3106.1814220177857</v>
      </c>
      <c r="AT5" s="34">
        <f t="shared" si="2"/>
        <v>3088.7791607687177</v>
      </c>
      <c r="AU5" s="34">
        <f t="shared" si="2"/>
        <v>3071.8537064634797</v>
      </c>
      <c r="AV5" s="34">
        <f t="shared" si="2"/>
        <v>3055.382047447627</v>
      </c>
      <c r="AW5" s="34">
        <f t="shared" si="2"/>
        <v>3039.3427426063699</v>
      </c>
      <c r="AX5" s="34">
        <f t="shared" si="2"/>
        <v>3023.7157840738182</v>
      </c>
      <c r="AY5" s="34">
        <f t="shared" si="2"/>
        <v>3008.482474469115</v>
      </c>
      <c r="AZ5" s="34">
        <f t="shared" si="2"/>
        <v>2993.6253168656999</v>
      </c>
      <c r="BA5" s="35">
        <f t="shared" si="2"/>
        <v>2979.1279159518585</v>
      </c>
    </row>
    <row r="6" spans="1:53" ht="16.2" thickBot="1" x14ac:dyDescent="0.35">
      <c r="A6" s="27" t="s">
        <v>92</v>
      </c>
      <c r="B6" s="36">
        <f>(2000*7)/7</f>
        <v>2000</v>
      </c>
      <c r="C6" s="36">
        <f>$B6*(VALUE(RIGHT(C$2,2)))^(-0.02)</f>
        <v>1972.4654089867183</v>
      </c>
      <c r="D6" s="36">
        <f t="shared" ref="D6:BA6" si="3">$B6*(VALUE(RIGHT(D$2,2)))^(-0.02)</f>
        <v>1956.534771458342</v>
      </c>
      <c r="E6" s="36">
        <f t="shared" si="3"/>
        <v>1945.3098948245711</v>
      </c>
      <c r="F6" s="36">
        <f t="shared" si="3"/>
        <v>1936.6475714512596</v>
      </c>
      <c r="G6" s="36">
        <f t="shared" si="3"/>
        <v>1929.598579090657</v>
      </c>
      <c r="H6" s="36">
        <f t="shared" si="3"/>
        <v>1923.6587614095988</v>
      </c>
      <c r="I6" s="36">
        <f t="shared" si="3"/>
        <v>1918.5282386505287</v>
      </c>
      <c r="J6" s="36">
        <f t="shared" si="3"/>
        <v>1914.0141559627739</v>
      </c>
      <c r="K6" s="36">
        <f t="shared" si="3"/>
        <v>1909.9851720428717</v>
      </c>
      <c r="L6" s="36">
        <f t="shared" si="3"/>
        <v>1906.3478193082774</v>
      </c>
      <c r="M6" s="36">
        <f>$B6*(VALUE(RIGHT(M$2,2)))^(-0.02)</f>
        <v>1903.0332252431219</v>
      </c>
      <c r="N6" s="36">
        <f t="shared" si="3"/>
        <v>1899.9891837835946</v>
      </c>
      <c r="O6" s="36">
        <f t="shared" si="3"/>
        <v>1897.1751827873345</v>
      </c>
      <c r="P6" s="36">
        <f t="shared" si="3"/>
        <v>1894.5591568023724</v>
      </c>
      <c r="Q6" s="36">
        <f t="shared" si="3"/>
        <v>1892.115293451192</v>
      </c>
      <c r="R6" s="36">
        <f t="shared" si="3"/>
        <v>1889.8225082424747</v>
      </c>
      <c r="S6" s="36">
        <f t="shared" si="3"/>
        <v>1887.6633574737407</v>
      </c>
      <c r="T6" s="36">
        <f t="shared" si="3"/>
        <v>1885.6232464552254</v>
      </c>
      <c r="U6" s="36">
        <f t="shared" si="3"/>
        <v>1883.6898417660555</v>
      </c>
      <c r="V6" s="36">
        <f t="shared" si="3"/>
        <v>1881.8526275591835</v>
      </c>
      <c r="W6" s="36">
        <f t="shared" si="3"/>
        <v>1880.1025655414201</v>
      </c>
      <c r="X6" s="36">
        <f t="shared" si="3"/>
        <v>1878.4318308654294</v>
      </c>
      <c r="Y6" s="36">
        <f t="shared" si="3"/>
        <v>1876.8336044722441</v>
      </c>
      <c r="Z6" s="36">
        <f t="shared" si="3"/>
        <v>1875.301908004031</v>
      </c>
      <c r="AA6" s="36">
        <f t="shared" si="3"/>
        <v>1873.8314712310246</v>
      </c>
      <c r="AB6" s="36">
        <f t="shared" si="3"/>
        <v>1872.4176246023287</v>
      </c>
      <c r="AC6" s="36">
        <f t="shared" si="3"/>
        <v>1871.0562114180359</v>
      </c>
      <c r="AD6" s="36">
        <f t="shared" si="3"/>
        <v>1869.7435154762538</v>
      </c>
      <c r="AE6" s="36">
        <f t="shared" si="3"/>
        <v>1868.4762010358615</v>
      </c>
      <c r="AF6" s="36">
        <f t="shared" si="3"/>
        <v>1867.2512626632654</v>
      </c>
      <c r="AG6" s="36">
        <f t="shared" si="3"/>
        <v>1866.0659830736149</v>
      </c>
      <c r="AH6" s="36">
        <f t="shared" si="3"/>
        <v>1864.917897485215</v>
      </c>
      <c r="AI6" s="36">
        <f t="shared" si="3"/>
        <v>1863.8047633163992</v>
      </c>
      <c r="AJ6" s="36">
        <f t="shared" si="3"/>
        <v>1862.7245342924191</v>
      </c>
      <c r="AK6" s="36">
        <f t="shared" si="3"/>
        <v>1861.675338214342</v>
      </c>
      <c r="AL6" s="36">
        <f t="shared" si="3"/>
        <v>1860.6554577858703</v>
      </c>
      <c r="AM6" s="36">
        <f t="shared" si="3"/>
        <v>1859.6633140070851</v>
      </c>
      <c r="AN6" s="36">
        <f t="shared" si="3"/>
        <v>1858.6974517336789</v>
      </c>
      <c r="AO6" s="36">
        <f t="shared" si="3"/>
        <v>1857.7565270716048</v>
      </c>
      <c r="AP6" s="36">
        <f t="shared" si="3"/>
        <v>1856.8392963342751</v>
      </c>
      <c r="AQ6" s="36">
        <f t="shared" si="3"/>
        <v>1855.9446063356277</v>
      </c>
      <c r="AR6" s="36">
        <f t="shared" si="3"/>
        <v>1855.0713858298161</v>
      </c>
      <c r="AS6" s="36">
        <f t="shared" si="3"/>
        <v>1854.2186379388179</v>
      </c>
      <c r="AT6" s="36">
        <f t="shared" si="3"/>
        <v>1853.3854334343193</v>
      </c>
      <c r="AU6" s="36">
        <f t="shared" si="3"/>
        <v>1852.570904760825</v>
      </c>
      <c r="AV6" s="36">
        <f t="shared" si="3"/>
        <v>1851.7742407040305</v>
      </c>
      <c r="AW6" s="36">
        <f t="shared" si="3"/>
        <v>1850.9946816226807</v>
      </c>
      <c r="AX6" s="36">
        <f t="shared" si="3"/>
        <v>1850.231515173956</v>
      </c>
      <c r="AY6" s="36">
        <f t="shared" si="3"/>
        <v>1849.484072472372</v>
      </c>
      <c r="AZ6" s="36">
        <f t="shared" si="3"/>
        <v>1848.751724630511</v>
      </c>
      <c r="BA6" s="37">
        <f t="shared" si="3"/>
        <v>1848.0338796369435</v>
      </c>
    </row>
    <row r="7" spans="1:53" x14ac:dyDescent="0.3">
      <c r="B7" s="44"/>
      <c r="C7" s="45"/>
    </row>
    <row r="9" spans="1:53" x14ac:dyDescent="0.3">
      <c r="B9" s="45"/>
    </row>
    <row r="10" spans="1:53" x14ac:dyDescent="0.3">
      <c r="B10" s="45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6"/>
  <sheetViews>
    <sheetView workbookViewId="0">
      <selection activeCell="D22" sqref="D22"/>
    </sheetView>
  </sheetViews>
  <sheetFormatPr defaultColWidth="9.109375" defaultRowHeight="15.6" x14ac:dyDescent="0.3"/>
  <cols>
    <col min="1" max="1" width="17.109375" style="6" customWidth="1"/>
    <col min="2" max="2" width="14.109375" style="1" bestFit="1" customWidth="1"/>
    <col min="3" max="13" width="9.109375" style="1"/>
    <col min="14" max="15" width="11.109375" style="1" bestFit="1" customWidth="1"/>
    <col min="16" max="23" width="10.109375" style="1" bestFit="1" customWidth="1"/>
    <col min="24" max="16384" width="9.109375" style="1"/>
  </cols>
  <sheetData>
    <row r="1" spans="1:53" ht="16.2" thickBot="1" x14ac:dyDescent="0.35">
      <c r="A1" s="1" t="str">
        <f>_xlfn.CONCAT( "Table of Flowback Rate Forecasts by Pads [",VLOOKUP("volume", Units!$A$2:$B$9, 2, FALSE),"/", VLOOKUP("time", Units!$A$2:$B$9, 2, FALSE),"]")</f>
        <v>Table of Flowback Rate Forecasts by Pads [bbl/day]</v>
      </c>
    </row>
    <row r="2" spans="1:53" s="6" customFormat="1" x14ac:dyDescent="0.3">
      <c r="A2" s="4" t="s">
        <v>158</v>
      </c>
      <c r="B2" s="5" t="s">
        <v>181</v>
      </c>
      <c r="C2" s="5" t="s">
        <v>182</v>
      </c>
      <c r="D2" s="5" t="s">
        <v>183</v>
      </c>
      <c r="E2" s="5" t="s">
        <v>184</v>
      </c>
      <c r="F2" s="5" t="s">
        <v>185</v>
      </c>
      <c r="G2" s="5" t="s">
        <v>186</v>
      </c>
      <c r="H2" s="5" t="s">
        <v>187</v>
      </c>
      <c r="I2" s="5" t="s">
        <v>188</v>
      </c>
      <c r="J2" s="5" t="s">
        <v>189</v>
      </c>
      <c r="K2" s="5" t="s">
        <v>190</v>
      </c>
      <c r="L2" s="5" t="s">
        <v>191</v>
      </c>
      <c r="M2" s="5" t="s">
        <v>192</v>
      </c>
      <c r="N2" s="5" t="s">
        <v>193</v>
      </c>
      <c r="O2" s="5" t="s">
        <v>194</v>
      </c>
      <c r="P2" s="5" t="s">
        <v>195</v>
      </c>
      <c r="Q2" s="5" t="s">
        <v>196</v>
      </c>
      <c r="R2" s="5" t="s">
        <v>197</v>
      </c>
      <c r="S2" s="5" t="s">
        <v>198</v>
      </c>
      <c r="T2" s="5" t="s">
        <v>199</v>
      </c>
      <c r="U2" s="5" t="s">
        <v>200</v>
      </c>
      <c r="V2" s="5" t="s">
        <v>201</v>
      </c>
      <c r="W2" s="5" t="s">
        <v>202</v>
      </c>
      <c r="X2" s="5" t="s">
        <v>203</v>
      </c>
      <c r="Y2" s="5" t="s">
        <v>204</v>
      </c>
      <c r="Z2" s="5" t="s">
        <v>205</v>
      </c>
      <c r="AA2" s="5" t="s">
        <v>206</v>
      </c>
      <c r="AB2" s="5" t="s">
        <v>207</v>
      </c>
      <c r="AC2" s="5" t="s">
        <v>208</v>
      </c>
      <c r="AD2" s="5" t="s">
        <v>209</v>
      </c>
      <c r="AE2" s="5" t="s">
        <v>210</v>
      </c>
      <c r="AF2" s="5" t="s">
        <v>211</v>
      </c>
      <c r="AG2" s="5" t="s">
        <v>212</v>
      </c>
      <c r="AH2" s="5" t="s">
        <v>213</v>
      </c>
      <c r="AI2" s="5" t="s">
        <v>214</v>
      </c>
      <c r="AJ2" s="5" t="s">
        <v>215</v>
      </c>
      <c r="AK2" s="5" t="s">
        <v>216</v>
      </c>
      <c r="AL2" s="5" t="s">
        <v>217</v>
      </c>
      <c r="AM2" s="5" t="s">
        <v>218</v>
      </c>
      <c r="AN2" s="5" t="s">
        <v>219</v>
      </c>
      <c r="AO2" s="5" t="s">
        <v>220</v>
      </c>
      <c r="AP2" s="5" t="s">
        <v>221</v>
      </c>
      <c r="AQ2" s="5" t="s">
        <v>222</v>
      </c>
      <c r="AR2" s="5" t="s">
        <v>223</v>
      </c>
      <c r="AS2" s="5" t="s">
        <v>224</v>
      </c>
      <c r="AT2" s="5" t="s">
        <v>225</v>
      </c>
      <c r="AU2" s="5" t="s">
        <v>226</v>
      </c>
      <c r="AV2" s="5" t="s">
        <v>227</v>
      </c>
      <c r="AW2" s="5" t="s">
        <v>228</v>
      </c>
      <c r="AX2" s="5" t="s">
        <v>229</v>
      </c>
      <c r="AY2" s="5" t="s">
        <v>230</v>
      </c>
      <c r="AZ2" s="5" t="s">
        <v>231</v>
      </c>
      <c r="BA2" s="25" t="s">
        <v>232</v>
      </c>
    </row>
    <row r="3" spans="1:53" ht="16.2" thickBot="1" x14ac:dyDescent="0.35">
      <c r="A3" s="27" t="s">
        <v>109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36">
        <f>8*4000</f>
        <v>32000</v>
      </c>
      <c r="O3" s="36">
        <f>$N3*(VALUE(RIGHT(C$2,2)))^(-0.35)</f>
        <v>25106.691132696025</v>
      </c>
      <c r="P3" s="36">
        <f t="shared" ref="P3:AS3" si="0">$N3*(VALUE(RIGHT(D$2,2)))^(-0.35)</f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v>0</v>
      </c>
      <c r="AU3" s="36">
        <v>0</v>
      </c>
      <c r="AV3" s="36">
        <v>0</v>
      </c>
      <c r="AW3" s="36">
        <v>0</v>
      </c>
      <c r="AX3" s="36">
        <v>0</v>
      </c>
      <c r="AY3" s="36">
        <v>0</v>
      </c>
      <c r="AZ3" s="36">
        <v>0</v>
      </c>
      <c r="BA3" s="36">
        <v>0</v>
      </c>
    </row>
    <row r="5" spans="1:53" x14ac:dyDescent="0.3">
      <c r="F5" s="10"/>
    </row>
    <row r="6" spans="1:53" x14ac:dyDescent="0.3">
      <c r="A6" s="1"/>
      <c r="B6" s="45"/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D9FF4-C8AE-E447-83C9-FAC946CFDB3E}">
  <dimension ref="A1:B3"/>
  <sheetViews>
    <sheetView workbookViewId="0">
      <selection activeCell="B3" sqref="B3"/>
    </sheetView>
  </sheetViews>
  <sheetFormatPr defaultColWidth="11.5546875" defaultRowHeight="14.4" x14ac:dyDescent="0.3"/>
  <sheetData>
    <row r="1" spans="1:2" ht="16.2" thickBot="1" x14ac:dyDescent="0.35">
      <c r="A1" s="1" t="str">
        <f>_xlfn.CONCAT( "Table of Initial Storage Volume [",VLOOKUP("volume", Units!$A$2:$B$9, 2, FALSE),"]")</f>
        <v>Table of Initial Storage Volume [bbl]</v>
      </c>
      <c r="B1" s="1"/>
    </row>
    <row r="2" spans="1:2" ht="15.6" x14ac:dyDescent="0.3">
      <c r="A2" s="4" t="s">
        <v>173</v>
      </c>
      <c r="B2" s="25" t="s">
        <v>46</v>
      </c>
    </row>
    <row r="3" spans="1:2" ht="16.2" thickBot="1" x14ac:dyDescent="0.35">
      <c r="A3" s="27" t="s">
        <v>117</v>
      </c>
      <c r="B3" s="37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EAFC2-564D-499D-9B5C-69824E492162}">
  <sheetPr>
    <tabColor rgb="FFD9C6FE"/>
  </sheetPr>
  <dimension ref="A1:P21"/>
  <sheetViews>
    <sheetView showZeros="0" zoomScaleNormal="100" workbookViewId="0">
      <selection activeCell="D24" sqref="D24"/>
    </sheetView>
  </sheetViews>
  <sheetFormatPr defaultColWidth="9.109375" defaultRowHeight="15.6" x14ac:dyDescent="0.3"/>
  <cols>
    <col min="1" max="16384" width="9.109375" style="1"/>
  </cols>
  <sheetData>
    <row r="1" spans="1:16" ht="16.2" thickBot="1" x14ac:dyDescent="0.35">
      <c r="A1" s="1" t="str">
        <f>_xlfn.CONCAT( "Table of Initial Pipeline Capacity between Sites [",VLOOKUP("volume", Units!$A$2:$B$9, 2, FALSE),"/", VLOOKUP("time", Units!$A$2:$B$9, 2, FALSE),"]")</f>
        <v>Table of Initial Pipeline Capacity between Sites [bbl/day]</v>
      </c>
    </row>
    <row r="2" spans="1:16" x14ac:dyDescent="0.3">
      <c r="A2" s="4" t="s">
        <v>233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79" t="s">
        <v>133</v>
      </c>
      <c r="K2" s="5" t="s">
        <v>111</v>
      </c>
      <c r="L2" s="79" t="s">
        <v>112</v>
      </c>
      <c r="M2" s="5" t="s">
        <v>119</v>
      </c>
      <c r="N2" s="79" t="s">
        <v>120</v>
      </c>
      <c r="O2" s="84" t="s">
        <v>117</v>
      </c>
      <c r="P2" s="25" t="s">
        <v>109</v>
      </c>
    </row>
    <row r="3" spans="1:16" x14ac:dyDescent="0.3">
      <c r="A3" s="26" t="s">
        <v>89</v>
      </c>
      <c r="B3" s="1">
        <v>142.06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</row>
    <row r="4" spans="1:16" x14ac:dyDescent="0.3">
      <c r="A4" s="26" t="s">
        <v>90</v>
      </c>
      <c r="B4" s="1">
        <v>0</v>
      </c>
      <c r="C4" s="1">
        <v>0</v>
      </c>
      <c r="D4" s="1">
        <v>0</v>
      </c>
      <c r="E4" s="1">
        <v>0</v>
      </c>
      <c r="F4" s="1">
        <v>142.06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</row>
    <row r="5" spans="1:16" x14ac:dyDescent="0.3">
      <c r="A5" s="26" t="s">
        <v>91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142.06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x14ac:dyDescent="0.3">
      <c r="A6" s="70" t="s">
        <v>92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142.85714285714286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x14ac:dyDescent="0.3">
      <c r="A7" s="70" t="s">
        <v>109</v>
      </c>
      <c r="C7" s="1">
        <v>0</v>
      </c>
      <c r="D7" s="1">
        <v>0</v>
      </c>
      <c r="E7" s="1">
        <v>0</v>
      </c>
      <c r="G7" s="1">
        <v>0</v>
      </c>
      <c r="H7" s="1">
        <v>0</v>
      </c>
      <c r="I7" s="1">
        <v>428.57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x14ac:dyDescent="0.3">
      <c r="A8" s="26" t="s">
        <v>125</v>
      </c>
      <c r="B8" s="1">
        <v>0</v>
      </c>
      <c r="C8" s="1">
        <v>428.57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428.57</v>
      </c>
      <c r="L8" s="1">
        <v>0</v>
      </c>
      <c r="M8" s="1">
        <v>0</v>
      </c>
      <c r="N8" s="1">
        <v>0</v>
      </c>
      <c r="O8" s="1">
        <v>0</v>
      </c>
      <c r="P8" s="1">
        <v>428.57</v>
      </c>
    </row>
    <row r="9" spans="1:16" x14ac:dyDescent="0.3">
      <c r="A9" s="26" t="s">
        <v>126</v>
      </c>
      <c r="B9" s="1">
        <v>428.57</v>
      </c>
      <c r="C9" s="1">
        <v>0</v>
      </c>
      <c r="D9" s="1">
        <v>428.57</v>
      </c>
      <c r="E9" s="1">
        <v>0</v>
      </c>
      <c r="F9" s="1">
        <v>428.57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</row>
    <row r="10" spans="1:16" x14ac:dyDescent="0.3">
      <c r="A10" s="26" t="s">
        <v>127</v>
      </c>
      <c r="B10" s="1">
        <v>0</v>
      </c>
      <c r="C10" s="1">
        <v>428.57</v>
      </c>
      <c r="D10" s="1">
        <v>0</v>
      </c>
      <c r="E10" s="1">
        <v>428.57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142.86000000000001</v>
      </c>
      <c r="N10" s="1">
        <v>0</v>
      </c>
      <c r="O10" s="1">
        <v>0</v>
      </c>
      <c r="P10" s="1">
        <v>0</v>
      </c>
    </row>
    <row r="11" spans="1:16" x14ac:dyDescent="0.3">
      <c r="A11" s="26" t="s">
        <v>128</v>
      </c>
      <c r="B11" s="1">
        <v>0</v>
      </c>
      <c r="C11" s="1">
        <v>0</v>
      </c>
      <c r="D11" s="1">
        <v>428.57</v>
      </c>
      <c r="E11" s="1">
        <v>0</v>
      </c>
      <c r="F11" s="1">
        <v>0</v>
      </c>
      <c r="G11" s="1">
        <v>428.57</v>
      </c>
      <c r="H11" s="1">
        <v>0</v>
      </c>
      <c r="I11" s="1">
        <v>0</v>
      </c>
      <c r="J11" s="1">
        <v>0</v>
      </c>
      <c r="K11" s="1">
        <v>0</v>
      </c>
      <c r="L11" s="1">
        <v>428.57</v>
      </c>
      <c r="M11" s="1">
        <v>0</v>
      </c>
      <c r="N11" s="1">
        <v>0</v>
      </c>
      <c r="O11" s="1">
        <v>0</v>
      </c>
      <c r="P11" s="1">
        <v>0</v>
      </c>
    </row>
    <row r="12" spans="1:16" x14ac:dyDescent="0.3">
      <c r="A12" s="26" t="s">
        <v>129</v>
      </c>
      <c r="B12" s="1">
        <v>0</v>
      </c>
      <c r="C12" s="1">
        <v>428.57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428.57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428.57</v>
      </c>
    </row>
    <row r="13" spans="1:16" x14ac:dyDescent="0.3">
      <c r="A13" s="26" t="s">
        <v>130</v>
      </c>
      <c r="B13" s="1">
        <v>0</v>
      </c>
      <c r="C13" s="1">
        <v>0</v>
      </c>
      <c r="D13" s="1">
        <v>0</v>
      </c>
      <c r="E13" s="1">
        <v>428.57</v>
      </c>
      <c r="F13" s="1">
        <v>0</v>
      </c>
      <c r="G13" s="1">
        <v>0</v>
      </c>
      <c r="H13" s="1">
        <v>428.57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</row>
    <row r="14" spans="1:16" x14ac:dyDescent="0.3">
      <c r="A14" s="26" t="s">
        <v>131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428.57</v>
      </c>
      <c r="H14" s="1">
        <v>0</v>
      </c>
      <c r="I14" s="1">
        <v>428.57</v>
      </c>
      <c r="J14" s="1">
        <v>357.14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</row>
    <row r="15" spans="1:16" x14ac:dyDescent="0.3">
      <c r="A15" s="26" t="s">
        <v>132</v>
      </c>
      <c r="B15" s="1">
        <v>0</v>
      </c>
      <c r="C15" s="1">
        <v>0</v>
      </c>
      <c r="D15" s="1">
        <v>0</v>
      </c>
      <c r="E15" s="1">
        <v>0</v>
      </c>
      <c r="F15" s="1">
        <v>428.57</v>
      </c>
      <c r="G15" s="1">
        <v>0</v>
      </c>
      <c r="H15" s="1">
        <v>428.57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</row>
    <row r="16" spans="1:16" x14ac:dyDescent="0.3">
      <c r="A16" s="70" t="s">
        <v>133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357.14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357.14</v>
      </c>
      <c r="O16" s="1">
        <v>0</v>
      </c>
      <c r="P16" s="1">
        <v>0</v>
      </c>
    </row>
    <row r="17" spans="1:16" x14ac:dyDescent="0.3">
      <c r="A17" s="70" t="s">
        <v>117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142.86000000000001</v>
      </c>
    </row>
    <row r="18" spans="1:16" x14ac:dyDescent="0.3">
      <c r="A18" s="26" t="s">
        <v>114</v>
      </c>
      <c r="B18" s="1">
        <v>0</v>
      </c>
      <c r="C18" s="1">
        <v>0</v>
      </c>
      <c r="D18" s="1">
        <v>428.57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428.57</v>
      </c>
    </row>
    <row r="19" spans="1:16" x14ac:dyDescent="0.3">
      <c r="A19" s="70" t="s">
        <v>115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428.57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428.57</v>
      </c>
    </row>
    <row r="20" spans="1:16" x14ac:dyDescent="0.3">
      <c r="A20" s="26" t="s">
        <v>119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</row>
    <row r="21" spans="1:16" ht="16.2" thickBot="1" x14ac:dyDescent="0.35">
      <c r="A21" s="27" t="s">
        <v>120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714.29</v>
      </c>
      <c r="P21" s="1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4"/>
  <sheetViews>
    <sheetView workbookViewId="0">
      <selection activeCell="B3" sqref="B3"/>
    </sheetView>
  </sheetViews>
  <sheetFormatPr defaultColWidth="9.109375" defaultRowHeight="15.6" x14ac:dyDescent="0.3"/>
  <cols>
    <col min="1" max="1" width="12.109375" style="1" customWidth="1"/>
    <col min="2" max="16384" width="9.109375" style="1"/>
  </cols>
  <sheetData>
    <row r="1" spans="1:2" ht="16.2" thickBot="1" x14ac:dyDescent="0.35">
      <c r="A1" s="1" t="str">
        <f>_xlfn.CONCAT( "Table of Initial Disposal Capacity [",VLOOKUP("volume", Units!$A$2:$B$9, 2, FALSE),"/", VLOOKUP("time", Units!$A$2:$B$9, 2, FALSE),"]")</f>
        <v>Table of Initial Disposal Capacity [bbl/day]</v>
      </c>
    </row>
    <row r="2" spans="1:2" s="6" customFormat="1" x14ac:dyDescent="0.3">
      <c r="A2" s="4" t="s">
        <v>234</v>
      </c>
      <c r="B2" s="25" t="s">
        <v>46</v>
      </c>
    </row>
    <row r="3" spans="1:2" x14ac:dyDescent="0.3">
      <c r="A3" s="26" t="s">
        <v>111</v>
      </c>
      <c r="B3" s="35">
        <v>50000</v>
      </c>
    </row>
    <row r="4" spans="1:2" ht="16.2" thickBot="1" x14ac:dyDescent="0.35">
      <c r="A4" s="27" t="s">
        <v>112</v>
      </c>
      <c r="B4" s="35">
        <v>50000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3"/>
  <sheetViews>
    <sheetView workbookViewId="0">
      <selection activeCell="B3" sqref="B3"/>
    </sheetView>
  </sheetViews>
  <sheetFormatPr defaultColWidth="9.109375" defaultRowHeight="15.6" x14ac:dyDescent="0.3"/>
  <cols>
    <col min="1" max="1" width="14.44140625" style="1" customWidth="1"/>
    <col min="2" max="2" width="9.109375" style="1" customWidth="1"/>
    <col min="3" max="16384" width="9.109375" style="1"/>
  </cols>
  <sheetData>
    <row r="1" spans="1:2" ht="16.2" thickBot="1" x14ac:dyDescent="0.35">
      <c r="A1" s="1" t="s">
        <v>272</v>
      </c>
    </row>
    <row r="2" spans="1:2" s="6" customFormat="1" x14ac:dyDescent="0.3">
      <c r="A2" s="4" t="s">
        <v>173</v>
      </c>
      <c r="B2" s="25" t="s">
        <v>46</v>
      </c>
    </row>
    <row r="3" spans="1:2" ht="16.2" thickBot="1" x14ac:dyDescent="0.35">
      <c r="A3" s="27" t="s">
        <v>117</v>
      </c>
      <c r="B3" s="37">
        <v>300000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B4"/>
  <sheetViews>
    <sheetView workbookViewId="0">
      <selection activeCell="B4" sqref="B4"/>
    </sheetView>
  </sheetViews>
  <sheetFormatPr defaultColWidth="9.109375" defaultRowHeight="15.6" x14ac:dyDescent="0.3"/>
  <cols>
    <col min="1" max="1" width="16.109375" style="1" customWidth="1"/>
    <col min="2" max="16384" width="9.109375" style="1"/>
  </cols>
  <sheetData>
    <row r="1" spans="1:2" ht="16.2" thickBot="1" x14ac:dyDescent="0.35">
      <c r="A1" s="1" t="str">
        <f>_xlfn.CONCAT( "Table of Initial Treatment Capacity [",VLOOKUP("volume", Units!$A$2:$B$9, 2, FALSE),"/", VLOOKUP("time", Units!$A$2:$B$9, 2, FALSE),"]")</f>
        <v>Table of Initial Treatment Capacity [bbl/day]</v>
      </c>
    </row>
    <row r="2" spans="1:2" x14ac:dyDescent="0.3">
      <c r="A2" s="4" t="s">
        <v>170</v>
      </c>
      <c r="B2" s="72" t="s">
        <v>46</v>
      </c>
    </row>
    <row r="3" spans="1:2" x14ac:dyDescent="0.3">
      <c r="A3" s="26" t="s">
        <v>119</v>
      </c>
      <c r="B3" s="71">
        <v>10868.8</v>
      </c>
    </row>
    <row r="4" spans="1:2" ht="16.2" thickBot="1" x14ac:dyDescent="0.35">
      <c r="A4" s="27" t="s">
        <v>120</v>
      </c>
      <c r="B4" s="43">
        <v>10868.8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L12" sqref="L12"/>
    </sheetView>
  </sheetViews>
  <sheetFormatPr defaultColWidth="9.109375" defaultRowHeight="15.6" x14ac:dyDescent="0.3"/>
  <cols>
    <col min="1" max="1" width="19.109375" style="1" customWidth="1"/>
    <col min="2" max="16384" width="9.109375" style="1"/>
  </cols>
  <sheetData>
    <row r="1" spans="1:53" ht="16.2" thickBot="1" x14ac:dyDescent="0.35">
      <c r="A1" s="1" t="str">
        <f>_xlfn.CONCAT( "Table of Freshwater Sourcing Availability [",VLOOKUP("volume", Units!$A$2:$B$9, 2, FALSE),"/", VLOOKUP("time", Units!$A$2:$B$9, 2, FALSE),"]")</f>
        <v>Table of Freshwater Sourcing Availability [bbl/day]</v>
      </c>
      <c r="E1" s="1" t="s">
        <v>114</v>
      </c>
      <c r="F1" s="1">
        <v>71428.571428571406</v>
      </c>
      <c r="H1" s="1" t="s">
        <v>115</v>
      </c>
      <c r="I1" s="1">
        <v>42857.142857142899</v>
      </c>
      <c r="K1" s="1" t="s">
        <v>253</v>
      </c>
      <c r="L1" s="1">
        <v>0.7</v>
      </c>
    </row>
    <row r="2" spans="1:53" s="6" customFormat="1" x14ac:dyDescent="0.3">
      <c r="A2" s="4" t="s">
        <v>168</v>
      </c>
      <c r="B2" s="5" t="s">
        <v>181</v>
      </c>
      <c r="C2" s="5" t="s">
        <v>182</v>
      </c>
      <c r="D2" s="5" t="s">
        <v>183</v>
      </c>
      <c r="E2" s="5" t="s">
        <v>184</v>
      </c>
      <c r="F2" s="5" t="s">
        <v>185</v>
      </c>
      <c r="G2" s="5" t="s">
        <v>186</v>
      </c>
      <c r="H2" s="5" t="s">
        <v>187</v>
      </c>
      <c r="I2" s="5" t="s">
        <v>188</v>
      </c>
      <c r="J2" s="5" t="s">
        <v>189</v>
      </c>
      <c r="K2" s="5" t="s">
        <v>190</v>
      </c>
      <c r="L2" s="5" t="s">
        <v>191</v>
      </c>
      <c r="M2" s="5" t="s">
        <v>192</v>
      </c>
      <c r="N2" s="5" t="s">
        <v>193</v>
      </c>
      <c r="O2" s="5" t="s">
        <v>194</v>
      </c>
      <c r="P2" s="5" t="s">
        <v>195</v>
      </c>
      <c r="Q2" s="5" t="s">
        <v>196</v>
      </c>
      <c r="R2" s="5" t="s">
        <v>197</v>
      </c>
      <c r="S2" s="5" t="s">
        <v>198</v>
      </c>
      <c r="T2" s="5" t="s">
        <v>199</v>
      </c>
      <c r="U2" s="5" t="s">
        <v>200</v>
      </c>
      <c r="V2" s="5" t="s">
        <v>201</v>
      </c>
      <c r="W2" s="5" t="s">
        <v>202</v>
      </c>
      <c r="X2" s="5" t="s">
        <v>203</v>
      </c>
      <c r="Y2" s="5" t="s">
        <v>204</v>
      </c>
      <c r="Z2" s="5" t="s">
        <v>205</v>
      </c>
      <c r="AA2" s="5" t="s">
        <v>206</v>
      </c>
      <c r="AB2" s="5" t="s">
        <v>207</v>
      </c>
      <c r="AC2" s="5" t="s">
        <v>208</v>
      </c>
      <c r="AD2" s="5" t="s">
        <v>209</v>
      </c>
      <c r="AE2" s="5" t="s">
        <v>210</v>
      </c>
      <c r="AF2" s="5" t="s">
        <v>211</v>
      </c>
      <c r="AG2" s="5" t="s">
        <v>212</v>
      </c>
      <c r="AH2" s="5" t="s">
        <v>213</v>
      </c>
      <c r="AI2" s="5" t="s">
        <v>214</v>
      </c>
      <c r="AJ2" s="5" t="s">
        <v>215</v>
      </c>
      <c r="AK2" s="5" t="s">
        <v>216</v>
      </c>
      <c r="AL2" s="5" t="s">
        <v>217</v>
      </c>
      <c r="AM2" s="5" t="s">
        <v>218</v>
      </c>
      <c r="AN2" s="5" t="s">
        <v>219</v>
      </c>
      <c r="AO2" s="5" t="s">
        <v>220</v>
      </c>
      <c r="AP2" s="5" t="s">
        <v>221</v>
      </c>
      <c r="AQ2" s="5" t="s">
        <v>222</v>
      </c>
      <c r="AR2" s="5" t="s">
        <v>223</v>
      </c>
      <c r="AS2" s="5" t="s">
        <v>224</v>
      </c>
      <c r="AT2" s="5" t="s">
        <v>225</v>
      </c>
      <c r="AU2" s="5" t="s">
        <v>226</v>
      </c>
      <c r="AV2" s="5" t="s">
        <v>227</v>
      </c>
      <c r="AW2" s="5" t="s">
        <v>228</v>
      </c>
      <c r="AX2" s="5" t="s">
        <v>229</v>
      </c>
      <c r="AY2" s="5" t="s">
        <v>230</v>
      </c>
      <c r="AZ2" s="5" t="s">
        <v>231</v>
      </c>
      <c r="BA2" s="25" t="s">
        <v>232</v>
      </c>
    </row>
    <row r="3" spans="1:53" s="6" customFormat="1" x14ac:dyDescent="0.3">
      <c r="A3" s="26" t="s">
        <v>114</v>
      </c>
      <c r="B3" s="34">
        <f>$F$1*$L$1</f>
        <v>49999.999999999978</v>
      </c>
      <c r="C3" s="34">
        <f t="shared" ref="C3:BA3" si="0">$F$1*$L$1</f>
        <v>49999.999999999978</v>
      </c>
      <c r="D3" s="34">
        <f t="shared" si="0"/>
        <v>49999.999999999978</v>
      </c>
      <c r="E3" s="34">
        <f t="shared" si="0"/>
        <v>49999.999999999978</v>
      </c>
      <c r="F3" s="34">
        <f t="shared" si="0"/>
        <v>49999.999999999978</v>
      </c>
      <c r="G3" s="34">
        <f t="shared" si="0"/>
        <v>49999.999999999978</v>
      </c>
      <c r="H3" s="34">
        <f t="shared" si="0"/>
        <v>49999.999999999978</v>
      </c>
      <c r="I3" s="34">
        <f t="shared" si="0"/>
        <v>49999.999999999978</v>
      </c>
      <c r="J3" s="34">
        <f t="shared" si="0"/>
        <v>49999.999999999978</v>
      </c>
      <c r="K3" s="34">
        <f t="shared" si="0"/>
        <v>49999.999999999978</v>
      </c>
      <c r="L3" s="34">
        <f t="shared" si="0"/>
        <v>49999.999999999978</v>
      </c>
      <c r="M3" s="34">
        <f t="shared" si="0"/>
        <v>49999.999999999978</v>
      </c>
      <c r="N3" s="34">
        <f t="shared" si="0"/>
        <v>49999.999999999978</v>
      </c>
      <c r="O3" s="34">
        <f t="shared" si="0"/>
        <v>49999.999999999978</v>
      </c>
      <c r="P3" s="34">
        <f t="shared" si="0"/>
        <v>49999.999999999978</v>
      </c>
      <c r="Q3" s="34">
        <f t="shared" si="0"/>
        <v>49999.999999999978</v>
      </c>
      <c r="R3" s="34">
        <f t="shared" si="0"/>
        <v>49999.999999999978</v>
      </c>
      <c r="S3" s="34">
        <f t="shared" si="0"/>
        <v>49999.999999999978</v>
      </c>
      <c r="T3" s="34">
        <f t="shared" si="0"/>
        <v>49999.999999999978</v>
      </c>
      <c r="U3" s="34">
        <f t="shared" si="0"/>
        <v>49999.999999999978</v>
      </c>
      <c r="V3" s="34">
        <f t="shared" si="0"/>
        <v>49999.999999999978</v>
      </c>
      <c r="W3" s="34">
        <f t="shared" si="0"/>
        <v>49999.999999999978</v>
      </c>
      <c r="X3" s="34">
        <f t="shared" si="0"/>
        <v>49999.999999999978</v>
      </c>
      <c r="Y3" s="34">
        <f t="shared" si="0"/>
        <v>49999.999999999978</v>
      </c>
      <c r="Z3" s="34">
        <f t="shared" si="0"/>
        <v>49999.999999999978</v>
      </c>
      <c r="AA3" s="34">
        <f t="shared" si="0"/>
        <v>49999.999999999978</v>
      </c>
      <c r="AB3" s="34">
        <f t="shared" si="0"/>
        <v>49999.999999999978</v>
      </c>
      <c r="AC3" s="34">
        <f t="shared" si="0"/>
        <v>49999.999999999978</v>
      </c>
      <c r="AD3" s="34">
        <f t="shared" si="0"/>
        <v>49999.999999999978</v>
      </c>
      <c r="AE3" s="34">
        <f t="shared" si="0"/>
        <v>49999.999999999978</v>
      </c>
      <c r="AF3" s="34">
        <f t="shared" si="0"/>
        <v>49999.999999999978</v>
      </c>
      <c r="AG3" s="34">
        <f t="shared" si="0"/>
        <v>49999.999999999978</v>
      </c>
      <c r="AH3" s="34">
        <f t="shared" si="0"/>
        <v>49999.999999999978</v>
      </c>
      <c r="AI3" s="34">
        <f t="shared" si="0"/>
        <v>49999.999999999978</v>
      </c>
      <c r="AJ3" s="34">
        <f t="shared" si="0"/>
        <v>49999.999999999978</v>
      </c>
      <c r="AK3" s="34">
        <f t="shared" si="0"/>
        <v>49999.999999999978</v>
      </c>
      <c r="AL3" s="34">
        <f t="shared" si="0"/>
        <v>49999.999999999978</v>
      </c>
      <c r="AM3" s="34">
        <f t="shared" si="0"/>
        <v>49999.999999999978</v>
      </c>
      <c r="AN3" s="34">
        <f t="shared" si="0"/>
        <v>49999.999999999978</v>
      </c>
      <c r="AO3" s="34">
        <f t="shared" si="0"/>
        <v>49999.999999999978</v>
      </c>
      <c r="AP3" s="34">
        <f t="shared" si="0"/>
        <v>49999.999999999978</v>
      </c>
      <c r="AQ3" s="34">
        <f t="shared" si="0"/>
        <v>49999.999999999978</v>
      </c>
      <c r="AR3" s="34">
        <f t="shared" si="0"/>
        <v>49999.999999999978</v>
      </c>
      <c r="AS3" s="34">
        <f t="shared" si="0"/>
        <v>49999.999999999978</v>
      </c>
      <c r="AT3" s="34">
        <f t="shared" si="0"/>
        <v>49999.999999999978</v>
      </c>
      <c r="AU3" s="34">
        <f t="shared" si="0"/>
        <v>49999.999999999978</v>
      </c>
      <c r="AV3" s="34">
        <f t="shared" si="0"/>
        <v>49999.999999999978</v>
      </c>
      <c r="AW3" s="34">
        <f t="shared" si="0"/>
        <v>49999.999999999978</v>
      </c>
      <c r="AX3" s="34">
        <f t="shared" si="0"/>
        <v>49999.999999999978</v>
      </c>
      <c r="AY3" s="34">
        <f t="shared" si="0"/>
        <v>49999.999999999978</v>
      </c>
      <c r="AZ3" s="34">
        <f t="shared" si="0"/>
        <v>49999.999999999978</v>
      </c>
      <c r="BA3" s="35">
        <f t="shared" si="0"/>
        <v>49999.999999999978</v>
      </c>
    </row>
    <row r="4" spans="1:53" ht="16.2" thickBot="1" x14ac:dyDescent="0.35">
      <c r="A4" s="27" t="s">
        <v>115</v>
      </c>
      <c r="B4" s="43">
        <f>$I$1*$L$1</f>
        <v>30000.000000000025</v>
      </c>
      <c r="C4" s="36">
        <f t="shared" ref="C4:BA4" si="1">$I$1*$L$1</f>
        <v>30000.000000000025</v>
      </c>
      <c r="D4" s="36">
        <f t="shared" si="1"/>
        <v>30000.000000000025</v>
      </c>
      <c r="E4" s="36">
        <f t="shared" si="1"/>
        <v>30000.000000000025</v>
      </c>
      <c r="F4" s="36">
        <f t="shared" si="1"/>
        <v>30000.000000000025</v>
      </c>
      <c r="G4" s="36">
        <f t="shared" si="1"/>
        <v>30000.000000000025</v>
      </c>
      <c r="H4" s="36">
        <f t="shared" si="1"/>
        <v>30000.000000000025</v>
      </c>
      <c r="I4" s="36">
        <f t="shared" si="1"/>
        <v>30000.000000000025</v>
      </c>
      <c r="J4" s="36">
        <f t="shared" si="1"/>
        <v>30000.000000000025</v>
      </c>
      <c r="K4" s="36">
        <f t="shared" si="1"/>
        <v>30000.000000000025</v>
      </c>
      <c r="L4" s="36">
        <f t="shared" si="1"/>
        <v>30000.000000000025</v>
      </c>
      <c r="M4" s="36">
        <f t="shared" si="1"/>
        <v>30000.000000000025</v>
      </c>
      <c r="N4" s="36">
        <f t="shared" si="1"/>
        <v>30000.000000000025</v>
      </c>
      <c r="O4" s="36">
        <f t="shared" si="1"/>
        <v>30000.000000000025</v>
      </c>
      <c r="P4" s="36">
        <f t="shared" si="1"/>
        <v>30000.000000000025</v>
      </c>
      <c r="Q4" s="36">
        <f t="shared" si="1"/>
        <v>30000.000000000025</v>
      </c>
      <c r="R4" s="36">
        <f t="shared" si="1"/>
        <v>30000.000000000025</v>
      </c>
      <c r="S4" s="36">
        <f t="shared" si="1"/>
        <v>30000.000000000025</v>
      </c>
      <c r="T4" s="36">
        <f t="shared" si="1"/>
        <v>30000.000000000025</v>
      </c>
      <c r="U4" s="36">
        <f t="shared" si="1"/>
        <v>30000.000000000025</v>
      </c>
      <c r="V4" s="36">
        <f t="shared" si="1"/>
        <v>30000.000000000025</v>
      </c>
      <c r="W4" s="36">
        <f t="shared" si="1"/>
        <v>30000.000000000025</v>
      </c>
      <c r="X4" s="36">
        <f t="shared" si="1"/>
        <v>30000.000000000025</v>
      </c>
      <c r="Y4" s="36">
        <f t="shared" si="1"/>
        <v>30000.000000000025</v>
      </c>
      <c r="Z4" s="36">
        <f t="shared" si="1"/>
        <v>30000.000000000025</v>
      </c>
      <c r="AA4" s="36">
        <f t="shared" si="1"/>
        <v>30000.000000000025</v>
      </c>
      <c r="AB4" s="36">
        <f t="shared" si="1"/>
        <v>30000.000000000025</v>
      </c>
      <c r="AC4" s="36">
        <f t="shared" si="1"/>
        <v>30000.000000000025</v>
      </c>
      <c r="AD4" s="36">
        <f t="shared" si="1"/>
        <v>30000.000000000025</v>
      </c>
      <c r="AE4" s="36">
        <f t="shared" si="1"/>
        <v>30000.000000000025</v>
      </c>
      <c r="AF4" s="36">
        <f t="shared" si="1"/>
        <v>30000.000000000025</v>
      </c>
      <c r="AG4" s="36">
        <f t="shared" si="1"/>
        <v>30000.000000000025</v>
      </c>
      <c r="AH4" s="36">
        <f t="shared" si="1"/>
        <v>30000.000000000025</v>
      </c>
      <c r="AI4" s="36">
        <f t="shared" si="1"/>
        <v>30000.000000000025</v>
      </c>
      <c r="AJ4" s="36">
        <f t="shared" si="1"/>
        <v>30000.000000000025</v>
      </c>
      <c r="AK4" s="36">
        <f t="shared" si="1"/>
        <v>30000.000000000025</v>
      </c>
      <c r="AL4" s="36">
        <f t="shared" si="1"/>
        <v>30000.000000000025</v>
      </c>
      <c r="AM4" s="36">
        <f t="shared" si="1"/>
        <v>30000.000000000025</v>
      </c>
      <c r="AN4" s="36">
        <f t="shared" si="1"/>
        <v>30000.000000000025</v>
      </c>
      <c r="AO4" s="36">
        <f t="shared" si="1"/>
        <v>30000.000000000025</v>
      </c>
      <c r="AP4" s="36">
        <f t="shared" si="1"/>
        <v>30000.000000000025</v>
      </c>
      <c r="AQ4" s="36">
        <f t="shared" si="1"/>
        <v>30000.000000000025</v>
      </c>
      <c r="AR4" s="36">
        <f t="shared" si="1"/>
        <v>30000.000000000025</v>
      </c>
      <c r="AS4" s="36">
        <f t="shared" si="1"/>
        <v>30000.000000000025</v>
      </c>
      <c r="AT4" s="36">
        <f t="shared" si="1"/>
        <v>30000.000000000025</v>
      </c>
      <c r="AU4" s="36">
        <f t="shared" si="1"/>
        <v>30000.000000000025</v>
      </c>
      <c r="AV4" s="36">
        <f t="shared" si="1"/>
        <v>30000.000000000025</v>
      </c>
      <c r="AW4" s="36">
        <f t="shared" si="1"/>
        <v>30000.000000000025</v>
      </c>
      <c r="AX4" s="36">
        <f t="shared" si="1"/>
        <v>30000.000000000025</v>
      </c>
      <c r="AY4" s="36">
        <f t="shared" si="1"/>
        <v>30000.000000000025</v>
      </c>
      <c r="AZ4" s="36">
        <f t="shared" si="1"/>
        <v>30000.000000000025</v>
      </c>
      <c r="BA4" s="37">
        <f t="shared" si="1"/>
        <v>30000.000000000025</v>
      </c>
    </row>
    <row r="15" spans="1:53" x14ac:dyDescent="0.3">
      <c r="F15" s="10"/>
    </row>
  </sheetData>
  <phoneticPr fontId="2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3"/>
  <sheetViews>
    <sheetView workbookViewId="0"/>
  </sheetViews>
  <sheetFormatPr defaultColWidth="9.109375" defaultRowHeight="15.6" x14ac:dyDescent="0.3"/>
  <cols>
    <col min="1" max="1" width="16.77734375" style="1" customWidth="1"/>
    <col min="2" max="2" width="10.109375" style="1" bestFit="1" customWidth="1"/>
    <col min="3" max="16384" width="9.109375" style="1"/>
  </cols>
  <sheetData>
    <row r="1" spans="1:2" ht="16.2" thickBot="1" x14ac:dyDescent="0.35">
      <c r="A1" s="1" t="str">
        <f>_xlfn.CONCAT( "Table of Completions Pad Storage Capacity [",VLOOKUP("volume", Units!$A$2:$B$9, 2, FALSE),"]")</f>
        <v>Table of Completions Pad Storage Capacity [bbl]</v>
      </c>
    </row>
    <row r="2" spans="1:2" s="6" customFormat="1" x14ac:dyDescent="0.3">
      <c r="A2" s="4" t="s">
        <v>158</v>
      </c>
      <c r="B2" s="25" t="s">
        <v>46</v>
      </c>
    </row>
    <row r="3" spans="1:2" ht="16.2" thickBot="1" x14ac:dyDescent="0.35">
      <c r="A3" s="27" t="s">
        <v>109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3"/>
  <sheetViews>
    <sheetView workbookViewId="0"/>
  </sheetViews>
  <sheetFormatPr defaultColWidth="9.109375" defaultRowHeight="15.6" x14ac:dyDescent="0.3"/>
  <cols>
    <col min="1" max="1" width="17.44140625" style="1" customWidth="1"/>
    <col min="2" max="16384" width="9.109375" style="1"/>
  </cols>
  <sheetData>
    <row r="1" spans="1:2" ht="16.2" thickBot="1" x14ac:dyDescent="0.35">
      <c r="A1" s="1" t="str">
        <f>_xlfn.CONCAT( "Table of Pad Offloading Capacity [",VLOOKUP("volume", Units!$A$2:$B$9, 2, FALSE),"/", VLOOKUP("time", Units!$A$2:$B$9, 2, FALSE),"]")</f>
        <v>Table of Pad Offloading Capacity [bbl/day]</v>
      </c>
    </row>
    <row r="2" spans="1:2" s="6" customFormat="1" x14ac:dyDescent="0.3">
      <c r="A2" s="4" t="s">
        <v>158</v>
      </c>
      <c r="B2" s="25" t="s">
        <v>46</v>
      </c>
    </row>
    <row r="3" spans="1:2" s="6" customFormat="1" ht="16.2" thickBot="1" x14ac:dyDescent="0.35">
      <c r="A3" s="27" t="s">
        <v>109</v>
      </c>
      <c r="B3" s="37">
        <v>30000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109375" defaultRowHeight="15.6" x14ac:dyDescent="0.3"/>
  <cols>
    <col min="1" max="2" width="9.109375" style="1"/>
    <col min="3" max="3" width="3.44140625" style="1" customWidth="1"/>
    <col min="4" max="12" width="9.109375" style="1"/>
    <col min="13" max="13" width="11.109375" style="1" customWidth="1"/>
    <col min="14" max="14" width="10.6640625" style="1" customWidth="1"/>
    <col min="15" max="15" width="12.77734375" style="1" customWidth="1"/>
    <col min="16" max="16" width="4.44140625" style="1" customWidth="1"/>
    <col min="17" max="16384" width="9.109375" style="1"/>
  </cols>
  <sheetData>
    <row r="1" spans="1:15" x14ac:dyDescent="0.3">
      <c r="A1" s="1" t="s">
        <v>93</v>
      </c>
    </row>
    <row r="2" spans="1:15" x14ac:dyDescent="0.3">
      <c r="A2" s="2" t="s">
        <v>94</v>
      </c>
    </row>
    <row r="3" spans="1:15" x14ac:dyDescent="0.3">
      <c r="A3" s="2" t="s">
        <v>95</v>
      </c>
    </row>
    <row r="4" spans="1:15" x14ac:dyDescent="0.3">
      <c r="A4" s="2" t="s">
        <v>96</v>
      </c>
      <c r="D4" s="10"/>
    </row>
    <row r="5" spans="1:15" x14ac:dyDescent="0.3">
      <c r="A5" s="2" t="s">
        <v>97</v>
      </c>
      <c r="M5" s="11"/>
      <c r="N5" s="11"/>
      <c r="O5" s="11"/>
    </row>
    <row r="6" spans="1:15" x14ac:dyDescent="0.3">
      <c r="A6" s="2" t="s">
        <v>98</v>
      </c>
    </row>
    <row r="7" spans="1:15" x14ac:dyDescent="0.3">
      <c r="A7" s="2" t="s">
        <v>99</v>
      </c>
    </row>
    <row r="8" spans="1:15" x14ac:dyDescent="0.3">
      <c r="A8" s="2" t="s">
        <v>100</v>
      </c>
    </row>
    <row r="9" spans="1:15" x14ac:dyDescent="0.3">
      <c r="A9" s="2" t="s">
        <v>101</v>
      </c>
    </row>
    <row r="10" spans="1:15" x14ac:dyDescent="0.3">
      <c r="A10" s="2" t="s">
        <v>102</v>
      </c>
    </row>
    <row r="11" spans="1:15" x14ac:dyDescent="0.3">
      <c r="A11" s="2" t="s">
        <v>103</v>
      </c>
    </row>
    <row r="12" spans="1:15" x14ac:dyDescent="0.3">
      <c r="A12" s="2" t="s">
        <v>104</v>
      </c>
    </row>
    <row r="13" spans="1:15" x14ac:dyDescent="0.3">
      <c r="A13" s="2" t="s">
        <v>105</v>
      </c>
    </row>
    <row r="14" spans="1:15" x14ac:dyDescent="0.3">
      <c r="A14" s="2" t="s">
        <v>106</v>
      </c>
    </row>
    <row r="15" spans="1:15" x14ac:dyDescent="0.3">
      <c r="A15" s="2" t="s">
        <v>107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12"/>
  <sheetViews>
    <sheetView workbookViewId="0"/>
  </sheetViews>
  <sheetFormatPr defaultColWidth="9.109375" defaultRowHeight="15.6" x14ac:dyDescent="0.3"/>
  <cols>
    <col min="1" max="1" width="11" style="1" customWidth="1"/>
    <col min="2" max="2" width="10.109375" style="1" bestFit="1" customWidth="1"/>
    <col min="3" max="16384" width="9.109375" style="1"/>
  </cols>
  <sheetData>
    <row r="1" spans="1:2" ht="16.2" thickBot="1" x14ac:dyDescent="0.35">
      <c r="A1" s="1" t="str">
        <f>_xlfn.CONCAT( "Table of Node Capacity Capacity [",VLOOKUP("volume", Units!$A$2:$B$9, 2, FALSE),"/", VLOOKUP("time", Units!$A$2:$B$9, 2, FALSE),"]", " *absence of node or empty cell signifies no max capacity")</f>
        <v>Table of Node Capacity Capacity [bbl/day] *absence of node or empty cell signifies no max capacity</v>
      </c>
    </row>
    <row r="2" spans="1:2" s="6" customFormat="1" x14ac:dyDescent="0.3">
      <c r="A2" s="4" t="s">
        <v>233</v>
      </c>
      <c r="B2" s="25" t="s">
        <v>46</v>
      </c>
    </row>
    <row r="3" spans="1:2" x14ac:dyDescent="0.3">
      <c r="A3" s="26" t="s">
        <v>125</v>
      </c>
      <c r="B3" s="35"/>
    </row>
    <row r="4" spans="1:2" x14ac:dyDescent="0.3">
      <c r="A4" s="26" t="s">
        <v>126</v>
      </c>
      <c r="B4" s="35"/>
    </row>
    <row r="5" spans="1:2" x14ac:dyDescent="0.3">
      <c r="A5" s="26" t="s">
        <v>127</v>
      </c>
      <c r="B5" s="35"/>
    </row>
    <row r="6" spans="1:2" x14ac:dyDescent="0.3">
      <c r="A6" s="26" t="s">
        <v>128</v>
      </c>
      <c r="B6" s="35"/>
    </row>
    <row r="7" spans="1:2" x14ac:dyDescent="0.3">
      <c r="A7" s="26" t="s">
        <v>129</v>
      </c>
      <c r="B7" s="35"/>
    </row>
    <row r="8" spans="1:2" x14ac:dyDescent="0.3">
      <c r="A8" s="26" t="s">
        <v>130</v>
      </c>
      <c r="B8" s="35"/>
    </row>
    <row r="9" spans="1:2" x14ac:dyDescent="0.3">
      <c r="A9" s="26" t="s">
        <v>131</v>
      </c>
      <c r="B9" s="35"/>
    </row>
    <row r="10" spans="1:2" x14ac:dyDescent="0.3">
      <c r="A10" s="26" t="s">
        <v>132</v>
      </c>
      <c r="B10" s="35"/>
    </row>
    <row r="11" spans="1:2" ht="16.2" thickBot="1" x14ac:dyDescent="0.35">
      <c r="A11" s="27" t="s">
        <v>133</v>
      </c>
      <c r="B11" s="37"/>
    </row>
    <row r="12" spans="1:2" x14ac:dyDescent="0.3">
      <c r="A12" s="11"/>
      <c r="B12" s="82"/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A9"/>
  <sheetViews>
    <sheetView showZeros="0" workbookViewId="0">
      <selection activeCell="J18" sqref="J18"/>
    </sheetView>
  </sheetViews>
  <sheetFormatPr defaultColWidth="9.109375" defaultRowHeight="15.6" x14ac:dyDescent="0.3"/>
  <cols>
    <col min="1" max="1" width="16.44140625" style="1" customWidth="1"/>
    <col min="2" max="2" width="15.44140625" style="1" bestFit="1" customWidth="1"/>
    <col min="3" max="3" width="9.77734375" style="1" bestFit="1" customWidth="1"/>
    <col min="4" max="16384" width="9.109375" style="1"/>
  </cols>
  <sheetData>
    <row r="1" spans="1:53" ht="16.2" thickBot="1" x14ac:dyDescent="0.35">
      <c r="A1" s="1" t="str">
        <f>_xlfn.CONCAT( "Operating Capacity of Disposal Site [%]")</f>
        <v>Operating Capacity of Disposal Site [%]</v>
      </c>
    </row>
    <row r="2" spans="1:53" s="6" customFormat="1" x14ac:dyDescent="0.3">
      <c r="A2" s="4" t="s">
        <v>234</v>
      </c>
      <c r="B2" s="5" t="s">
        <v>181</v>
      </c>
      <c r="C2" s="5" t="s">
        <v>182</v>
      </c>
      <c r="D2" s="5" t="s">
        <v>183</v>
      </c>
      <c r="E2" s="5" t="s">
        <v>184</v>
      </c>
      <c r="F2" s="5" t="s">
        <v>185</v>
      </c>
      <c r="G2" s="5" t="s">
        <v>186</v>
      </c>
      <c r="H2" s="5" t="s">
        <v>187</v>
      </c>
      <c r="I2" s="5" t="s">
        <v>188</v>
      </c>
      <c r="J2" s="5" t="s">
        <v>189</v>
      </c>
      <c r="K2" s="5" t="s">
        <v>190</v>
      </c>
      <c r="L2" s="5" t="s">
        <v>191</v>
      </c>
      <c r="M2" s="5" t="s">
        <v>192</v>
      </c>
      <c r="N2" s="5" t="s">
        <v>193</v>
      </c>
      <c r="O2" s="5" t="s">
        <v>194</v>
      </c>
      <c r="P2" s="5" t="s">
        <v>195</v>
      </c>
      <c r="Q2" s="5" t="s">
        <v>196</v>
      </c>
      <c r="R2" s="5" t="s">
        <v>197</v>
      </c>
      <c r="S2" s="5" t="s">
        <v>198</v>
      </c>
      <c r="T2" s="5" t="s">
        <v>199</v>
      </c>
      <c r="U2" s="5" t="s">
        <v>200</v>
      </c>
      <c r="V2" s="5" t="s">
        <v>201</v>
      </c>
      <c r="W2" s="5" t="s">
        <v>202</v>
      </c>
      <c r="X2" s="5" t="s">
        <v>203</v>
      </c>
      <c r="Y2" s="5" t="s">
        <v>204</v>
      </c>
      <c r="Z2" s="5" t="s">
        <v>205</v>
      </c>
      <c r="AA2" s="5" t="s">
        <v>206</v>
      </c>
      <c r="AB2" s="5" t="s">
        <v>207</v>
      </c>
      <c r="AC2" s="5" t="s">
        <v>208</v>
      </c>
      <c r="AD2" s="5" t="s">
        <v>209</v>
      </c>
      <c r="AE2" s="5" t="s">
        <v>210</v>
      </c>
      <c r="AF2" s="5" t="s">
        <v>211</v>
      </c>
      <c r="AG2" s="5" t="s">
        <v>212</v>
      </c>
      <c r="AH2" s="5" t="s">
        <v>213</v>
      </c>
      <c r="AI2" s="5" t="s">
        <v>214</v>
      </c>
      <c r="AJ2" s="5" t="s">
        <v>215</v>
      </c>
      <c r="AK2" s="5" t="s">
        <v>216</v>
      </c>
      <c r="AL2" s="5" t="s">
        <v>217</v>
      </c>
      <c r="AM2" s="5" t="s">
        <v>218</v>
      </c>
      <c r="AN2" s="5" t="s">
        <v>219</v>
      </c>
      <c r="AO2" s="5" t="s">
        <v>220</v>
      </c>
      <c r="AP2" s="5" t="s">
        <v>221</v>
      </c>
      <c r="AQ2" s="5" t="s">
        <v>222</v>
      </c>
      <c r="AR2" s="5" t="s">
        <v>223</v>
      </c>
      <c r="AS2" s="5" t="s">
        <v>224</v>
      </c>
      <c r="AT2" s="5" t="s">
        <v>225</v>
      </c>
      <c r="AU2" s="5" t="s">
        <v>226</v>
      </c>
      <c r="AV2" s="5" t="s">
        <v>227</v>
      </c>
      <c r="AW2" s="5" t="s">
        <v>228</v>
      </c>
      <c r="AX2" s="5" t="s">
        <v>229</v>
      </c>
      <c r="AY2" s="5" t="s">
        <v>230</v>
      </c>
      <c r="AZ2" s="5" t="s">
        <v>231</v>
      </c>
      <c r="BA2" s="25" t="s">
        <v>232</v>
      </c>
    </row>
    <row r="3" spans="1:53" s="6" customFormat="1" x14ac:dyDescent="0.3">
      <c r="A3" s="26" t="s">
        <v>111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1</v>
      </c>
      <c r="Y3" s="7">
        <v>1</v>
      </c>
      <c r="Z3" s="7">
        <v>1</v>
      </c>
      <c r="AA3" s="7">
        <v>1</v>
      </c>
      <c r="AB3" s="7">
        <v>1</v>
      </c>
      <c r="AC3" s="7">
        <v>1</v>
      </c>
      <c r="AD3" s="7">
        <v>1</v>
      </c>
      <c r="AE3" s="7">
        <v>1</v>
      </c>
      <c r="AF3" s="7">
        <v>1</v>
      </c>
      <c r="AG3" s="7">
        <v>1</v>
      </c>
      <c r="AH3" s="7">
        <v>1</v>
      </c>
      <c r="AI3" s="7">
        <v>1</v>
      </c>
      <c r="AJ3" s="7">
        <v>1</v>
      </c>
      <c r="AK3" s="7">
        <v>1</v>
      </c>
      <c r="AL3" s="7">
        <v>1</v>
      </c>
      <c r="AM3" s="7">
        <v>1</v>
      </c>
      <c r="AN3" s="7">
        <v>1</v>
      </c>
      <c r="AO3" s="7">
        <v>1</v>
      </c>
      <c r="AP3" s="7">
        <v>1</v>
      </c>
      <c r="AQ3" s="7">
        <v>1</v>
      </c>
      <c r="AR3" s="7">
        <v>1</v>
      </c>
      <c r="AS3" s="7">
        <v>1</v>
      </c>
      <c r="AT3" s="7">
        <v>1</v>
      </c>
      <c r="AU3" s="7">
        <v>1</v>
      </c>
      <c r="AV3" s="7">
        <v>1</v>
      </c>
      <c r="AW3" s="7">
        <v>1</v>
      </c>
      <c r="AX3" s="7">
        <v>1</v>
      </c>
      <c r="AY3" s="7">
        <v>1</v>
      </c>
      <c r="AZ3" s="7">
        <v>1</v>
      </c>
      <c r="BA3" s="29">
        <v>1</v>
      </c>
    </row>
    <row r="4" spans="1:53" s="6" customFormat="1" ht="16.2" thickBot="1" x14ac:dyDescent="0.35">
      <c r="A4" s="27" t="s">
        <v>112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  <c r="Z4" s="8">
        <v>1</v>
      </c>
      <c r="AA4" s="8">
        <v>1</v>
      </c>
      <c r="AB4" s="8">
        <v>1</v>
      </c>
      <c r="AC4" s="8">
        <v>1</v>
      </c>
      <c r="AD4" s="8">
        <v>1</v>
      </c>
      <c r="AE4" s="8">
        <v>1</v>
      </c>
      <c r="AF4" s="8">
        <v>1</v>
      </c>
      <c r="AG4" s="8">
        <v>1</v>
      </c>
      <c r="AH4" s="8">
        <v>1</v>
      </c>
      <c r="AI4" s="8">
        <v>1</v>
      </c>
      <c r="AJ4" s="8">
        <v>1</v>
      </c>
      <c r="AK4" s="8">
        <v>1</v>
      </c>
      <c r="AL4" s="8">
        <v>1</v>
      </c>
      <c r="AM4" s="8">
        <v>1</v>
      </c>
      <c r="AN4" s="8">
        <v>1</v>
      </c>
      <c r="AO4" s="8">
        <v>1</v>
      </c>
      <c r="AP4" s="8">
        <v>1</v>
      </c>
      <c r="AQ4" s="8">
        <v>1</v>
      </c>
      <c r="AR4" s="8">
        <v>1</v>
      </c>
      <c r="AS4" s="8">
        <v>1</v>
      </c>
      <c r="AT4" s="8">
        <v>1</v>
      </c>
      <c r="AU4" s="8">
        <v>1</v>
      </c>
      <c r="AV4" s="8">
        <v>1</v>
      </c>
      <c r="AW4" s="8">
        <v>1</v>
      </c>
      <c r="AX4" s="8">
        <v>1</v>
      </c>
      <c r="AY4" s="8">
        <v>1</v>
      </c>
      <c r="AZ4" s="8">
        <v>1</v>
      </c>
      <c r="BA4" s="9">
        <v>1</v>
      </c>
    </row>
    <row r="8" spans="1:53" x14ac:dyDescent="0.3">
      <c r="B8" s="45"/>
    </row>
    <row r="9" spans="1:53" x14ac:dyDescent="0.3">
      <c r="D9" s="1" t="s">
        <v>254</v>
      </c>
      <c r="F9" s="10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4"/>
  <sheetViews>
    <sheetView zoomScaleNormal="100" workbookViewId="0">
      <selection activeCell="K13" sqref="K13"/>
    </sheetView>
  </sheetViews>
  <sheetFormatPr defaultColWidth="9.109375" defaultRowHeight="15.6" x14ac:dyDescent="0.3"/>
  <cols>
    <col min="1" max="1" width="11.77734375" style="1" customWidth="1"/>
    <col min="2" max="16384" width="9.109375" style="1"/>
  </cols>
  <sheetData>
    <row r="1" spans="1:2" ht="16.2" thickBot="1" x14ac:dyDescent="0.35">
      <c r="A1" s="1" t="str">
        <f>_xlfn.CONCAT( "Table of Disposal Operational Cost [",VLOOKUP("currency", Units!$A$2:$B$9, 2, FALSE),"/", VLOOKUP("volume", Units!$A$2:$B$9, 2, FALSE),"]")</f>
        <v>Table of Disposal Operational Cost [USD/bbl]</v>
      </c>
    </row>
    <row r="2" spans="1:2" s="6" customFormat="1" x14ac:dyDescent="0.3">
      <c r="A2" s="4" t="s">
        <v>234</v>
      </c>
      <c r="B2" s="25" t="s">
        <v>46</v>
      </c>
    </row>
    <row r="3" spans="1:2" s="6" customFormat="1" x14ac:dyDescent="0.3">
      <c r="A3" s="26" t="s">
        <v>111</v>
      </c>
      <c r="B3" s="29">
        <f>0.35</f>
        <v>0.35</v>
      </c>
    </row>
    <row r="4" spans="1:2" s="6" customFormat="1" ht="16.2" thickBot="1" x14ac:dyDescent="0.35">
      <c r="A4" s="27" t="s">
        <v>112</v>
      </c>
      <c r="B4" s="29">
        <f>0.35</f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B4"/>
  <sheetViews>
    <sheetView workbookViewId="0">
      <selection activeCell="B3" sqref="B3:B4"/>
    </sheetView>
  </sheetViews>
  <sheetFormatPr defaultColWidth="9.109375" defaultRowHeight="15.6" x14ac:dyDescent="0.3"/>
  <cols>
    <col min="1" max="1" width="15.44140625" style="1" customWidth="1"/>
    <col min="2" max="16384" width="9.109375" style="1"/>
  </cols>
  <sheetData>
    <row r="1" spans="1:2" ht="16.2" thickBot="1" x14ac:dyDescent="0.35">
      <c r="A1" s="1" t="str">
        <f>_xlfn.CONCAT( "Table of Treatment Operational Cost [",VLOOKUP("currency", Units!$A$2:$B$9, 2, FALSE),"/", VLOOKUP("volume", Units!$A$2:$B$9, 2, FALSE),"]")</f>
        <v>Table of Treatment Operational Cost [USD/bbl]</v>
      </c>
    </row>
    <row r="2" spans="1:2" x14ac:dyDescent="0.3">
      <c r="A2" s="4" t="s">
        <v>170</v>
      </c>
      <c r="B2" s="25" t="s">
        <v>46</v>
      </c>
    </row>
    <row r="3" spans="1:2" x14ac:dyDescent="0.3">
      <c r="A3" s="26" t="s">
        <v>119</v>
      </c>
      <c r="B3" s="29">
        <v>0.5</v>
      </c>
    </row>
    <row r="4" spans="1:2" x14ac:dyDescent="0.3">
      <c r="A4" s="26" t="s">
        <v>120</v>
      </c>
      <c r="B4" s="29">
        <v>0.2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3"/>
  <sheetViews>
    <sheetView workbookViewId="0">
      <selection activeCell="C22" sqref="C22"/>
    </sheetView>
  </sheetViews>
  <sheetFormatPr defaultColWidth="9.109375" defaultRowHeight="15.6" x14ac:dyDescent="0.3"/>
  <cols>
    <col min="1" max="1" width="17.109375" style="1" customWidth="1"/>
    <col min="2" max="16384" width="9.109375" style="1"/>
  </cols>
  <sheetData>
    <row r="1" spans="1:2" ht="16.2" thickBot="1" x14ac:dyDescent="0.35">
      <c r="A1" s="1" t="str">
        <f>_xlfn.CONCAT( "Table of Reuse Operational Cost [",VLOOKUP("currency", Units!$A$2:$B$9, 2, FALSE),"/", VLOOKUP("volume", Units!$A$2:$B$9, 2, FALSE),"]")</f>
        <v>Table of Reuse Operational Cost [USD/bbl]</v>
      </c>
    </row>
    <row r="2" spans="1:2" s="6" customFormat="1" x14ac:dyDescent="0.3">
      <c r="A2" s="4" t="s">
        <v>158</v>
      </c>
      <c r="B2" s="25" t="s">
        <v>46</v>
      </c>
    </row>
    <row r="3" spans="1:2" s="6" customFormat="1" ht="16.2" thickBot="1" x14ac:dyDescent="0.35">
      <c r="A3" s="27" t="s">
        <v>109</v>
      </c>
      <c r="B3" s="9">
        <v>0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R21"/>
  <sheetViews>
    <sheetView topLeftCell="A2" zoomScaleNormal="100" workbookViewId="0">
      <selection activeCell="E24" sqref="E24"/>
    </sheetView>
  </sheetViews>
  <sheetFormatPr defaultColWidth="9.109375" defaultRowHeight="15.6" x14ac:dyDescent="0.3"/>
  <cols>
    <col min="1" max="1" width="9.109375" style="1"/>
    <col min="2" max="2" width="23.109375" style="1" customWidth="1"/>
    <col min="3" max="3" width="16" style="1" customWidth="1"/>
    <col min="4" max="4" width="18" style="1" customWidth="1"/>
    <col min="5" max="5" width="17.77734375" style="1" customWidth="1"/>
    <col min="6" max="6" width="19.77734375" style="1" customWidth="1"/>
    <col min="7" max="7" width="14.5546875" style="1" customWidth="1"/>
    <col min="8" max="8" width="14.33203125" style="1" customWidth="1"/>
    <col min="9" max="9" width="13.21875" style="1" customWidth="1"/>
    <col min="10" max="10" width="14.21875" style="1" customWidth="1"/>
    <col min="11" max="11" width="15.44140625" style="1" customWidth="1"/>
    <col min="12" max="12" width="17.33203125" style="1" customWidth="1"/>
    <col min="13" max="13" width="16.77734375" style="1" customWidth="1"/>
    <col min="14" max="14" width="14.88671875" style="1" customWidth="1"/>
    <col min="15" max="15" width="13.109375" style="1" customWidth="1"/>
    <col min="16" max="16" width="12.88671875" style="1" customWidth="1"/>
    <col min="17" max="17" width="9.6640625" style="1" bestFit="1" customWidth="1"/>
    <col min="18" max="16384" width="9.109375" style="1"/>
  </cols>
  <sheetData>
    <row r="1" spans="1:18" ht="16.2" thickBot="1" x14ac:dyDescent="0.35">
      <c r="A1" s="1" t="str">
        <f>_xlfn.CONCAT( "Table of Pipeline Operational Cost between Sites [",VLOOKUP("currency", Units!$A$2:$B$9, 2, FALSE),"/", VLOOKUP("volume", Units!$A$2:$B$9, 2, FALSE),"]")</f>
        <v>Table of Pipeline Operational Cost between Sites [USD/bbl]</v>
      </c>
    </row>
    <row r="2" spans="1:18" x14ac:dyDescent="0.3">
      <c r="A2" s="4" t="s">
        <v>233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79" t="s">
        <v>133</v>
      </c>
      <c r="K2" s="5" t="s">
        <v>111</v>
      </c>
      <c r="L2" s="79" t="s">
        <v>112</v>
      </c>
      <c r="M2" s="5" t="s">
        <v>119</v>
      </c>
      <c r="N2" s="79" t="s">
        <v>120</v>
      </c>
      <c r="O2" s="84" t="s">
        <v>117</v>
      </c>
      <c r="P2" s="25" t="s">
        <v>109</v>
      </c>
    </row>
    <row r="3" spans="1:18" x14ac:dyDescent="0.3">
      <c r="A3" s="26" t="s">
        <v>89</v>
      </c>
      <c r="B3" s="1">
        <v>1E-4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</row>
    <row r="4" spans="1:18" x14ac:dyDescent="0.3">
      <c r="A4" s="26" t="s">
        <v>90</v>
      </c>
      <c r="B4" s="1">
        <v>0</v>
      </c>
      <c r="C4" s="1">
        <v>0</v>
      </c>
      <c r="D4" s="1">
        <v>0</v>
      </c>
      <c r="E4" s="1">
        <v>0</v>
      </c>
      <c r="F4" s="1">
        <v>1E-4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</row>
    <row r="5" spans="1:18" x14ac:dyDescent="0.3">
      <c r="A5" s="26" t="s">
        <v>91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1E-4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8" x14ac:dyDescent="0.3">
      <c r="A6" s="70" t="s">
        <v>92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1E-4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8" x14ac:dyDescent="0.3">
      <c r="A7" s="70" t="s">
        <v>109</v>
      </c>
      <c r="B7" s="1">
        <v>1E-4</v>
      </c>
      <c r="C7" s="1">
        <v>0</v>
      </c>
      <c r="D7" s="1">
        <v>0</v>
      </c>
      <c r="E7" s="1">
        <v>0</v>
      </c>
      <c r="F7" s="1">
        <v>1E-4</v>
      </c>
      <c r="G7" s="1">
        <v>0</v>
      </c>
      <c r="H7" s="1">
        <v>0</v>
      </c>
      <c r="I7" s="1">
        <v>1E-4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R7" s="109"/>
    </row>
    <row r="8" spans="1:18" x14ac:dyDescent="0.3">
      <c r="A8" s="26" t="s">
        <v>125</v>
      </c>
      <c r="B8" s="1">
        <v>0</v>
      </c>
      <c r="C8" s="1">
        <v>1E-4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1E-4</v>
      </c>
      <c r="L8" s="1">
        <v>0</v>
      </c>
      <c r="M8" s="1">
        <v>0</v>
      </c>
      <c r="N8" s="1">
        <v>0</v>
      </c>
      <c r="O8" s="1">
        <v>0</v>
      </c>
      <c r="P8" s="1">
        <v>1E-4</v>
      </c>
    </row>
    <row r="9" spans="1:18" x14ac:dyDescent="0.3">
      <c r="A9" s="26" t="s">
        <v>126</v>
      </c>
      <c r="B9" s="1">
        <v>1E-4</v>
      </c>
      <c r="C9" s="1">
        <v>0</v>
      </c>
      <c r="D9" s="1">
        <v>1E-4</v>
      </c>
      <c r="E9" s="1">
        <v>0</v>
      </c>
      <c r="F9" s="1">
        <v>1E-4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</row>
    <row r="10" spans="1:18" x14ac:dyDescent="0.3">
      <c r="A10" s="26" t="s">
        <v>127</v>
      </c>
      <c r="B10" s="1">
        <v>0</v>
      </c>
      <c r="C10" s="1">
        <v>1E-4</v>
      </c>
      <c r="D10" s="1">
        <v>0</v>
      </c>
      <c r="E10" s="1">
        <v>1E-4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1E-4</v>
      </c>
      <c r="N10" s="1">
        <v>0</v>
      </c>
      <c r="O10" s="1">
        <v>0</v>
      </c>
      <c r="P10" s="1">
        <v>0</v>
      </c>
      <c r="R10" s="109"/>
    </row>
    <row r="11" spans="1:18" x14ac:dyDescent="0.3">
      <c r="A11" s="26" t="s">
        <v>128</v>
      </c>
      <c r="B11" s="1">
        <v>0</v>
      </c>
      <c r="C11" s="1">
        <v>0</v>
      </c>
      <c r="D11" s="1">
        <v>1E-4</v>
      </c>
      <c r="E11" s="1">
        <v>0</v>
      </c>
      <c r="F11" s="1">
        <v>0</v>
      </c>
      <c r="G11" s="1">
        <v>1E-4</v>
      </c>
      <c r="H11" s="1">
        <v>0</v>
      </c>
      <c r="I11" s="1">
        <v>0</v>
      </c>
      <c r="J11" s="1">
        <v>0</v>
      </c>
      <c r="K11" s="1">
        <v>0</v>
      </c>
      <c r="L11" s="1">
        <v>1E-4</v>
      </c>
      <c r="M11" s="1">
        <v>0</v>
      </c>
      <c r="N11" s="1">
        <v>0</v>
      </c>
      <c r="O11" s="1">
        <v>0</v>
      </c>
      <c r="P11" s="1">
        <v>0</v>
      </c>
    </row>
    <row r="12" spans="1:18" x14ac:dyDescent="0.3">
      <c r="A12" s="26" t="s">
        <v>129</v>
      </c>
      <c r="B12" s="1">
        <v>0</v>
      </c>
      <c r="C12" s="1">
        <v>1E-4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1E-4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1E-4</v>
      </c>
    </row>
    <row r="13" spans="1:18" x14ac:dyDescent="0.3">
      <c r="A13" s="26" t="s">
        <v>130</v>
      </c>
      <c r="B13" s="1">
        <v>0</v>
      </c>
      <c r="C13" s="1">
        <v>0</v>
      </c>
      <c r="D13" s="1">
        <v>0</v>
      </c>
      <c r="E13" s="1">
        <v>1E-4</v>
      </c>
      <c r="F13" s="1">
        <v>0</v>
      </c>
      <c r="G13" s="1">
        <v>0</v>
      </c>
      <c r="H13" s="1">
        <v>1E-4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</row>
    <row r="14" spans="1:18" x14ac:dyDescent="0.3">
      <c r="A14" s="26" t="s">
        <v>131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1E-4</v>
      </c>
      <c r="H14" s="1">
        <v>0</v>
      </c>
      <c r="I14" s="1">
        <v>1E-4</v>
      </c>
      <c r="J14" s="1">
        <v>1E-4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</row>
    <row r="15" spans="1:18" x14ac:dyDescent="0.3">
      <c r="A15" s="26" t="s">
        <v>132</v>
      </c>
      <c r="B15" s="1">
        <v>0</v>
      </c>
      <c r="C15" s="1">
        <v>0</v>
      </c>
      <c r="D15" s="1">
        <v>0</v>
      </c>
      <c r="E15" s="1">
        <v>0</v>
      </c>
      <c r="F15" s="1">
        <v>1E-4</v>
      </c>
      <c r="G15" s="1">
        <v>0</v>
      </c>
      <c r="H15" s="1">
        <v>1E-4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</row>
    <row r="16" spans="1:18" x14ac:dyDescent="0.3">
      <c r="A16" s="70" t="s">
        <v>133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1E-4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1E-4</v>
      </c>
      <c r="O16" s="1">
        <v>0</v>
      </c>
      <c r="P16" s="1">
        <v>0</v>
      </c>
      <c r="Q16" s="109"/>
    </row>
    <row r="17" spans="1:16" x14ac:dyDescent="0.3">
      <c r="A17" s="70" t="s">
        <v>117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1E-4</v>
      </c>
    </row>
    <row r="18" spans="1:16" x14ac:dyDescent="0.3">
      <c r="A18" s="26" t="s">
        <v>114</v>
      </c>
      <c r="B18" s="1">
        <v>0</v>
      </c>
      <c r="C18" s="1">
        <v>0</v>
      </c>
      <c r="D18" s="1">
        <v>1E-4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1E-4</v>
      </c>
    </row>
    <row r="19" spans="1:16" x14ac:dyDescent="0.3">
      <c r="A19" s="70" t="s">
        <v>115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1E-4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1E-4</v>
      </c>
    </row>
    <row r="20" spans="1:16" x14ac:dyDescent="0.3">
      <c r="A20" s="26" t="s">
        <v>119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</row>
    <row r="21" spans="1:16" ht="16.2" thickBot="1" x14ac:dyDescent="0.35">
      <c r="A21" s="27" t="s">
        <v>120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1E-4</v>
      </c>
      <c r="P21" s="1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108D6-066E-9740-9ECC-35773DE46331}">
  <sheetPr>
    <tabColor theme="5" tint="0.79998168889431442"/>
  </sheetPr>
  <dimension ref="A1:B3"/>
  <sheetViews>
    <sheetView workbookViewId="0">
      <selection activeCell="B3" sqref="B3"/>
    </sheetView>
  </sheetViews>
  <sheetFormatPr defaultColWidth="11.5546875" defaultRowHeight="14.4" x14ac:dyDescent="0.3"/>
  <sheetData>
    <row r="1" spans="1:2" ht="15" thickBot="1" x14ac:dyDescent="0.35">
      <c r="A1" t="s">
        <v>273</v>
      </c>
    </row>
    <row r="2" spans="1:2" ht="15.6" x14ac:dyDescent="0.3">
      <c r="A2" s="4" t="s">
        <v>173</v>
      </c>
      <c r="B2" s="25" t="s">
        <v>46</v>
      </c>
    </row>
    <row r="3" spans="1:2" ht="15.6" x14ac:dyDescent="0.3">
      <c r="A3" s="26" t="s">
        <v>117</v>
      </c>
      <c r="B3" s="29">
        <v>0.1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5FBBD-9412-FB44-82A0-1AAD52847770}">
  <sheetPr>
    <tabColor theme="5" tint="0.79998168889431442"/>
  </sheetPr>
  <dimension ref="A1:B3"/>
  <sheetViews>
    <sheetView tabSelected="1" workbookViewId="0">
      <selection activeCell="D19" sqref="D19"/>
    </sheetView>
  </sheetViews>
  <sheetFormatPr defaultColWidth="11.5546875" defaultRowHeight="14.4" x14ac:dyDescent="0.3"/>
  <sheetData>
    <row r="1" spans="1:2" ht="15" thickBot="1" x14ac:dyDescent="0.35">
      <c r="A1" t="s">
        <v>268</v>
      </c>
    </row>
    <row r="2" spans="1:2" ht="15.6" x14ac:dyDescent="0.3">
      <c r="A2" s="4" t="s">
        <v>173</v>
      </c>
      <c r="B2" s="25" t="s">
        <v>46</v>
      </c>
    </row>
    <row r="3" spans="1:2" ht="15.6" x14ac:dyDescent="0.3">
      <c r="A3" s="26" t="s">
        <v>117</v>
      </c>
      <c r="B3" s="29">
        <v>0.1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>
      <selection activeCell="B5" sqref="B5"/>
    </sheetView>
  </sheetViews>
  <sheetFormatPr defaultColWidth="9.109375" defaultRowHeight="15.6" x14ac:dyDescent="0.3"/>
  <cols>
    <col min="1" max="1" width="19.109375" style="1" customWidth="1"/>
    <col min="2" max="16384" width="9.109375" style="1"/>
  </cols>
  <sheetData>
    <row r="1" spans="1:2" ht="16.2" thickBot="1" x14ac:dyDescent="0.35">
      <c r="A1" s="1" t="str">
        <f>_xlfn.CONCAT( "Table of Freshwater Souring Cost [",VLOOKUP("currency", Units!$A$2:$B$9, 2, FALSE),"/", VLOOKUP("volume", Units!$A$2:$B$9, 2, FALSE),"]")</f>
        <v>Table of Freshwater Souring Cost [USD/bbl]</v>
      </c>
    </row>
    <row r="2" spans="1:2" s="6" customFormat="1" x14ac:dyDescent="0.3">
      <c r="A2" s="4" t="s">
        <v>168</v>
      </c>
      <c r="B2" s="25" t="s">
        <v>46</v>
      </c>
    </row>
    <row r="3" spans="1:2" s="6" customFormat="1" x14ac:dyDescent="0.3">
      <c r="A3" s="26" t="s">
        <v>114</v>
      </c>
      <c r="B3" s="29">
        <v>1.5</v>
      </c>
    </row>
    <row r="4" spans="1:2" ht="16.2" thickBot="1" x14ac:dyDescent="0.35">
      <c r="A4" s="27" t="s">
        <v>115</v>
      </c>
      <c r="B4" s="9">
        <v>1.55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D9"/>
  <sheetViews>
    <sheetView workbookViewId="0">
      <selection activeCell="B3" sqref="B3"/>
    </sheetView>
  </sheetViews>
  <sheetFormatPr defaultColWidth="9.109375" defaultRowHeight="15.6" x14ac:dyDescent="0.3"/>
  <cols>
    <col min="1" max="1" width="9.109375" style="1"/>
    <col min="2" max="2" width="17.77734375" style="1" customWidth="1"/>
    <col min="3" max="16384" width="9.109375" style="1"/>
  </cols>
  <sheetData>
    <row r="1" spans="1:4" ht="16.2" thickBot="1" x14ac:dyDescent="0.35">
      <c r="A1" s="1" t="str">
        <f>_xlfn.CONCAT( "Table of Trucking Hourly Cost [",VLOOKUP("currency", Units!$A$2:$B$9, 2, FALSE),"/", "hour","]")</f>
        <v>Table of Trucking Hourly Cost [USD/hour]</v>
      </c>
    </row>
    <row r="2" spans="1:4" x14ac:dyDescent="0.3">
      <c r="A2" s="4" t="s">
        <v>233</v>
      </c>
      <c r="B2" s="25" t="s">
        <v>46</v>
      </c>
    </row>
    <row r="3" spans="1:4" x14ac:dyDescent="0.3">
      <c r="A3" s="26" t="s">
        <v>89</v>
      </c>
      <c r="B3" s="109">
        <v>9.5000000000000001E-2</v>
      </c>
    </row>
    <row r="4" spans="1:4" x14ac:dyDescent="0.3">
      <c r="A4" s="26" t="s">
        <v>90</v>
      </c>
      <c r="B4" s="109">
        <v>9.2999999999999999E-2</v>
      </c>
      <c r="D4" s="109"/>
    </row>
    <row r="5" spans="1:4" x14ac:dyDescent="0.3">
      <c r="A5" s="26" t="s">
        <v>91</v>
      </c>
      <c r="B5" s="109">
        <v>9.7000000000000003E-2</v>
      </c>
    </row>
    <row r="6" spans="1:4" x14ac:dyDescent="0.3">
      <c r="A6" s="70" t="s">
        <v>92</v>
      </c>
      <c r="B6" s="109">
        <v>9.4E-2</v>
      </c>
    </row>
    <row r="7" spans="1:4" x14ac:dyDescent="0.3">
      <c r="A7" s="91" t="s">
        <v>109</v>
      </c>
      <c r="B7" s="109">
        <v>0.09</v>
      </c>
    </row>
    <row r="8" spans="1:4" x14ac:dyDescent="0.3">
      <c r="A8" s="26" t="s">
        <v>114</v>
      </c>
      <c r="B8" s="109">
        <v>0.11</v>
      </c>
    </row>
    <row r="9" spans="1:4" ht="16.2" thickBot="1" x14ac:dyDescent="0.35">
      <c r="A9" s="27" t="s">
        <v>115</v>
      </c>
      <c r="B9" s="109">
        <v>0.11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/>
  </sheetViews>
  <sheetFormatPr defaultColWidth="9.109375" defaultRowHeight="15.6" x14ac:dyDescent="0.3"/>
  <cols>
    <col min="1" max="3" width="9.109375" style="1"/>
    <col min="4" max="4" width="3.4414062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108</v>
      </c>
    </row>
    <row r="2" spans="1:16" x14ac:dyDescent="0.3">
      <c r="A2" s="2" t="s">
        <v>109</v>
      </c>
    </row>
    <row r="3" spans="1:16" x14ac:dyDescent="0.3">
      <c r="A3" s="10"/>
      <c r="N3" s="11"/>
      <c r="O3" s="11"/>
      <c r="P3" s="11"/>
    </row>
    <row r="4" spans="1:16" x14ac:dyDescent="0.3">
      <c r="A4" s="10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C7"/>
  <sheetViews>
    <sheetView workbookViewId="0"/>
  </sheetViews>
  <sheetFormatPr defaultColWidth="9.109375" defaultRowHeight="15.6" x14ac:dyDescent="0.3"/>
  <cols>
    <col min="1" max="16384" width="9.109375" style="1"/>
  </cols>
  <sheetData>
    <row r="1" spans="1:3" ht="16.2" thickBot="1" x14ac:dyDescent="0.35">
      <c r="A1" s="1" t="s">
        <v>235</v>
      </c>
    </row>
    <row r="2" spans="1:3" x14ac:dyDescent="0.3">
      <c r="A2" s="3" t="s">
        <v>233</v>
      </c>
      <c r="B2" s="5" t="s">
        <v>111</v>
      </c>
      <c r="C2" s="25" t="s">
        <v>112</v>
      </c>
    </row>
    <row r="3" spans="1:3" x14ac:dyDescent="0.3">
      <c r="A3" s="26" t="s">
        <v>89</v>
      </c>
      <c r="B3" s="7">
        <v>3</v>
      </c>
      <c r="C3" s="29">
        <v>3.5</v>
      </c>
    </row>
    <row r="4" spans="1:3" x14ac:dyDescent="0.3">
      <c r="A4" s="26" t="s">
        <v>90</v>
      </c>
      <c r="B4" s="7">
        <v>2.5</v>
      </c>
      <c r="C4" s="29">
        <v>2</v>
      </c>
    </row>
    <row r="5" spans="1:3" x14ac:dyDescent="0.3">
      <c r="A5" s="26" t="s">
        <v>91</v>
      </c>
      <c r="B5" s="7">
        <v>3</v>
      </c>
      <c r="C5" s="29">
        <v>0.5</v>
      </c>
    </row>
    <row r="6" spans="1:3" x14ac:dyDescent="0.3">
      <c r="A6" s="70" t="s">
        <v>92</v>
      </c>
      <c r="B6" s="77">
        <v>3</v>
      </c>
      <c r="C6" s="80">
        <v>3.5</v>
      </c>
    </row>
    <row r="7" spans="1:3" ht="16.2" thickBot="1" x14ac:dyDescent="0.35">
      <c r="A7" s="27" t="s">
        <v>109</v>
      </c>
      <c r="B7" s="8">
        <v>3</v>
      </c>
      <c r="C7" s="9">
        <v>1.5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I7"/>
  <sheetViews>
    <sheetView workbookViewId="0">
      <selection activeCell="I7" sqref="I7"/>
    </sheetView>
  </sheetViews>
  <sheetFormatPr defaultColWidth="9.109375" defaultRowHeight="15.6" x14ac:dyDescent="0.3"/>
  <cols>
    <col min="1" max="1" width="12.6640625" style="1" customWidth="1"/>
    <col min="2" max="4" width="9.109375" style="1"/>
    <col min="5" max="5" width="9.109375" style="1" customWidth="1"/>
    <col min="6" max="16384" width="9.109375" style="1"/>
  </cols>
  <sheetData>
    <row r="1" spans="1:9" ht="16.2" thickBot="1" x14ac:dyDescent="0.35">
      <c r="A1" s="1" t="str">
        <f>_xlfn.CONCAT( "Table of Disposal Capacity Expansion Cost [",VLOOKUP("currency", Units!$A$2:$B$9, 2, FALSE),"/(", VLOOKUP("volume", Units!$A$2:$B$9, 2, FALSE),"/", VLOOKUP("time", Units!$A$2:$B$9, 2, FALSE),")]")</f>
        <v>Table of Disposal Capacity Expansion Cost [USD/(bbl/day)]</v>
      </c>
    </row>
    <row r="2" spans="1:9" s="6" customFormat="1" x14ac:dyDescent="0.3">
      <c r="A2" s="4" t="s">
        <v>234</v>
      </c>
      <c r="B2" s="5" t="s">
        <v>151</v>
      </c>
      <c r="C2" s="5" t="s">
        <v>152</v>
      </c>
      <c r="D2" s="5" t="s">
        <v>153</v>
      </c>
      <c r="E2" s="25" t="s">
        <v>154</v>
      </c>
    </row>
    <row r="3" spans="1:9" s="6" customFormat="1" x14ac:dyDescent="0.3">
      <c r="A3" s="26" t="s">
        <v>111</v>
      </c>
      <c r="B3" s="109">
        <v>0</v>
      </c>
      <c r="C3" s="109">
        <v>1</v>
      </c>
      <c r="D3" s="109">
        <v>1</v>
      </c>
      <c r="E3" s="109">
        <v>1</v>
      </c>
    </row>
    <row r="4" spans="1:9" s="6" customFormat="1" ht="16.2" thickBot="1" x14ac:dyDescent="0.35">
      <c r="A4" s="27" t="s">
        <v>112</v>
      </c>
      <c r="B4" s="109">
        <v>0</v>
      </c>
      <c r="C4" s="109">
        <v>1</v>
      </c>
      <c r="D4" s="109">
        <v>1</v>
      </c>
      <c r="E4" s="109">
        <v>1</v>
      </c>
    </row>
    <row r="7" spans="1:9" x14ac:dyDescent="0.3">
      <c r="I7" s="109"/>
    </row>
  </sheetData>
  <phoneticPr fontId="2" type="noConversion"/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6"/>
  <sheetViews>
    <sheetView workbookViewId="0">
      <selection activeCell="B22" sqref="B22"/>
    </sheetView>
  </sheetViews>
  <sheetFormatPr defaultColWidth="9.109375" defaultRowHeight="15.6" x14ac:dyDescent="0.3"/>
  <cols>
    <col min="1" max="1" width="19" style="1" customWidth="1"/>
    <col min="2" max="16384" width="9.109375" style="1"/>
  </cols>
  <sheetData>
    <row r="1" spans="1:2" ht="16.2" thickBot="1" x14ac:dyDescent="0.35">
      <c r="A1" s="1" t="str">
        <f>_xlfn.CONCAT( "Table of Disposal Capacity Expansion Increments [",VLOOKUP("volume", Units!$A$2:$B$9, 2, FALSE),"/", VLOOKUP("time", Units!$A$2:$B$9, 2, FALSE),"]")</f>
        <v>Table of Disposal Capacity Expansion Increments [bbl/day]</v>
      </c>
    </row>
    <row r="2" spans="1:2" x14ac:dyDescent="0.3">
      <c r="A2" s="4" t="s">
        <v>238</v>
      </c>
      <c r="B2" s="25" t="s">
        <v>46</v>
      </c>
    </row>
    <row r="3" spans="1:2" x14ac:dyDescent="0.3">
      <c r="A3" s="26" t="s">
        <v>151</v>
      </c>
      <c r="B3" s="35">
        <v>0</v>
      </c>
    </row>
    <row r="4" spans="1:2" x14ac:dyDescent="0.3">
      <c r="A4" s="26" t="s">
        <v>152</v>
      </c>
      <c r="B4" s="106">
        <v>7143</v>
      </c>
    </row>
    <row r="5" spans="1:2" x14ac:dyDescent="0.3">
      <c r="A5" s="26" t="s">
        <v>153</v>
      </c>
      <c r="B5" s="106">
        <v>14286</v>
      </c>
    </row>
    <row r="6" spans="1:2" ht="16.2" thickBot="1" x14ac:dyDescent="0.35">
      <c r="A6" s="27" t="s">
        <v>154</v>
      </c>
      <c r="B6" s="105">
        <v>50000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5"/>
  <sheetViews>
    <sheetView workbookViewId="0">
      <selection activeCell="L19" sqref="L19"/>
    </sheetView>
  </sheetViews>
  <sheetFormatPr defaultColWidth="9.109375" defaultRowHeight="15.6" x14ac:dyDescent="0.3"/>
  <cols>
    <col min="1" max="1" width="13.109375" style="1" customWidth="1"/>
    <col min="2" max="16384" width="9.109375" style="1"/>
  </cols>
  <sheetData>
    <row r="1" spans="1:5" ht="16.2" thickBot="1" x14ac:dyDescent="0.35">
      <c r="A1" s="1" t="str">
        <f>_xlfn.CONCAT( "Table of Storage Capacity Expansion Cost [",VLOOKUP("currency", Units!$A$2:$B$9, 2, FALSE),"/", VLOOKUP("volume", Units!$A$2:$B$9, 2, FALSE),"]")</f>
        <v>Table of Storage Capacity Expansion Cost [USD/bbl]</v>
      </c>
    </row>
    <row r="2" spans="1:5" s="6" customFormat="1" x14ac:dyDescent="0.3">
      <c r="A2" s="4" t="s">
        <v>173</v>
      </c>
      <c r="B2" s="5" t="s">
        <v>141</v>
      </c>
      <c r="C2" s="5" t="s">
        <v>142</v>
      </c>
      <c r="D2" s="5" t="s">
        <v>143</v>
      </c>
      <c r="E2" s="25" t="s">
        <v>144</v>
      </c>
    </row>
    <row r="3" spans="1:5" ht="16.2" thickBot="1" x14ac:dyDescent="0.35">
      <c r="A3" s="27" t="s">
        <v>117</v>
      </c>
      <c r="B3" s="109">
        <v>2E-3</v>
      </c>
      <c r="C3" s="109">
        <v>2.2000000000000001E-3</v>
      </c>
      <c r="D3" s="109">
        <v>2.5000000000000001E-3</v>
      </c>
      <c r="E3" s="109">
        <v>2.3E-3</v>
      </c>
    </row>
    <row r="5" spans="1:5" x14ac:dyDescent="0.3">
      <c r="E5" s="109"/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>
      <selection activeCell="A8" sqref="A8"/>
    </sheetView>
  </sheetViews>
  <sheetFormatPr defaultColWidth="9.109375" defaultRowHeight="15.6" x14ac:dyDescent="0.3"/>
  <cols>
    <col min="1" max="1" width="18.109375" style="1" customWidth="1"/>
    <col min="2" max="16384" width="9.109375" style="1"/>
  </cols>
  <sheetData>
    <row r="1" spans="1:2" ht="16.2" thickBot="1" x14ac:dyDescent="0.35">
      <c r="A1" s="1" t="str">
        <f>_xlfn.CONCAT( "Table of Storage Capacity Expansion Increments [",VLOOKUP("volume", Units!$A$2:$B$9, 2, FALSE),"]")</f>
        <v>Table of Storage Capacity Expansion Increments [bbl]</v>
      </c>
    </row>
    <row r="2" spans="1:2" x14ac:dyDescent="0.3">
      <c r="A2" s="4" t="s">
        <v>239</v>
      </c>
      <c r="B2" s="25" t="s">
        <v>46</v>
      </c>
    </row>
    <row r="3" spans="1:2" x14ac:dyDescent="0.3">
      <c r="A3" s="26" t="s">
        <v>141</v>
      </c>
      <c r="B3" s="35">
        <v>0</v>
      </c>
    </row>
    <row r="4" spans="1:2" x14ac:dyDescent="0.3">
      <c r="A4" s="26" t="s">
        <v>142</v>
      </c>
      <c r="B4" s="35">
        <v>50000</v>
      </c>
    </row>
    <row r="5" spans="1:2" x14ac:dyDescent="0.3">
      <c r="A5" s="26" t="s">
        <v>143</v>
      </c>
      <c r="B5" s="35">
        <v>100000</v>
      </c>
    </row>
    <row r="6" spans="1:2" ht="16.2" thickBot="1" x14ac:dyDescent="0.35">
      <c r="A6" s="27" t="s">
        <v>144</v>
      </c>
      <c r="B6" s="37">
        <v>350000</v>
      </c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J12"/>
  <sheetViews>
    <sheetView zoomScaleNormal="100" workbookViewId="0">
      <selection activeCell="J7" sqref="J7"/>
    </sheetView>
  </sheetViews>
  <sheetFormatPr defaultColWidth="9.109375" defaultRowHeight="15.6" x14ac:dyDescent="0.3"/>
  <cols>
    <col min="1" max="1" width="16.109375" style="1" customWidth="1"/>
    <col min="2" max="2" width="23.44140625" style="1" bestFit="1" customWidth="1"/>
    <col min="3" max="16384" width="9.109375" style="1"/>
  </cols>
  <sheetData>
    <row r="1" spans="1:10" ht="16.2" thickBot="1" x14ac:dyDescent="0.35">
      <c r="A1" s="1" t="str">
        <f>_xlfn.CONCAT( "Table of Treatment Capacity Expansion Cost [",VLOOKUP("currency", Units!$A$2:$B$9, 2, FALSE),"/(", VLOOKUP("volume", Units!$A$2:$B$9, 2, FALSE),"/", VLOOKUP("time", Units!$A$2:$B$9, 2, FALSE),")]")</f>
        <v>Table of Treatment Capacity Expansion Cost [USD/(bbl/day)]</v>
      </c>
    </row>
    <row r="2" spans="1:10" x14ac:dyDescent="0.3">
      <c r="A2" s="4" t="s">
        <v>170</v>
      </c>
      <c r="B2" s="79" t="s">
        <v>236</v>
      </c>
      <c r="C2" s="5" t="s">
        <v>146</v>
      </c>
      <c r="D2" s="5" t="s">
        <v>147</v>
      </c>
      <c r="E2" s="5" t="s">
        <v>148</v>
      </c>
      <c r="F2" s="25" t="s">
        <v>149</v>
      </c>
    </row>
    <row r="3" spans="1:10" x14ac:dyDescent="0.3">
      <c r="A3" s="26" t="s">
        <v>119</v>
      </c>
      <c r="B3" s="75" t="s">
        <v>121</v>
      </c>
      <c r="C3" s="109">
        <v>7.4999999999999997E-2</v>
      </c>
      <c r="D3" s="109">
        <v>7.4999999999999997E-2</v>
      </c>
      <c r="E3" s="109">
        <v>7.4999999999999997E-2</v>
      </c>
      <c r="F3" s="109">
        <v>7.4999999999999997E-2</v>
      </c>
    </row>
    <row r="4" spans="1:10" x14ac:dyDescent="0.3">
      <c r="A4" s="26" t="s">
        <v>120</v>
      </c>
      <c r="B4" s="75" t="s">
        <v>121</v>
      </c>
      <c r="C4" s="109">
        <v>7.4999999999999997E-2</v>
      </c>
      <c r="D4" s="109">
        <v>7.4999999999999997E-2</v>
      </c>
      <c r="E4" s="109">
        <v>7.4999999999999997E-2</v>
      </c>
      <c r="F4" s="109">
        <v>7.4999999999999997E-2</v>
      </c>
    </row>
    <row r="5" spans="1:10" x14ac:dyDescent="0.3">
      <c r="A5" s="26" t="s">
        <v>119</v>
      </c>
      <c r="B5" s="75" t="s">
        <v>122</v>
      </c>
      <c r="C5" s="109">
        <v>0.1</v>
      </c>
      <c r="D5" s="109">
        <v>0.1</v>
      </c>
      <c r="E5" s="109">
        <v>0.1</v>
      </c>
      <c r="F5" s="109">
        <v>0.1</v>
      </c>
    </row>
    <row r="6" spans="1:10" x14ac:dyDescent="0.3">
      <c r="A6" s="26" t="s">
        <v>120</v>
      </c>
      <c r="B6" s="75" t="s">
        <v>122</v>
      </c>
      <c r="C6" s="109">
        <v>0.1</v>
      </c>
      <c r="D6" s="109">
        <v>0.1</v>
      </c>
      <c r="E6" s="109">
        <v>0.1</v>
      </c>
      <c r="F6" s="109">
        <v>0.1</v>
      </c>
    </row>
    <row r="7" spans="1:10" x14ac:dyDescent="0.3">
      <c r="A7" s="26" t="s">
        <v>119</v>
      </c>
      <c r="B7" s="75" t="s">
        <v>258</v>
      </c>
      <c r="C7" s="109">
        <v>1</v>
      </c>
      <c r="D7" s="109">
        <v>1</v>
      </c>
      <c r="E7" s="109">
        <v>1</v>
      </c>
      <c r="F7" s="109">
        <v>1</v>
      </c>
      <c r="J7" s="109"/>
    </row>
    <row r="8" spans="1:10" x14ac:dyDescent="0.3">
      <c r="A8" s="26" t="s">
        <v>120</v>
      </c>
      <c r="B8" s="75" t="s">
        <v>258</v>
      </c>
      <c r="C8" s="109">
        <v>1</v>
      </c>
      <c r="D8" s="109">
        <v>1</v>
      </c>
      <c r="E8" s="109">
        <v>1</v>
      </c>
      <c r="F8" s="109">
        <v>1</v>
      </c>
    </row>
    <row r="9" spans="1:10" x14ac:dyDescent="0.3">
      <c r="A9" s="26" t="s">
        <v>119</v>
      </c>
      <c r="B9" s="75" t="s">
        <v>259</v>
      </c>
      <c r="C9" s="109">
        <v>0.5</v>
      </c>
      <c r="D9" s="109">
        <v>0.5</v>
      </c>
      <c r="E9" s="109">
        <v>0.5</v>
      </c>
      <c r="F9" s="109">
        <v>0.5</v>
      </c>
    </row>
    <row r="10" spans="1:10" x14ac:dyDescent="0.3">
      <c r="A10" s="26" t="s">
        <v>120</v>
      </c>
      <c r="B10" s="75" t="s">
        <v>259</v>
      </c>
      <c r="C10" s="109">
        <v>0.5</v>
      </c>
      <c r="D10" s="109">
        <v>0.5</v>
      </c>
      <c r="E10" s="109">
        <v>0.5</v>
      </c>
      <c r="F10" s="109">
        <v>0.5</v>
      </c>
    </row>
    <row r="11" spans="1:10" x14ac:dyDescent="0.3">
      <c r="A11" s="26" t="s">
        <v>119</v>
      </c>
      <c r="B11" s="75" t="s">
        <v>260</v>
      </c>
      <c r="C11" s="109">
        <v>0.8</v>
      </c>
      <c r="D11" s="109">
        <v>0.8</v>
      </c>
      <c r="E11" s="109">
        <v>0.8</v>
      </c>
      <c r="F11" s="109">
        <v>0.8</v>
      </c>
    </row>
    <row r="12" spans="1:10" ht="16.2" thickBot="1" x14ac:dyDescent="0.35">
      <c r="A12" s="27" t="s">
        <v>120</v>
      </c>
      <c r="B12" s="83" t="s">
        <v>260</v>
      </c>
      <c r="C12" s="109">
        <v>0.8</v>
      </c>
      <c r="D12" s="109">
        <v>0.8</v>
      </c>
      <c r="E12" s="109">
        <v>0.8</v>
      </c>
      <c r="F12" s="109">
        <v>0.8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10"/>
  <sheetViews>
    <sheetView workbookViewId="0">
      <selection activeCell="C13" sqref="C13"/>
    </sheetView>
  </sheetViews>
  <sheetFormatPr defaultColWidth="9.109375" defaultRowHeight="15.6" x14ac:dyDescent="0.3"/>
  <cols>
    <col min="1" max="1" width="21.44140625" style="1" customWidth="1"/>
    <col min="2" max="2" width="9.109375" style="1"/>
    <col min="3" max="3" width="14.44140625" style="1" bestFit="1" customWidth="1"/>
    <col min="4" max="16384" width="9.109375" style="1"/>
  </cols>
  <sheetData>
    <row r="1" spans="1:5" ht="16.2" thickBot="1" x14ac:dyDescent="0.35">
      <c r="A1" s="1" t="str">
        <f>_xlfn.CONCAT( "Table of Treatment Capacity Expansion Increments [",VLOOKUP("volume", Units!$A$2:$B$9, 2, FALSE),"/", VLOOKUP("time", Units!$A$2:$B$9, 2, FALSE),"]")</f>
        <v>Table of Treatment Capacity Expansion Increments [bbl/day]</v>
      </c>
    </row>
    <row r="2" spans="1:5" x14ac:dyDescent="0.3">
      <c r="A2" s="4" t="s">
        <v>240</v>
      </c>
      <c r="B2" s="5" t="s">
        <v>146</v>
      </c>
      <c r="C2" s="5" t="s">
        <v>147</v>
      </c>
      <c r="D2" s="5" t="s">
        <v>148</v>
      </c>
      <c r="E2" s="25" t="s">
        <v>149</v>
      </c>
    </row>
    <row r="3" spans="1:5" x14ac:dyDescent="0.3">
      <c r="A3" s="26" t="s">
        <v>121</v>
      </c>
      <c r="B3" s="34">
        <v>0</v>
      </c>
      <c r="C3" s="34">
        <v>10000</v>
      </c>
      <c r="D3" s="34">
        <v>20000</v>
      </c>
      <c r="E3" s="35">
        <v>50000</v>
      </c>
    </row>
    <row r="4" spans="1:5" x14ac:dyDescent="0.3">
      <c r="A4" s="26" t="s">
        <v>122</v>
      </c>
      <c r="B4" s="34">
        <v>0</v>
      </c>
      <c r="C4" s="34">
        <v>10000</v>
      </c>
      <c r="D4" s="34">
        <v>20000</v>
      </c>
      <c r="E4" s="35">
        <v>50000</v>
      </c>
    </row>
    <row r="5" spans="1:5" x14ac:dyDescent="0.3">
      <c r="A5" s="26" t="s">
        <v>258</v>
      </c>
      <c r="B5" s="34">
        <v>0</v>
      </c>
      <c r="C5" s="34">
        <v>10000</v>
      </c>
      <c r="D5" s="34">
        <v>20000</v>
      </c>
      <c r="E5" s="35">
        <v>50000</v>
      </c>
    </row>
    <row r="6" spans="1:5" x14ac:dyDescent="0.3">
      <c r="A6" s="26" t="s">
        <v>259</v>
      </c>
      <c r="B6" s="34">
        <v>0</v>
      </c>
      <c r="C6" s="34">
        <v>10000</v>
      </c>
      <c r="D6" s="34">
        <v>20000</v>
      </c>
      <c r="E6" s="35">
        <v>50000</v>
      </c>
    </row>
    <row r="7" spans="1:5" ht="16.2" thickBot="1" x14ac:dyDescent="0.35">
      <c r="A7" s="27" t="s">
        <v>260</v>
      </c>
      <c r="B7" s="36">
        <v>0</v>
      </c>
      <c r="C7" s="36">
        <v>10000</v>
      </c>
      <c r="D7" s="36">
        <v>20000</v>
      </c>
      <c r="E7" s="37">
        <v>50000</v>
      </c>
    </row>
    <row r="9" spans="1:5" x14ac:dyDescent="0.3">
      <c r="C9" s="73"/>
    </row>
    <row r="10" spans="1:5" x14ac:dyDescent="0.3">
      <c r="C10" s="73"/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B4" sqref="B4"/>
    </sheetView>
  </sheetViews>
  <sheetFormatPr defaultColWidth="8.77734375" defaultRowHeight="14.4" x14ac:dyDescent="0.3"/>
  <cols>
    <col min="1" max="1" width="33.109375" bestFit="1" customWidth="1"/>
    <col min="2" max="2" width="9.109375" customWidth="1"/>
  </cols>
  <sheetData>
    <row r="1" spans="1:2" ht="16.2" thickBot="1" x14ac:dyDescent="0.35">
      <c r="A1" s="1" t="str">
        <f>_xlfn.CONCAT( "Pipeline Expansion Cost [",VLOOKUP("currency", Units!$A$2:$B$9, 2, FALSE),"/(", VLOOKUP("diameter", Units!$A$2:$B$9, 2, FALSE),"-", VLOOKUP("distance", Units!$A$2:$B$9, 2, FALSE),")]")</f>
        <v>Pipeline Expansion Cost [USD/(inch-mile)]</v>
      </c>
    </row>
    <row r="2" spans="1:2" ht="15.6" x14ac:dyDescent="0.3">
      <c r="A2" s="4" t="s">
        <v>45</v>
      </c>
      <c r="B2" s="25" t="s">
        <v>243</v>
      </c>
    </row>
    <row r="3" spans="1:2" ht="16.2" thickBot="1" x14ac:dyDescent="0.35">
      <c r="A3" s="27" t="s">
        <v>244</v>
      </c>
      <c r="B3" s="37">
        <v>300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P21"/>
  <sheetViews>
    <sheetView zoomScaleNormal="100" workbookViewId="0">
      <pane ySplit="1" topLeftCell="A2" activePane="bottomLeft" state="frozen"/>
      <selection activeCell="C5" sqref="C5:E6"/>
      <selection pane="bottomLeft"/>
    </sheetView>
  </sheetViews>
  <sheetFormatPr defaultColWidth="8.77734375" defaultRowHeight="14.4" x14ac:dyDescent="0.3"/>
  <sheetData>
    <row r="1" spans="1:16" ht="16.2" thickBot="1" x14ac:dyDescent="0.35">
      <c r="A1" s="1" t="str">
        <f>_xlfn.CONCAT( "Table of Pipeline Expansion Distances [",VLOOKUP("distance", Units!$A$2:$B$9, 2, FALSE),"]")</f>
        <v>Table of Pipeline Expansion Distances [mile]</v>
      </c>
      <c r="B1" s="1"/>
      <c r="C1" s="1"/>
      <c r="H1" s="1"/>
    </row>
    <row r="2" spans="1:16" ht="15.6" x14ac:dyDescent="0.3">
      <c r="A2" s="4" t="s">
        <v>233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79" t="s">
        <v>133</v>
      </c>
      <c r="K2" s="5" t="s">
        <v>111</v>
      </c>
      <c r="L2" s="79" t="s">
        <v>112</v>
      </c>
      <c r="M2" s="5" t="s">
        <v>119</v>
      </c>
      <c r="N2" s="79" t="s">
        <v>120</v>
      </c>
      <c r="O2" s="84" t="s">
        <v>117</v>
      </c>
      <c r="P2" s="25" t="s">
        <v>109</v>
      </c>
    </row>
    <row r="3" spans="1:16" ht="15.6" x14ac:dyDescent="0.3">
      <c r="A3" s="26" t="s">
        <v>89</v>
      </c>
      <c r="B3" s="7">
        <v>1.4259999999999999</v>
      </c>
      <c r="C3" s="7" t="s">
        <v>245</v>
      </c>
      <c r="D3" s="7" t="s">
        <v>245</v>
      </c>
      <c r="E3" s="7" t="s">
        <v>245</v>
      </c>
      <c r="F3" s="7" t="s">
        <v>245</v>
      </c>
      <c r="G3" s="7" t="s">
        <v>245</v>
      </c>
      <c r="H3" s="7" t="s">
        <v>245</v>
      </c>
      <c r="I3" s="7" t="s">
        <v>245</v>
      </c>
      <c r="J3" s="76" t="s">
        <v>245</v>
      </c>
      <c r="K3" s="7" t="s">
        <v>245</v>
      </c>
      <c r="L3" s="76" t="s">
        <v>245</v>
      </c>
      <c r="M3" s="7" t="s">
        <v>245</v>
      </c>
      <c r="N3" s="76"/>
      <c r="O3" s="88" t="s">
        <v>245</v>
      </c>
      <c r="P3" s="29" t="s">
        <v>245</v>
      </c>
    </row>
    <row r="4" spans="1:16" ht="15.6" x14ac:dyDescent="0.3">
      <c r="A4" s="26" t="s">
        <v>90</v>
      </c>
      <c r="B4" s="7" t="s">
        <v>245</v>
      </c>
      <c r="C4" s="7" t="s">
        <v>245</v>
      </c>
      <c r="D4" s="7" t="s">
        <v>245</v>
      </c>
      <c r="E4" s="7" t="s">
        <v>245</v>
      </c>
      <c r="F4" s="7">
        <v>1.6847000000000001</v>
      </c>
      <c r="G4" s="7" t="s">
        <v>245</v>
      </c>
      <c r="H4" s="7" t="s">
        <v>245</v>
      </c>
      <c r="I4" s="7" t="s">
        <v>245</v>
      </c>
      <c r="J4" s="76" t="s">
        <v>245</v>
      </c>
      <c r="K4" s="7" t="s">
        <v>245</v>
      </c>
      <c r="L4" s="76" t="s">
        <v>245</v>
      </c>
      <c r="M4" s="7" t="s">
        <v>245</v>
      </c>
      <c r="N4" s="76"/>
      <c r="O4" s="88" t="s">
        <v>245</v>
      </c>
      <c r="P4" s="29" t="s">
        <v>245</v>
      </c>
    </row>
    <row r="5" spans="1:16" ht="15.6" x14ac:dyDescent="0.3">
      <c r="A5" s="26" t="s">
        <v>91</v>
      </c>
      <c r="B5" s="7" t="s">
        <v>245</v>
      </c>
      <c r="C5" s="7" t="s">
        <v>245</v>
      </c>
      <c r="D5" s="7" t="s">
        <v>245</v>
      </c>
      <c r="E5" s="7" t="s">
        <v>245</v>
      </c>
      <c r="F5" s="7" t="s">
        <v>245</v>
      </c>
      <c r="G5" s="7">
        <v>1.2563</v>
      </c>
      <c r="H5" s="7" t="s">
        <v>245</v>
      </c>
      <c r="I5" s="7" t="s">
        <v>245</v>
      </c>
      <c r="J5" s="76" t="s">
        <v>245</v>
      </c>
      <c r="K5" s="7" t="s">
        <v>245</v>
      </c>
      <c r="L5" s="76" t="s">
        <v>245</v>
      </c>
      <c r="M5" s="7" t="s">
        <v>245</v>
      </c>
      <c r="N5" s="76"/>
      <c r="O5" s="88" t="s">
        <v>245</v>
      </c>
      <c r="P5" s="29" t="s">
        <v>245</v>
      </c>
    </row>
    <row r="6" spans="1:16" ht="15.6" x14ac:dyDescent="0.3">
      <c r="A6" s="70" t="s">
        <v>92</v>
      </c>
      <c r="B6" s="77" t="s">
        <v>245</v>
      </c>
      <c r="C6" s="77" t="s">
        <v>245</v>
      </c>
      <c r="D6" s="77" t="s">
        <v>245</v>
      </c>
      <c r="E6" s="77" t="s">
        <v>245</v>
      </c>
      <c r="F6" s="77" t="s">
        <v>245</v>
      </c>
      <c r="G6" s="77" t="s">
        <v>245</v>
      </c>
      <c r="H6" s="77" t="s">
        <v>245</v>
      </c>
      <c r="I6" s="77" t="s">
        <v>245</v>
      </c>
      <c r="J6" s="78">
        <v>2.5074000000000001</v>
      </c>
      <c r="K6" s="77" t="s">
        <v>245</v>
      </c>
      <c r="L6" s="78" t="s">
        <v>245</v>
      </c>
      <c r="M6" s="77" t="s">
        <v>245</v>
      </c>
      <c r="N6" s="78"/>
      <c r="O6" s="89" t="s">
        <v>245</v>
      </c>
      <c r="P6" s="80" t="s">
        <v>245</v>
      </c>
    </row>
    <row r="7" spans="1:16" ht="15.6" x14ac:dyDescent="0.3">
      <c r="A7" s="91" t="s">
        <v>109</v>
      </c>
      <c r="B7" s="94" t="s">
        <v>245</v>
      </c>
      <c r="C7" s="94" t="s">
        <v>245</v>
      </c>
      <c r="D7" s="94"/>
      <c r="E7" s="94" t="s">
        <v>245</v>
      </c>
      <c r="F7" s="94" t="s">
        <v>245</v>
      </c>
      <c r="G7" s="94" t="s">
        <v>245</v>
      </c>
      <c r="H7" s="94" t="s">
        <v>245</v>
      </c>
      <c r="I7" s="94">
        <f>2*F4</f>
        <v>3.3694000000000002</v>
      </c>
      <c r="J7" s="78" t="s">
        <v>245</v>
      </c>
      <c r="K7" s="95" t="s">
        <v>245</v>
      </c>
      <c r="L7" s="98" t="s">
        <v>245</v>
      </c>
      <c r="M7" s="94"/>
      <c r="N7" s="97"/>
      <c r="O7" s="99" t="s">
        <v>245</v>
      </c>
      <c r="P7" s="96" t="s">
        <v>245</v>
      </c>
    </row>
    <row r="8" spans="1:16" ht="15.6" x14ac:dyDescent="0.3">
      <c r="A8" s="26" t="s">
        <v>125</v>
      </c>
      <c r="B8" s="93" t="s">
        <v>245</v>
      </c>
      <c r="C8" s="93">
        <v>4.0752409775985399</v>
      </c>
      <c r="D8" s="7" t="s">
        <v>245</v>
      </c>
      <c r="E8" s="7" t="s">
        <v>245</v>
      </c>
      <c r="F8" s="7" t="s">
        <v>245</v>
      </c>
      <c r="G8" s="7" t="s">
        <v>245</v>
      </c>
      <c r="H8" s="7" t="s">
        <v>245</v>
      </c>
      <c r="I8" s="7" t="s">
        <v>245</v>
      </c>
      <c r="J8" s="76" t="s">
        <v>245</v>
      </c>
      <c r="K8" s="93">
        <v>4.1717000000000004</v>
      </c>
      <c r="L8" s="76" t="s">
        <v>245</v>
      </c>
      <c r="M8" s="7" t="s">
        <v>245</v>
      </c>
      <c r="N8" s="76"/>
      <c r="O8" s="88"/>
      <c r="P8" s="29"/>
    </row>
    <row r="9" spans="1:16" ht="15.6" x14ac:dyDescent="0.3">
      <c r="A9" s="26" t="s">
        <v>126</v>
      </c>
      <c r="B9" s="93">
        <v>4.0752409775985399</v>
      </c>
      <c r="C9" s="93" t="s">
        <v>245</v>
      </c>
      <c r="D9" s="7">
        <v>8.2970000000000006</v>
      </c>
      <c r="E9" s="7" t="s">
        <v>245</v>
      </c>
      <c r="F9" s="7">
        <v>1.8142</v>
      </c>
      <c r="G9" s="7" t="s">
        <v>245</v>
      </c>
      <c r="H9" s="7" t="s">
        <v>245</v>
      </c>
      <c r="I9" s="7" t="s">
        <v>245</v>
      </c>
      <c r="J9" s="76" t="s">
        <v>245</v>
      </c>
      <c r="K9" s="7" t="s">
        <v>245</v>
      </c>
      <c r="L9" s="76" t="s">
        <v>245</v>
      </c>
      <c r="M9" s="7" t="s">
        <v>245</v>
      </c>
      <c r="N9" s="76"/>
      <c r="O9" s="88"/>
      <c r="P9" s="29"/>
    </row>
    <row r="10" spans="1:16" ht="15.6" x14ac:dyDescent="0.3">
      <c r="A10" s="26" t="s">
        <v>127</v>
      </c>
      <c r="B10" s="7" t="s">
        <v>245</v>
      </c>
      <c r="C10" s="7">
        <v>8.2970000000000006</v>
      </c>
      <c r="D10" s="7" t="s">
        <v>245</v>
      </c>
      <c r="E10" s="7">
        <v>8.3129999999999988</v>
      </c>
      <c r="F10" s="7" t="s">
        <v>245</v>
      </c>
      <c r="G10" s="7" t="s">
        <v>245</v>
      </c>
      <c r="H10" s="7" t="s">
        <v>245</v>
      </c>
      <c r="I10" s="7" t="s">
        <v>245</v>
      </c>
      <c r="J10" s="76" t="s">
        <v>245</v>
      </c>
      <c r="K10" s="7" t="s">
        <v>245</v>
      </c>
      <c r="L10" s="76" t="s">
        <v>245</v>
      </c>
      <c r="M10" s="7">
        <v>1.4</v>
      </c>
      <c r="N10" s="76"/>
      <c r="O10" s="88"/>
      <c r="P10" s="29"/>
    </row>
    <row r="11" spans="1:16" ht="15.6" x14ac:dyDescent="0.3">
      <c r="A11" s="26" t="s">
        <v>128</v>
      </c>
      <c r="B11" s="7" t="s">
        <v>245</v>
      </c>
      <c r="C11" s="7" t="s">
        <v>245</v>
      </c>
      <c r="D11" s="7">
        <v>8.3129999999999988</v>
      </c>
      <c r="E11" s="7" t="s">
        <v>245</v>
      </c>
      <c r="F11" s="7" t="s">
        <v>245</v>
      </c>
      <c r="G11" s="7">
        <v>1.2533000000000001</v>
      </c>
      <c r="H11" s="7" t="s">
        <v>245</v>
      </c>
      <c r="I11" s="7" t="s">
        <v>245</v>
      </c>
      <c r="J11" s="76" t="s">
        <v>245</v>
      </c>
      <c r="K11" s="7" t="s">
        <v>245</v>
      </c>
      <c r="L11" s="76">
        <v>1.3163</v>
      </c>
      <c r="M11" s="7" t="s">
        <v>245</v>
      </c>
      <c r="N11" s="76"/>
      <c r="O11" s="88"/>
      <c r="P11" s="29"/>
    </row>
    <row r="12" spans="1:16" ht="15.6" x14ac:dyDescent="0.3">
      <c r="A12" s="26" t="s">
        <v>129</v>
      </c>
      <c r="B12" s="7" t="s">
        <v>245</v>
      </c>
      <c r="C12" s="93">
        <v>1.8142</v>
      </c>
      <c r="D12" s="7" t="s">
        <v>245</v>
      </c>
      <c r="E12" s="7" t="s">
        <v>245</v>
      </c>
      <c r="F12" s="7" t="s">
        <v>245</v>
      </c>
      <c r="G12" s="7" t="s">
        <v>245</v>
      </c>
      <c r="H12" s="7" t="s">
        <v>245</v>
      </c>
      <c r="I12" s="7">
        <v>1.4431</v>
      </c>
      <c r="J12" s="76" t="s">
        <v>245</v>
      </c>
      <c r="K12" s="7" t="s">
        <v>245</v>
      </c>
      <c r="L12" s="76" t="s">
        <v>245</v>
      </c>
      <c r="M12" s="7" t="s">
        <v>245</v>
      </c>
      <c r="N12" s="76"/>
      <c r="O12" s="88"/>
      <c r="P12" s="29"/>
    </row>
    <row r="13" spans="1:16" ht="15.6" x14ac:dyDescent="0.3">
      <c r="A13" s="26" t="s">
        <v>130</v>
      </c>
      <c r="B13" s="7" t="s">
        <v>245</v>
      </c>
      <c r="C13" s="7" t="s">
        <v>245</v>
      </c>
      <c r="D13" s="7" t="s">
        <v>245</v>
      </c>
      <c r="E13" s="7">
        <v>1.2533000000000001</v>
      </c>
      <c r="F13" s="7" t="s">
        <v>245</v>
      </c>
      <c r="G13" s="7" t="s">
        <v>245</v>
      </c>
      <c r="H13" s="7">
        <v>1.153</v>
      </c>
      <c r="I13" s="7" t="s">
        <v>245</v>
      </c>
      <c r="J13" s="76" t="s">
        <v>245</v>
      </c>
      <c r="K13" s="7" t="s">
        <v>245</v>
      </c>
      <c r="L13" s="76" t="s">
        <v>245</v>
      </c>
      <c r="M13" s="7" t="s">
        <v>245</v>
      </c>
      <c r="N13" s="76"/>
      <c r="O13" s="88"/>
      <c r="P13" s="29"/>
    </row>
    <row r="14" spans="1:16" ht="15.6" x14ac:dyDescent="0.3">
      <c r="A14" s="26" t="s">
        <v>131</v>
      </c>
      <c r="B14" s="7" t="s">
        <v>245</v>
      </c>
      <c r="C14" s="7" t="s">
        <v>245</v>
      </c>
      <c r="D14" s="7" t="s">
        <v>245</v>
      </c>
      <c r="E14" s="7" t="s">
        <v>245</v>
      </c>
      <c r="F14" s="7" t="s">
        <v>245</v>
      </c>
      <c r="G14" s="7">
        <v>1.153</v>
      </c>
      <c r="H14" s="7" t="s">
        <v>245</v>
      </c>
      <c r="I14" s="7">
        <v>6.0780000000000003</v>
      </c>
      <c r="J14" s="76">
        <v>2.4449000000000001</v>
      </c>
      <c r="K14" s="7" t="s">
        <v>245</v>
      </c>
      <c r="L14" s="76" t="s">
        <v>245</v>
      </c>
      <c r="M14" s="7" t="s">
        <v>245</v>
      </c>
      <c r="N14" s="76"/>
      <c r="O14" s="88"/>
      <c r="P14" s="29"/>
    </row>
    <row r="15" spans="1:16" ht="15.6" x14ac:dyDescent="0.3">
      <c r="A15" s="26" t="s">
        <v>132</v>
      </c>
      <c r="B15" s="7" t="s">
        <v>245</v>
      </c>
      <c r="C15" s="7" t="s">
        <v>245</v>
      </c>
      <c r="D15" s="7" t="s">
        <v>245</v>
      </c>
      <c r="E15" s="7" t="s">
        <v>245</v>
      </c>
      <c r="F15" s="7">
        <v>1.4431</v>
      </c>
      <c r="G15" s="7" t="s">
        <v>245</v>
      </c>
      <c r="H15" s="7">
        <v>6.0780000000000003</v>
      </c>
      <c r="I15" s="7" t="s">
        <v>245</v>
      </c>
      <c r="J15" s="76" t="s">
        <v>245</v>
      </c>
      <c r="K15" s="7" t="s">
        <v>245</v>
      </c>
      <c r="L15" s="76" t="s">
        <v>245</v>
      </c>
      <c r="M15" s="7"/>
      <c r="N15" s="76"/>
      <c r="O15" s="88"/>
      <c r="P15" s="29"/>
    </row>
    <row r="16" spans="1:16" ht="15.6" x14ac:dyDescent="0.3">
      <c r="A16" s="26" t="s">
        <v>133</v>
      </c>
      <c r="B16" s="7" t="s">
        <v>245</v>
      </c>
      <c r="C16" s="7" t="s">
        <v>245</v>
      </c>
      <c r="D16" s="7" t="s">
        <v>245</v>
      </c>
      <c r="E16" s="7" t="s">
        <v>245</v>
      </c>
      <c r="F16" s="7" t="s">
        <v>245</v>
      </c>
      <c r="G16" s="7" t="s">
        <v>245</v>
      </c>
      <c r="H16" s="7">
        <v>2.4449000000000001</v>
      </c>
      <c r="I16" s="7" t="s">
        <v>245</v>
      </c>
      <c r="J16" s="76" t="s">
        <v>245</v>
      </c>
      <c r="K16" s="7" t="s">
        <v>245</v>
      </c>
      <c r="L16" s="76" t="s">
        <v>245</v>
      </c>
      <c r="M16" s="7" t="s">
        <v>245</v>
      </c>
      <c r="N16" s="76">
        <v>2.5</v>
      </c>
      <c r="O16" s="88"/>
      <c r="P16" s="29"/>
    </row>
    <row r="17" spans="1:16" ht="15.6" x14ac:dyDescent="0.3">
      <c r="A17" s="91" t="s">
        <v>117</v>
      </c>
      <c r="B17" s="94"/>
      <c r="C17" s="94"/>
      <c r="D17" s="94"/>
      <c r="E17" s="94"/>
      <c r="F17" s="94"/>
      <c r="G17" s="94"/>
      <c r="H17" s="94"/>
      <c r="I17" s="94"/>
      <c r="J17" s="97"/>
      <c r="K17" s="94"/>
      <c r="L17" s="97"/>
      <c r="M17" s="94"/>
      <c r="N17" s="97"/>
      <c r="O17" s="99"/>
      <c r="P17" s="92">
        <v>9</v>
      </c>
    </row>
    <row r="18" spans="1:16" ht="15.6" x14ac:dyDescent="0.3">
      <c r="A18" s="26" t="s">
        <v>114</v>
      </c>
      <c r="B18" s="7" t="s">
        <v>245</v>
      </c>
      <c r="C18" s="7" t="s">
        <v>245</v>
      </c>
      <c r="D18" s="7" t="s">
        <v>245</v>
      </c>
      <c r="E18" s="7" t="s">
        <v>245</v>
      </c>
      <c r="F18" s="7" t="s">
        <v>245</v>
      </c>
      <c r="G18" s="7" t="s">
        <v>245</v>
      </c>
      <c r="H18" s="7" t="s">
        <v>245</v>
      </c>
      <c r="I18" s="7" t="s">
        <v>245</v>
      </c>
      <c r="J18" s="76" t="s">
        <v>245</v>
      </c>
      <c r="K18" s="7" t="s">
        <v>245</v>
      </c>
      <c r="L18" s="76" t="s">
        <v>245</v>
      </c>
      <c r="M18" s="7" t="s">
        <v>245</v>
      </c>
      <c r="N18" s="76"/>
      <c r="O18" s="88" t="s">
        <v>245</v>
      </c>
      <c r="P18" s="29">
        <v>2.6</v>
      </c>
    </row>
    <row r="19" spans="1:16" ht="15.6" x14ac:dyDescent="0.3">
      <c r="A19" s="70" t="s">
        <v>115</v>
      </c>
      <c r="B19" s="77" t="s">
        <v>245</v>
      </c>
      <c r="C19" s="77" t="s">
        <v>245</v>
      </c>
      <c r="D19" s="77" t="s">
        <v>245</v>
      </c>
      <c r="E19" s="77" t="s">
        <v>245</v>
      </c>
      <c r="F19" s="77" t="s">
        <v>245</v>
      </c>
      <c r="G19" s="77" t="s">
        <v>245</v>
      </c>
      <c r="H19" s="77" t="s">
        <v>245</v>
      </c>
      <c r="I19" s="77" t="s">
        <v>245</v>
      </c>
      <c r="J19" s="78" t="s">
        <v>245</v>
      </c>
      <c r="K19" s="77" t="s">
        <v>245</v>
      </c>
      <c r="L19" s="78" t="s">
        <v>245</v>
      </c>
      <c r="M19" s="77" t="s">
        <v>245</v>
      </c>
      <c r="N19" s="78"/>
      <c r="O19" s="89" t="s">
        <v>245</v>
      </c>
      <c r="P19" s="80">
        <v>2.6</v>
      </c>
    </row>
    <row r="20" spans="1:16" ht="15.6" x14ac:dyDescent="0.3">
      <c r="A20" s="26" t="s">
        <v>119</v>
      </c>
      <c r="B20" s="7" t="s">
        <v>245</v>
      </c>
      <c r="C20" s="7" t="s">
        <v>245</v>
      </c>
      <c r="D20" s="7"/>
      <c r="E20" s="7" t="s">
        <v>245</v>
      </c>
      <c r="F20" s="7" t="s">
        <v>245</v>
      </c>
      <c r="G20" s="7" t="s">
        <v>245</v>
      </c>
      <c r="H20" s="7" t="s">
        <v>245</v>
      </c>
      <c r="I20" s="7"/>
      <c r="J20" s="76" t="s">
        <v>245</v>
      </c>
      <c r="K20" s="7" t="s">
        <v>245</v>
      </c>
      <c r="L20" s="76" t="s">
        <v>245</v>
      </c>
      <c r="M20" s="7" t="s">
        <v>245</v>
      </c>
      <c r="N20" s="76"/>
      <c r="O20" s="88" t="s">
        <v>245</v>
      </c>
      <c r="P20" s="29"/>
    </row>
    <row r="21" spans="1:16" ht="16.2" thickBot="1" x14ac:dyDescent="0.35">
      <c r="A21" s="27" t="s">
        <v>120</v>
      </c>
      <c r="B21" s="8" t="s">
        <v>245</v>
      </c>
      <c r="C21" s="8" t="s">
        <v>245</v>
      </c>
      <c r="D21" s="8"/>
      <c r="E21" s="8" t="s">
        <v>245</v>
      </c>
      <c r="F21" s="8" t="s">
        <v>245</v>
      </c>
      <c r="G21" s="8" t="s">
        <v>245</v>
      </c>
      <c r="H21" s="8" t="s">
        <v>245</v>
      </c>
      <c r="I21" s="8" t="s">
        <v>245</v>
      </c>
      <c r="J21" s="81"/>
      <c r="K21" s="8" t="s">
        <v>245</v>
      </c>
      <c r="L21" s="81" t="s">
        <v>245</v>
      </c>
      <c r="M21" s="8" t="s">
        <v>245</v>
      </c>
      <c r="N21" s="81"/>
      <c r="O21" s="90">
        <v>0.1</v>
      </c>
      <c r="P21" s="9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4"/>
  <sheetViews>
    <sheetView workbookViewId="0">
      <selection activeCell="Q25" sqref="Q25"/>
    </sheetView>
  </sheetViews>
  <sheetFormatPr defaultColWidth="8.77734375" defaultRowHeight="14.4" x14ac:dyDescent="0.3"/>
  <sheetData>
    <row r="1" spans="1:7" ht="16.2" thickBot="1" x14ac:dyDescent="0.35">
      <c r="A1" s="1" t="str">
        <f>_xlfn.CONCAT( "Table of Pipeline Capacity Expansion Costs [",VLOOKUP("currency", Units!$A$2:$B$9, 2, FALSE),"/(", VLOOKUP("volume", Units!$A$2:$B$9, 2, FALSE),"/", VLOOKUP("time", Units!$A$2:$B$9, 2, FALSE),")]")</f>
        <v>Table of Pipeline Capacity Expansion Costs [USD/(bbl/day)]</v>
      </c>
      <c r="B1" s="1"/>
      <c r="C1" s="1"/>
      <c r="D1" s="1"/>
    </row>
    <row r="2" spans="1:7" ht="15.6" x14ac:dyDescent="0.3">
      <c r="A2" s="4" t="s">
        <v>233</v>
      </c>
      <c r="B2" s="84" t="s">
        <v>233</v>
      </c>
      <c r="C2" s="5" t="s">
        <v>135</v>
      </c>
      <c r="D2" s="5" t="s">
        <v>136</v>
      </c>
      <c r="E2" s="5" t="s">
        <v>137</v>
      </c>
      <c r="F2" s="5" t="s">
        <v>138</v>
      </c>
      <c r="G2" s="25" t="s">
        <v>139</v>
      </c>
    </row>
    <row r="3" spans="1:7" ht="15.6" x14ac:dyDescent="0.3">
      <c r="A3" s="26" t="s">
        <v>132</v>
      </c>
      <c r="B3" s="100" t="s">
        <v>133</v>
      </c>
      <c r="C3" s="7">
        <v>30</v>
      </c>
      <c r="D3" s="7">
        <v>30</v>
      </c>
      <c r="E3" s="7">
        <v>30</v>
      </c>
      <c r="F3" s="7">
        <v>30</v>
      </c>
      <c r="G3" s="29">
        <v>30</v>
      </c>
    </row>
    <row r="4" spans="1:7" ht="16.2" thickBot="1" x14ac:dyDescent="0.35">
      <c r="A4" s="27" t="s">
        <v>133</v>
      </c>
      <c r="B4" s="101" t="s">
        <v>132</v>
      </c>
      <c r="C4" s="8">
        <v>30</v>
      </c>
      <c r="D4" s="8">
        <v>30</v>
      </c>
      <c r="E4" s="8">
        <v>30</v>
      </c>
      <c r="F4" s="8">
        <v>30</v>
      </c>
      <c r="G4" s="9">
        <v>30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/>
  </sheetViews>
  <sheetFormatPr defaultColWidth="9.109375" defaultRowHeight="15.6" x14ac:dyDescent="0.3"/>
  <cols>
    <col min="1" max="3" width="9.109375" style="1"/>
    <col min="4" max="4" width="4.44140625" style="1" customWidth="1"/>
    <col min="5" max="14" width="9.109375" style="1"/>
    <col min="15" max="16" width="12.109375" style="1" customWidth="1"/>
    <col min="17" max="17" width="4.44140625" style="1" customWidth="1"/>
    <col min="18" max="16384" width="9.109375" style="1"/>
  </cols>
  <sheetData>
    <row r="1" spans="1:1" x14ac:dyDescent="0.3">
      <c r="A1" s="1" t="s">
        <v>110</v>
      </c>
    </row>
    <row r="2" spans="1:1" x14ac:dyDescent="0.3">
      <c r="A2" s="2" t="s">
        <v>111</v>
      </c>
    </row>
    <row r="3" spans="1:1" x14ac:dyDescent="0.3">
      <c r="A3" s="2" t="s">
        <v>112</v>
      </c>
    </row>
    <row r="4" spans="1:1" x14ac:dyDescent="0.3">
      <c r="A4" s="10"/>
    </row>
    <row r="5" spans="1:1" x14ac:dyDescent="0.3">
      <c r="A5" s="10"/>
    </row>
    <row r="6" spans="1:1" x14ac:dyDescent="0.3">
      <c r="A6" s="10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>
      <selection activeCell="A9" sqref="A9"/>
    </sheetView>
  </sheetViews>
  <sheetFormatPr defaultColWidth="9.109375" defaultRowHeight="15.6" x14ac:dyDescent="0.3"/>
  <cols>
    <col min="1" max="1" width="19.109375" style="1" customWidth="1"/>
    <col min="2" max="16384" width="9.109375" style="1"/>
  </cols>
  <sheetData>
    <row r="1" spans="1:2" ht="16.2" thickBot="1" x14ac:dyDescent="0.35">
      <c r="A1" s="1" t="str">
        <f>_xlfn.CONCAT( "Table of Pipeline Capacity Expansion Increments [",VLOOKUP("volume", Units!$A$2:$B$9, 2, FALSE),"/", VLOOKUP("time", Units!$A$2:$B$9, 2, FALSE),"]")</f>
        <v>Table of Pipeline Capacity Expansion Increments [bbl/day]</v>
      </c>
    </row>
    <row r="2" spans="1:2" x14ac:dyDescent="0.3">
      <c r="A2" s="4" t="s">
        <v>237</v>
      </c>
      <c r="B2" s="25" t="s">
        <v>46</v>
      </c>
    </row>
    <row r="3" spans="1:2" x14ac:dyDescent="0.3">
      <c r="A3" s="26" t="s">
        <v>135</v>
      </c>
      <c r="B3" s="35">
        <v>0</v>
      </c>
    </row>
    <row r="4" spans="1:2" x14ac:dyDescent="0.3">
      <c r="A4" s="26" t="s">
        <v>136</v>
      </c>
      <c r="B4" s="35">
        <v>14285.714285714286</v>
      </c>
    </row>
    <row r="5" spans="1:2" x14ac:dyDescent="0.3">
      <c r="A5" s="26" t="s">
        <v>137</v>
      </c>
      <c r="B5" s="35">
        <v>35714.285714285717</v>
      </c>
    </row>
    <row r="6" spans="1:2" x14ac:dyDescent="0.3">
      <c r="A6" s="26" t="s">
        <v>138</v>
      </c>
      <c r="B6" s="35">
        <v>42857.142857142855</v>
      </c>
    </row>
    <row r="7" spans="1:2" ht="16.2" thickBot="1" x14ac:dyDescent="0.35">
      <c r="A7" s="27" t="s">
        <v>139</v>
      </c>
      <c r="B7" s="37">
        <v>50000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9" sqref="A9"/>
    </sheetView>
  </sheetViews>
  <sheetFormatPr defaultColWidth="9.109375" defaultRowHeight="15.6" x14ac:dyDescent="0.3"/>
  <cols>
    <col min="1" max="1" width="18" style="1" customWidth="1"/>
    <col min="2" max="16384" width="9.109375" style="1"/>
  </cols>
  <sheetData>
    <row r="1" spans="1:2" ht="16.2" thickBot="1" x14ac:dyDescent="0.35">
      <c r="A1" s="1" t="str">
        <f>_xlfn.CONCAT( "Table of Pipeline Diameters [",VLOOKUP("diameter", Units!$A$2:$B$9, 2, FALSE),"]")</f>
        <v>Table of Pipeline Diameters [inch]</v>
      </c>
    </row>
    <row r="2" spans="1:2" x14ac:dyDescent="0.3">
      <c r="A2" s="4" t="s">
        <v>237</v>
      </c>
      <c r="B2" s="25" t="s">
        <v>46</v>
      </c>
    </row>
    <row r="3" spans="1:2" x14ac:dyDescent="0.3">
      <c r="A3" s="26" t="s">
        <v>135</v>
      </c>
      <c r="B3" s="35">
        <v>0</v>
      </c>
    </row>
    <row r="4" spans="1:2" x14ac:dyDescent="0.3">
      <c r="A4" s="26" t="s">
        <v>136</v>
      </c>
      <c r="B4" s="35">
        <v>4</v>
      </c>
    </row>
    <row r="5" spans="1:2" x14ac:dyDescent="0.3">
      <c r="A5" s="26" t="s">
        <v>137</v>
      </c>
      <c r="B5" s="35">
        <v>6</v>
      </c>
    </row>
    <row r="6" spans="1:2" x14ac:dyDescent="0.3">
      <c r="A6" s="26" t="s">
        <v>138</v>
      </c>
      <c r="B6" s="35">
        <v>8</v>
      </c>
    </row>
    <row r="7" spans="1:2" ht="16.2" thickBot="1" x14ac:dyDescent="0.35">
      <c r="A7" s="27" t="s">
        <v>139</v>
      </c>
      <c r="B7" s="37">
        <v>12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B4"/>
  <sheetViews>
    <sheetView workbookViewId="0">
      <selection activeCell="B5" sqref="B5"/>
    </sheetView>
  </sheetViews>
  <sheetFormatPr defaultColWidth="8.77734375" defaultRowHeight="14.4" x14ac:dyDescent="0.3"/>
  <cols>
    <col min="1" max="1" width="17.109375" customWidth="1"/>
  </cols>
  <sheetData>
    <row r="1" spans="1:2" ht="16.2" thickBot="1" x14ac:dyDescent="0.35">
      <c r="A1" s="1" t="s">
        <v>241</v>
      </c>
    </row>
    <row r="2" spans="1:2" ht="15.6" x14ac:dyDescent="0.3">
      <c r="A2" s="4" t="s">
        <v>170</v>
      </c>
      <c r="B2" s="25" t="s">
        <v>46</v>
      </c>
    </row>
    <row r="3" spans="1:2" ht="15.6" x14ac:dyDescent="0.3">
      <c r="A3" s="26" t="s">
        <v>119</v>
      </c>
      <c r="B3" s="32">
        <v>0.5</v>
      </c>
    </row>
    <row r="4" spans="1:2" ht="15.6" x14ac:dyDescent="0.3">
      <c r="A4" s="26" t="s">
        <v>120</v>
      </c>
      <c r="B4" s="32">
        <v>0.8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D92FF-3AD4-4D23-8578-311AD898F13B}">
  <sheetPr>
    <tabColor rgb="FFAFF3DE"/>
  </sheetPr>
  <dimension ref="A1:C4"/>
  <sheetViews>
    <sheetView workbookViewId="0"/>
  </sheetViews>
  <sheetFormatPr defaultColWidth="8.77734375" defaultRowHeight="14.4" x14ac:dyDescent="0.3"/>
  <cols>
    <col min="1" max="1" width="17.44140625" customWidth="1"/>
  </cols>
  <sheetData>
    <row r="1" spans="1:3" ht="16.2" thickBot="1" x14ac:dyDescent="0.35">
      <c r="A1" s="1" t="s">
        <v>261</v>
      </c>
    </row>
    <row r="2" spans="1:3" ht="15.6" x14ac:dyDescent="0.3">
      <c r="A2" s="4" t="s">
        <v>170</v>
      </c>
      <c r="B2" s="25" t="s">
        <v>242</v>
      </c>
      <c r="C2" s="25" t="s">
        <v>262</v>
      </c>
    </row>
    <row r="3" spans="1:3" ht="15.6" x14ac:dyDescent="0.3">
      <c r="A3" s="26" t="s">
        <v>119</v>
      </c>
      <c r="B3" s="32">
        <v>0.8</v>
      </c>
      <c r="C3" s="32">
        <v>1</v>
      </c>
    </row>
    <row r="4" spans="1:3" ht="15.6" x14ac:dyDescent="0.3">
      <c r="A4" s="26" t="s">
        <v>120</v>
      </c>
      <c r="B4" s="32">
        <v>0</v>
      </c>
      <c r="C4" s="32">
        <v>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7"/>
  <sheetViews>
    <sheetView workbookViewId="0"/>
  </sheetViews>
  <sheetFormatPr defaultColWidth="8.77734375" defaultRowHeight="14.4" x14ac:dyDescent="0.3"/>
  <cols>
    <col min="1" max="1" width="25.44140625" customWidth="1"/>
  </cols>
  <sheetData>
    <row r="1" spans="1:2" ht="16.2" thickBot="1" x14ac:dyDescent="0.35">
      <c r="A1" s="1" t="s">
        <v>257</v>
      </c>
    </row>
    <row r="2" spans="1:2" ht="15.6" x14ac:dyDescent="0.3">
      <c r="A2" s="4" t="s">
        <v>236</v>
      </c>
      <c r="B2" s="25" t="s">
        <v>46</v>
      </c>
    </row>
    <row r="3" spans="1:2" ht="15.6" x14ac:dyDescent="0.3">
      <c r="A3" s="85" t="s">
        <v>121</v>
      </c>
      <c r="B3" s="35">
        <v>0</v>
      </c>
    </row>
    <row r="4" spans="1:2" ht="15.6" x14ac:dyDescent="0.3">
      <c r="A4" s="85" t="s">
        <v>122</v>
      </c>
      <c r="B4" s="35">
        <v>0</v>
      </c>
    </row>
    <row r="5" spans="1:2" ht="15.6" x14ac:dyDescent="0.3">
      <c r="A5" s="85" t="s">
        <v>258</v>
      </c>
      <c r="B5" s="35">
        <v>1</v>
      </c>
    </row>
    <row r="6" spans="1:2" ht="15.6" x14ac:dyDescent="0.3">
      <c r="A6" s="85" t="s">
        <v>259</v>
      </c>
      <c r="B6" s="35">
        <v>1</v>
      </c>
    </row>
    <row r="7" spans="1:2" ht="16.2" thickBot="1" x14ac:dyDescent="0.35">
      <c r="A7" s="27" t="s">
        <v>260</v>
      </c>
      <c r="B7" s="37">
        <v>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4"/>
  <sheetViews>
    <sheetView workbookViewId="0">
      <selection activeCell="B4" sqref="B4"/>
    </sheetView>
  </sheetViews>
  <sheetFormatPr defaultColWidth="8.77734375" defaultRowHeight="14.4" x14ac:dyDescent="0.3"/>
  <cols>
    <col min="1" max="1" width="18" customWidth="1"/>
  </cols>
  <sheetData>
    <row r="1" spans="1:2" ht="16.2" thickBot="1" x14ac:dyDescent="0.35">
      <c r="A1" s="1" t="s">
        <v>255</v>
      </c>
    </row>
    <row r="2" spans="1:2" ht="15.6" x14ac:dyDescent="0.3">
      <c r="A2" s="4" t="s">
        <v>170</v>
      </c>
      <c r="B2" s="25" t="s">
        <v>46</v>
      </c>
    </row>
    <row r="3" spans="1:2" ht="15.6" x14ac:dyDescent="0.3">
      <c r="A3" s="26" t="s">
        <v>119</v>
      </c>
      <c r="B3" s="32">
        <v>1</v>
      </c>
    </row>
    <row r="4" spans="1:2" ht="16.2" thickBot="1" x14ac:dyDescent="0.35">
      <c r="A4" s="27" t="s">
        <v>120</v>
      </c>
      <c r="B4" s="33">
        <v>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3"/>
  <sheetViews>
    <sheetView workbookViewId="0"/>
  </sheetViews>
  <sheetFormatPr defaultColWidth="8.77734375" defaultRowHeight="14.4" x14ac:dyDescent="0.3"/>
  <cols>
    <col min="1" max="1" width="19.109375" customWidth="1"/>
  </cols>
  <sheetData>
    <row r="1" spans="1:2" ht="16.2" thickBot="1" x14ac:dyDescent="0.35">
      <c r="A1" s="1" t="s">
        <v>256</v>
      </c>
    </row>
    <row r="2" spans="1:2" ht="15.6" x14ac:dyDescent="0.3">
      <c r="A2" s="4" t="s">
        <v>158</v>
      </c>
      <c r="B2" s="25" t="s">
        <v>46</v>
      </c>
    </row>
    <row r="3" spans="1:2" ht="16.2" thickBot="1" x14ac:dyDescent="0.35">
      <c r="A3" s="27" t="s">
        <v>109</v>
      </c>
      <c r="B3" s="37">
        <v>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B4"/>
  <sheetViews>
    <sheetView workbookViewId="0">
      <selection activeCell="A6" sqref="A6"/>
    </sheetView>
  </sheetViews>
  <sheetFormatPr defaultColWidth="8.77734375" defaultRowHeight="14.4" x14ac:dyDescent="0.3"/>
  <cols>
    <col min="1" max="1" width="22.109375" bestFit="1" customWidth="1"/>
  </cols>
  <sheetData>
    <row r="1" spans="1:2" ht="16.2" thickBot="1" x14ac:dyDescent="0.35">
      <c r="A1" s="28" t="s">
        <v>246</v>
      </c>
    </row>
    <row r="2" spans="1:2" ht="15.6" x14ac:dyDescent="0.3">
      <c r="A2" s="4" t="s">
        <v>45</v>
      </c>
      <c r="B2" s="25" t="s">
        <v>243</v>
      </c>
    </row>
    <row r="3" spans="1:2" ht="15.6" x14ac:dyDescent="0.3">
      <c r="A3" s="26" t="s">
        <v>247</v>
      </c>
      <c r="B3" s="35">
        <v>110</v>
      </c>
    </row>
    <row r="4" spans="1:2" ht="16.2" thickBot="1" x14ac:dyDescent="0.35">
      <c r="A4" s="27" t="s">
        <v>248</v>
      </c>
      <c r="B4" s="41">
        <v>0.03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O22" sqref="O22"/>
    </sheetView>
  </sheetViews>
  <sheetFormatPr defaultColWidth="8.77734375" defaultRowHeight="14.4" x14ac:dyDescent="0.3"/>
  <cols>
    <col min="1" max="1" width="17" bestFit="1" customWidth="1"/>
  </cols>
  <sheetData>
    <row r="1" spans="1:2" ht="16.2" thickBot="1" x14ac:dyDescent="0.35">
      <c r="A1" s="28" t="s">
        <v>249</v>
      </c>
    </row>
    <row r="2" spans="1:2" ht="15.6" x14ac:dyDescent="0.3">
      <c r="A2" s="4" t="s">
        <v>45</v>
      </c>
      <c r="B2" s="25" t="s">
        <v>243</v>
      </c>
    </row>
    <row r="3" spans="1:2" ht="15.6" x14ac:dyDescent="0.3">
      <c r="A3" s="26" t="s">
        <v>250</v>
      </c>
      <c r="B3" s="42">
        <v>0.08</v>
      </c>
    </row>
    <row r="4" spans="1:2" ht="16.2" thickBot="1" x14ac:dyDescent="0.35">
      <c r="A4" s="27" t="s">
        <v>251</v>
      </c>
      <c r="B4" s="37">
        <v>20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C7"/>
  <sheetViews>
    <sheetView workbookViewId="0">
      <selection activeCell="B3" sqref="B3"/>
    </sheetView>
  </sheetViews>
  <sheetFormatPr defaultColWidth="8.77734375" defaultRowHeight="14.4" x14ac:dyDescent="0.3"/>
  <cols>
    <col min="1" max="1" width="9.44140625" bestFit="1" customWidth="1"/>
    <col min="2" max="2" width="12.6640625" bestFit="1" customWidth="1"/>
    <col min="3" max="3" width="12.44140625" bestFit="1" customWidth="1"/>
    <col min="4" max="4" width="11.6640625" customWidth="1"/>
    <col min="5" max="5" width="17.109375" bestFit="1" customWidth="1"/>
    <col min="6" max="6" width="16.109375" customWidth="1"/>
    <col min="7" max="7" width="11.44140625" bestFit="1" customWidth="1"/>
    <col min="8" max="8" width="11" bestFit="1" customWidth="1"/>
  </cols>
  <sheetData>
    <row r="1" spans="1:3" ht="16.2" thickBot="1" x14ac:dyDescent="0.35">
      <c r="A1" s="1" t="s">
        <v>271</v>
      </c>
    </row>
    <row r="2" spans="1:3" ht="15.6" x14ac:dyDescent="0.3">
      <c r="A2" s="4" t="s">
        <v>252</v>
      </c>
      <c r="B2" s="46" t="s">
        <v>242</v>
      </c>
      <c r="C2" s="46"/>
    </row>
    <row r="3" spans="1:3" ht="15.6" x14ac:dyDescent="0.3">
      <c r="A3" s="47" t="s">
        <v>89</v>
      </c>
      <c r="B3" s="48">
        <v>120</v>
      </c>
      <c r="C3" s="48"/>
    </row>
    <row r="4" spans="1:3" ht="15.6" x14ac:dyDescent="0.3">
      <c r="A4" s="26" t="s">
        <v>90</v>
      </c>
      <c r="B4" s="49">
        <v>100</v>
      </c>
      <c r="C4" s="49"/>
    </row>
    <row r="5" spans="1:3" ht="15.6" x14ac:dyDescent="0.3">
      <c r="A5" s="26" t="s">
        <v>91</v>
      </c>
      <c r="B5" s="49">
        <v>150</v>
      </c>
      <c r="C5" s="107"/>
    </row>
    <row r="6" spans="1:3" ht="15.6" x14ac:dyDescent="0.3">
      <c r="A6" s="70" t="s">
        <v>92</v>
      </c>
      <c r="B6" s="102">
        <v>125</v>
      </c>
      <c r="C6" s="107"/>
    </row>
    <row r="7" spans="1:3" ht="16.2" thickBot="1" x14ac:dyDescent="0.35">
      <c r="A7" s="27" t="s">
        <v>109</v>
      </c>
      <c r="B7" s="50">
        <v>110</v>
      </c>
      <c r="C7" s="107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5" sqref="A5"/>
    </sheetView>
  </sheetViews>
  <sheetFormatPr defaultColWidth="9.109375" defaultRowHeight="15.6" x14ac:dyDescent="0.3"/>
  <cols>
    <col min="1" max="3" width="9.109375" style="1"/>
    <col min="4" max="4" width="3.4414062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113</v>
      </c>
    </row>
    <row r="2" spans="1:16" x14ac:dyDescent="0.3">
      <c r="A2" s="2" t="s">
        <v>114</v>
      </c>
    </row>
    <row r="3" spans="1:16" x14ac:dyDescent="0.3">
      <c r="A3" s="2" t="s">
        <v>115</v>
      </c>
      <c r="N3" s="11"/>
      <c r="O3" s="11"/>
      <c r="P3" s="11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C3"/>
  <sheetViews>
    <sheetView workbookViewId="0">
      <selection activeCell="L6" sqref="L6"/>
    </sheetView>
  </sheetViews>
  <sheetFormatPr defaultColWidth="8.77734375" defaultRowHeight="14.4" x14ac:dyDescent="0.3"/>
  <cols>
    <col min="2" max="2" width="12.6640625" bestFit="1" customWidth="1"/>
  </cols>
  <sheetData>
    <row r="1" spans="1:3" ht="16.2" thickBot="1" x14ac:dyDescent="0.35">
      <c r="A1" s="1" t="str">
        <f>_xlfn.CONCAT( "Table of Initial Water Quality at Storage [", VLOOKUP("concentration", Units!A2:B9, 2, FALSE),,"]")</f>
        <v>Table of Initial Water Quality at Storage [mg/liter]</v>
      </c>
    </row>
    <row r="2" spans="1:3" ht="15.6" x14ac:dyDescent="0.3">
      <c r="A2" s="4" t="s">
        <v>252</v>
      </c>
      <c r="B2" s="46" t="s">
        <v>242</v>
      </c>
      <c r="C2" s="46"/>
    </row>
    <row r="3" spans="1:3" ht="16.2" thickBot="1" x14ac:dyDescent="0.35">
      <c r="A3" s="103" t="s">
        <v>117</v>
      </c>
      <c r="B3" s="104">
        <v>0</v>
      </c>
      <c r="C3" s="104"/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C3"/>
  <sheetViews>
    <sheetView workbookViewId="0">
      <selection activeCell="J13" sqref="J13"/>
    </sheetView>
  </sheetViews>
  <sheetFormatPr defaultColWidth="8.77734375" defaultRowHeight="14.4" x14ac:dyDescent="0.3"/>
  <cols>
    <col min="1" max="1" width="17.6640625" customWidth="1"/>
    <col min="2" max="2" width="12.44140625" bestFit="1" customWidth="1"/>
  </cols>
  <sheetData>
    <row r="1" spans="1:3" ht="16.2" thickBot="1" x14ac:dyDescent="0.35">
      <c r="A1" s="1" t="str">
        <f>_xlfn.CONCAT( "Table of Initial Water Quality at Completions Pad Storage [",VLOOKUP("concentration", Units!$A$2:$B$9, 2, FALSE),"]")</f>
        <v>Table of Initial Water Quality at Completions Pad Storage [mg/liter]</v>
      </c>
    </row>
    <row r="2" spans="1:3" ht="15.6" x14ac:dyDescent="0.3">
      <c r="A2" s="4" t="s">
        <v>158</v>
      </c>
      <c r="B2" s="46" t="s">
        <v>242</v>
      </c>
      <c r="C2" s="46"/>
    </row>
    <row r="3" spans="1:3" ht="16.2" thickBot="1" x14ac:dyDescent="0.35">
      <c r="A3" s="27" t="s">
        <v>109</v>
      </c>
      <c r="B3" s="50">
        <v>0</v>
      </c>
      <c r="C3" s="50"/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7A092-1D7B-5147-B304-542475644386}">
  <dimension ref="A1:C4"/>
  <sheetViews>
    <sheetView workbookViewId="0">
      <selection activeCell="D9" sqref="D9"/>
    </sheetView>
  </sheetViews>
  <sheetFormatPr defaultColWidth="11.5546875" defaultRowHeight="14.4" x14ac:dyDescent="0.3"/>
  <sheetData>
    <row r="1" spans="1:3" ht="15" thickBot="1" x14ac:dyDescent="0.35">
      <c r="A1" t="s">
        <v>263</v>
      </c>
    </row>
    <row r="2" spans="1:3" ht="15.6" x14ac:dyDescent="0.3">
      <c r="A2" s="4" t="s">
        <v>170</v>
      </c>
      <c r="B2" s="46" t="s">
        <v>242</v>
      </c>
      <c r="C2" s="46"/>
    </row>
    <row r="3" spans="1:3" ht="15.6" x14ac:dyDescent="0.3">
      <c r="A3" s="26" t="s">
        <v>119</v>
      </c>
      <c r="B3" s="49">
        <v>0</v>
      </c>
      <c r="C3" s="49"/>
    </row>
    <row r="4" spans="1:3" ht="15.6" x14ac:dyDescent="0.3">
      <c r="A4" s="26" t="s">
        <v>120</v>
      </c>
      <c r="B4" s="49">
        <v>0</v>
      </c>
      <c r="C4" s="49"/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3D6E2-EC48-E04B-A292-F019B326FE69}">
  <dimension ref="A1:C4"/>
  <sheetViews>
    <sheetView workbookViewId="0">
      <selection activeCell="C8" sqref="C8"/>
    </sheetView>
  </sheetViews>
  <sheetFormatPr defaultColWidth="11.5546875" defaultRowHeight="14.4" x14ac:dyDescent="0.3"/>
  <sheetData>
    <row r="1" spans="1:3" ht="15" thickBot="1" x14ac:dyDescent="0.35">
      <c r="A1" t="s">
        <v>265</v>
      </c>
    </row>
    <row r="2" spans="1:3" ht="15.6" x14ac:dyDescent="0.3">
      <c r="A2" s="4" t="s">
        <v>170</v>
      </c>
      <c r="B2" s="46" t="s">
        <v>242</v>
      </c>
      <c r="C2" s="46"/>
    </row>
    <row r="3" spans="1:3" ht="15.6" x14ac:dyDescent="0.3">
      <c r="A3" s="26" t="s">
        <v>119</v>
      </c>
      <c r="B3" s="49">
        <v>0</v>
      </c>
      <c r="C3" s="49"/>
    </row>
    <row r="4" spans="1:3" ht="15.6" x14ac:dyDescent="0.3">
      <c r="A4" s="26" t="s">
        <v>120</v>
      </c>
      <c r="B4" s="49">
        <v>0</v>
      </c>
      <c r="C4" s="49"/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5B931-13ED-B04C-BD6B-B3248EDC4A69}">
  <dimension ref="A1:C4"/>
  <sheetViews>
    <sheetView workbookViewId="0">
      <selection activeCell="F13" sqref="F13"/>
    </sheetView>
  </sheetViews>
  <sheetFormatPr defaultColWidth="11.5546875" defaultRowHeight="14.4" x14ac:dyDescent="0.3"/>
  <sheetData>
    <row r="1" spans="1:3" ht="15" thickBot="1" x14ac:dyDescent="0.35">
      <c r="A1" t="s">
        <v>264</v>
      </c>
    </row>
    <row r="2" spans="1:3" ht="15.6" x14ac:dyDescent="0.3">
      <c r="A2" s="4" t="s">
        <v>170</v>
      </c>
      <c r="B2" s="46" t="s">
        <v>242</v>
      </c>
      <c r="C2" s="46"/>
    </row>
    <row r="3" spans="1:3" ht="15.6" x14ac:dyDescent="0.3">
      <c r="A3" s="26" t="s">
        <v>119</v>
      </c>
      <c r="B3" s="49">
        <v>1</v>
      </c>
      <c r="C3" s="49"/>
    </row>
    <row r="4" spans="1:3" ht="15.6" x14ac:dyDescent="0.3">
      <c r="A4" s="26" t="s">
        <v>120</v>
      </c>
      <c r="B4" s="49">
        <v>1</v>
      </c>
      <c r="C4" s="49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4242-36AD-5141-9744-7F50F9387918}">
  <dimension ref="A1:A3"/>
  <sheetViews>
    <sheetView workbookViewId="0">
      <selection activeCell="J21" sqref="J21"/>
    </sheetView>
  </sheetViews>
  <sheetFormatPr defaultColWidth="11.5546875" defaultRowHeight="14.4" x14ac:dyDescent="0.3"/>
  <sheetData>
    <row r="1" spans="1:1" x14ac:dyDescent="0.3">
      <c r="A1" t="s">
        <v>267</v>
      </c>
    </row>
    <row r="2" spans="1:1" x14ac:dyDescent="0.3">
      <c r="A2" s="108" t="s">
        <v>46</v>
      </c>
    </row>
    <row r="3" spans="1:1" x14ac:dyDescent="0.3">
      <c r="A3">
        <v>7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5B416-0D2D-42B4-AFE3-F87E08463FE6}">
  <dimension ref="A1:D4"/>
  <sheetViews>
    <sheetView workbookViewId="0">
      <selection activeCell="F8" sqref="F8"/>
    </sheetView>
  </sheetViews>
  <sheetFormatPr defaultRowHeight="14.4" x14ac:dyDescent="0.3"/>
  <cols>
    <col min="1" max="1" width="17.6640625" customWidth="1"/>
  </cols>
  <sheetData>
    <row r="1" spans="1:4" ht="16.2" thickBot="1" x14ac:dyDescent="0.35">
      <c r="A1" s="1" t="str">
        <f>_xlfn.CONCAT( "Table of treatment revenue [",VLOOKUP("currency", Units!$A$2:$B$9, 2, FALSE),"/", VLOOKUP("volume", Units!$A$2:$B$9, 2, FALSE),"]")</f>
        <v>Table of treatment revenue [USD/bbl]</v>
      </c>
      <c r="B1" s="1"/>
      <c r="C1" s="1"/>
      <c r="D1" s="1"/>
    </row>
    <row r="2" spans="1:4" ht="15.6" x14ac:dyDescent="0.3">
      <c r="A2" s="4" t="s">
        <v>170</v>
      </c>
      <c r="B2" s="25" t="s">
        <v>46</v>
      </c>
    </row>
    <row r="3" spans="1:4" ht="15.6" x14ac:dyDescent="0.3">
      <c r="A3" s="26" t="s">
        <v>269</v>
      </c>
      <c r="B3" s="29">
        <v>1.5</v>
      </c>
    </row>
    <row r="4" spans="1:4" ht="15.6" x14ac:dyDescent="0.3">
      <c r="A4" s="26" t="s">
        <v>270</v>
      </c>
      <c r="B4" s="29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/>
  </sheetViews>
  <sheetFormatPr defaultColWidth="9.109375" defaultRowHeight="15.6" x14ac:dyDescent="0.3"/>
  <cols>
    <col min="1" max="3" width="9.109375" style="1"/>
    <col min="4" max="4" width="3.4414062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116</v>
      </c>
    </row>
    <row r="2" spans="1:16" x14ac:dyDescent="0.3">
      <c r="A2" s="2" t="s">
        <v>117</v>
      </c>
    </row>
    <row r="3" spans="1:16" x14ac:dyDescent="0.3">
      <c r="A3" s="10"/>
      <c r="N3" s="11"/>
      <c r="O3" s="11"/>
      <c r="P3" s="11"/>
    </row>
    <row r="4" spans="1:16" x14ac:dyDescent="0.3">
      <c r="A4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86</vt:i4>
      </vt:variant>
    </vt:vector>
  </HeadingPairs>
  <TitlesOfParts>
    <vt:vector size="86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FNA</vt:lpstr>
      <vt:lpstr>RCA</vt:lpstr>
      <vt:lpstr>RSA</vt:lpstr>
      <vt:lpstr>SCA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FlowbackRates</vt:lpstr>
      <vt:lpstr>InitialStorageLevel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StorageCost</vt:lpstr>
      <vt:lpstr>StorageWithdrawalRevenue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MinResidualQuality</vt:lpstr>
      <vt:lpstr>ComponentPrice</vt:lpstr>
      <vt:lpstr>ComponentTreatment</vt:lpstr>
      <vt:lpstr>TimeDiscretization</vt:lpstr>
      <vt:lpstr>TreatmentReward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Sakshi Naik Naik</cp:lastModifiedBy>
  <cp:revision/>
  <dcterms:created xsi:type="dcterms:W3CDTF">2021-03-26T14:51:49Z</dcterms:created>
  <dcterms:modified xsi:type="dcterms:W3CDTF">2024-03-13T00:02:01Z</dcterms:modified>
  <cp:category/>
  <cp:contentStatus/>
</cp:coreProperties>
</file>