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6de0b13f87dd2f/Desktop/"/>
    </mc:Choice>
  </mc:AlternateContent>
  <xr:revisionPtr revIDLastSave="1194" documentId="8_{F1CB943E-A61E-4C18-A6DB-9D74C1FBFE6A}" xr6:coauthVersionLast="47" xr6:coauthVersionMax="47" xr10:uidLastSave="{1F6E64F4-F04D-44EA-92A1-7C0D8474C03B}"/>
  <bookViews>
    <workbookView xWindow="-120" yWindow="-120" windowWidth="20730" windowHeight="11040" firstSheet="3" activeTab="7" xr2:uid="{C24EB8EC-659F-4BDF-B2A9-39FBFAB241C4}"/>
  </bookViews>
  <sheets>
    <sheet name="Data" sheetId="3" r:id="rId1"/>
    <sheet name="Financial model" sheetId="4" r:id="rId2"/>
    <sheet name="Scenario case" sheetId="9" r:id="rId3"/>
    <sheet name="Cash Flow Data" sheetId="5" r:id="rId4"/>
    <sheet name="Ratio Analysis" sheetId="6" r:id="rId5"/>
    <sheet name="Peer Comparison" sheetId="10" r:id="rId6"/>
    <sheet name="WACC" sheetId="7" r:id="rId7"/>
    <sheet name="DCF &amp; Senstivity Analysis" sheetId="8" r:id="rId8"/>
  </sheets>
  <externalReferences>
    <externalReference r:id="rId9"/>
  </externalReferences>
  <definedNames>
    <definedName name="_xlchart.v2.0" hidden="1">'Peer Comparison'!$B$4:$B$8</definedName>
    <definedName name="_xlchart.v2.1" hidden="1">'Peer Comparison'!$F$3</definedName>
    <definedName name="_xlchart.v2.2" hidden="1">'Peer Comparison'!$F$4:$F$8</definedName>
    <definedName name="_xlchart.v2.3" hidden="1">'Peer Comparison'!$B$4:$B$8</definedName>
    <definedName name="_xlchart.v2.4" hidden="1">'Peer Comparison'!$F$3</definedName>
    <definedName name="_xlchart.v2.5" hidden="1">'Peer Comparison'!$F$4:$F$8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0" l="1" a="1"/>
  <c r="G8" i="10" s="1"/>
  <c r="G7" i="10" a="1"/>
  <c r="G7" i="10" s="1"/>
  <c r="G6" i="10" a="1"/>
  <c r="G6" i="10" s="1"/>
  <c r="G5" i="10" a="1"/>
  <c r="G5" i="10" s="1"/>
  <c r="G4" i="10" a="1"/>
  <c r="G4" i="10" s="1"/>
  <c r="F8" i="10" a="1"/>
  <c r="F8" i="10" s="1"/>
  <c r="F6" i="10" a="1"/>
  <c r="F6" i="10" s="1"/>
  <c r="F7" i="10" a="1"/>
  <c r="F7" i="10" s="1"/>
  <c r="F5" i="10" a="1"/>
  <c r="F5" i="10" s="1"/>
  <c r="F4" i="10" a="1"/>
  <c r="F4" i="10" s="1"/>
  <c r="E8" i="10" a="1"/>
  <c r="E8" i="10" s="1"/>
  <c r="E7" i="10" a="1"/>
  <c r="E7" i="10" s="1"/>
  <c r="E6" i="10" a="1"/>
  <c r="E6" i="10" s="1"/>
  <c r="E5" i="10" a="1"/>
  <c r="E5" i="10" s="1"/>
  <c r="E4" i="10" a="1"/>
  <c r="E4" i="10" s="1"/>
  <c r="D8" i="10" a="1"/>
  <c r="D8" i="10" s="1"/>
  <c r="D7" i="10" a="1"/>
  <c r="D7" i="10" s="1"/>
  <c r="D6" i="10" a="1"/>
  <c r="D6" i="10" s="1"/>
  <c r="D5" i="10" a="1"/>
  <c r="D5" i="10" s="1"/>
  <c r="D4" i="10" a="1"/>
  <c r="D4" i="10" s="1"/>
  <c r="C8" i="10" a="1"/>
  <c r="C8" i="10" s="1"/>
  <c r="C7" i="10" a="1"/>
  <c r="C7" i="10" s="1"/>
  <c r="C6" i="10" a="1"/>
  <c r="C6" i="10" s="1"/>
  <c r="C5" i="10" a="1"/>
  <c r="C5" i="10" s="1"/>
  <c r="C4" i="10" a="1"/>
  <c r="C4" i="10" s="1"/>
  <c r="H8" i="10" a="1"/>
  <c r="H8" i="10" s="1"/>
  <c r="H7" i="10" a="1"/>
  <c r="H7" i="10" s="1"/>
  <c r="H6" i="10" a="1"/>
  <c r="H6" i="10" s="1"/>
  <c r="H5" i="10" a="1"/>
  <c r="H5" i="10" s="1"/>
  <c r="H4" i="10" a="1"/>
  <c r="H4" i="10" s="1"/>
  <c r="B11" i="9"/>
  <c r="C20" i="9"/>
  <c r="D20" i="9" s="1"/>
  <c r="G20" i="9" a="1"/>
  <c r="G20" i="9" s="1"/>
  <c r="B12" i="9"/>
  <c r="N14" i="4"/>
  <c r="N8" i="4"/>
  <c r="N5" i="4"/>
  <c r="M29" i="4"/>
  <c r="M26" i="4"/>
  <c r="M23" i="4"/>
  <c r="M6" i="4"/>
  <c r="C16" i="9" s="1"/>
  <c r="B10" i="9"/>
  <c r="B9" i="9"/>
  <c r="B8" i="9"/>
  <c r="B7" i="9"/>
  <c r="B6" i="9"/>
  <c r="B5" i="9"/>
  <c r="B4" i="9"/>
  <c r="C19" i="9"/>
  <c r="E19" i="9" s="1"/>
  <c r="C18" i="9"/>
  <c r="C17" i="9"/>
  <c r="D17" i="9" s="1"/>
  <c r="E20" i="9" l="1"/>
  <c r="D18" i="9"/>
  <c r="G18" i="9" s="1" a="1"/>
  <c r="G18" i="9" s="1"/>
  <c r="E17" i="9"/>
  <c r="E18" i="9"/>
  <c r="D19" i="9"/>
  <c r="G19" i="9" s="1" a="1"/>
  <c r="G19" i="9" s="1"/>
  <c r="G17" i="9" a="1"/>
  <c r="G17" i="9" s="1"/>
  <c r="D16" i="9"/>
  <c r="G16" i="9" s="1" a="1"/>
  <c r="G16" i="9" s="1"/>
  <c r="C4" i="9" s="1"/>
  <c r="E16" i="9"/>
  <c r="C5" i="9" l="1"/>
  <c r="C6" i="9" s="1"/>
  <c r="D4" i="9"/>
  <c r="C7" i="9"/>
  <c r="C9" i="9"/>
  <c r="D7" i="9" l="1"/>
  <c r="E4" i="9"/>
  <c r="D9" i="9"/>
  <c r="D5" i="9"/>
  <c r="D6" i="9" s="1"/>
  <c r="C8" i="9"/>
  <c r="C10" i="9" s="1"/>
  <c r="C11" i="9" l="1"/>
  <c r="C12" i="9" s="1"/>
  <c r="D8" i="9"/>
  <c r="D10" i="9" s="1"/>
  <c r="E7" i="9"/>
  <c r="E5" i="9"/>
  <c r="E6" i="9" s="1"/>
  <c r="F4" i="9"/>
  <c r="E9" i="9"/>
  <c r="D11" i="9" l="1"/>
  <c r="D12" i="9" s="1"/>
  <c r="F9" i="9"/>
  <c r="F7" i="9"/>
  <c r="G4" i="9"/>
  <c r="F5" i="9"/>
  <c r="F6" i="9"/>
  <c r="E8" i="9"/>
  <c r="E10" i="9" s="1"/>
  <c r="E11" i="9" l="1"/>
  <c r="E12" i="9" s="1"/>
  <c r="F8" i="9"/>
  <c r="F10" i="9" s="1"/>
  <c r="H4" i="9"/>
  <c r="G7" i="9"/>
  <c r="G5" i="9"/>
  <c r="G6" i="9" s="1"/>
  <c r="G9" i="9"/>
  <c r="G8" i="9" l="1"/>
  <c r="F11" i="9"/>
  <c r="F12" i="9" s="1"/>
  <c r="G10" i="9"/>
  <c r="H9" i="9"/>
  <c r="H7" i="9"/>
  <c r="H5" i="9"/>
  <c r="H6" i="9" s="1"/>
  <c r="G11" i="9" l="1"/>
  <c r="G12" i="9" s="1"/>
  <c r="H8" i="9"/>
  <c r="H10" i="9" s="1"/>
  <c r="H11" i="9" l="1"/>
  <c r="H12" i="9" s="1"/>
  <c r="E8" i="8"/>
  <c r="E10" i="8" s="1"/>
  <c r="F8" i="8"/>
  <c r="G8" i="8"/>
  <c r="H8" i="8"/>
  <c r="I8" i="8"/>
  <c r="J8" i="8"/>
  <c r="K8" i="8"/>
  <c r="L8" i="8"/>
  <c r="M8" i="8"/>
  <c r="N8" i="8"/>
  <c r="D8" i="8"/>
  <c r="E5" i="8"/>
  <c r="F5" i="8"/>
  <c r="G5" i="8"/>
  <c r="H5" i="8"/>
  <c r="H10" i="8" s="1"/>
  <c r="I5" i="8"/>
  <c r="J5" i="8"/>
  <c r="K5" i="8"/>
  <c r="L5" i="8"/>
  <c r="M5" i="8"/>
  <c r="N5" i="8"/>
  <c r="D5" i="8"/>
  <c r="J17" i="8"/>
  <c r="K17" i="8" s="1"/>
  <c r="E17" i="8"/>
  <c r="F17" i="8" s="1"/>
  <c r="G17" i="8" s="1"/>
  <c r="H17" i="8" s="1"/>
  <c r="F10" i="8"/>
  <c r="G10" i="8"/>
  <c r="L10" i="8" l="1"/>
  <c r="M10" i="8"/>
  <c r="N10" i="8"/>
  <c r="D10" i="8"/>
  <c r="I10" i="8"/>
  <c r="J10" i="8"/>
  <c r="K10" i="8"/>
  <c r="L17" i="8"/>
  <c r="M17" i="8" l="1"/>
  <c r="N17" i="8" l="1"/>
  <c r="O17" i="8" l="1"/>
  <c r="P17" i="8" l="1"/>
  <c r="Q17" i="8" l="1"/>
  <c r="R17" i="8" l="1"/>
  <c r="S17" i="8" l="1"/>
  <c r="T17" i="8" s="1"/>
  <c r="D29" i="7" l="1"/>
  <c r="E29" i="7" s="1"/>
  <c r="E20" i="7"/>
  <c r="I34" i="7" s="1"/>
  <c r="I13" i="7"/>
  <c r="F13" i="7"/>
  <c r="I12" i="7"/>
  <c r="F12" i="7"/>
  <c r="H10" i="7"/>
  <c r="G10" i="7"/>
  <c r="J10" i="7" s="1"/>
  <c r="H9" i="7"/>
  <c r="G9" i="7"/>
  <c r="J9" i="7" s="1"/>
  <c r="H8" i="7"/>
  <c r="G8" i="7"/>
  <c r="J8" i="7" s="1"/>
  <c r="H7" i="7"/>
  <c r="G7" i="7"/>
  <c r="J7" i="7" l="1"/>
  <c r="J13" i="7" s="1"/>
  <c r="L36" i="6" l="1"/>
  <c r="J34" i="6"/>
  <c r="L24" i="6"/>
  <c r="L30" i="6" s="1"/>
  <c r="D23" i="6"/>
  <c r="D29" i="6" s="1"/>
  <c r="E23" i="6"/>
  <c r="E29" i="6" s="1"/>
  <c r="F7" i="6"/>
  <c r="G7" i="6"/>
  <c r="K2" i="6"/>
  <c r="J2" i="6"/>
  <c r="I2" i="6"/>
  <c r="H2" i="6"/>
  <c r="G2" i="6"/>
  <c r="F2" i="6"/>
  <c r="E2" i="6"/>
  <c r="D2" i="6"/>
  <c r="C2" i="6"/>
  <c r="B2" i="6"/>
  <c r="C72" i="4"/>
  <c r="D72" i="4"/>
  <c r="E72" i="4"/>
  <c r="F72" i="4"/>
  <c r="G72" i="4"/>
  <c r="H72" i="4"/>
  <c r="I72" i="4"/>
  <c r="J72" i="4"/>
  <c r="K72" i="4"/>
  <c r="L72" i="4"/>
  <c r="B72" i="4"/>
  <c r="C70" i="4"/>
  <c r="D70" i="4"/>
  <c r="E70" i="4"/>
  <c r="F70" i="4"/>
  <c r="G70" i="4"/>
  <c r="H70" i="4"/>
  <c r="I70" i="4"/>
  <c r="J70" i="4"/>
  <c r="K70" i="4"/>
  <c r="L70" i="4"/>
  <c r="B70" i="4"/>
  <c r="C68" i="4"/>
  <c r="D68" i="4"/>
  <c r="E68" i="4"/>
  <c r="F68" i="4"/>
  <c r="G68" i="4"/>
  <c r="H68" i="4"/>
  <c r="I68" i="4"/>
  <c r="J68" i="4"/>
  <c r="K68" i="4"/>
  <c r="L68" i="4"/>
  <c r="B68" i="4"/>
  <c r="C66" i="4"/>
  <c r="D66" i="4"/>
  <c r="E66" i="4"/>
  <c r="F66" i="4"/>
  <c r="G66" i="4"/>
  <c r="H66" i="4"/>
  <c r="I66" i="4"/>
  <c r="J66" i="4"/>
  <c r="K66" i="4"/>
  <c r="K36" i="6" s="1"/>
  <c r="L66" i="4"/>
  <c r="B66" i="4"/>
  <c r="B36" i="6" s="1"/>
  <c r="C47" i="4"/>
  <c r="E47" i="4"/>
  <c r="C57" i="4"/>
  <c r="D57" i="4"/>
  <c r="E57" i="4"/>
  <c r="F57" i="4"/>
  <c r="G57" i="4"/>
  <c r="H57" i="4"/>
  <c r="I57" i="4"/>
  <c r="J57" i="4"/>
  <c r="K57" i="4"/>
  <c r="L57" i="4"/>
  <c r="C58" i="4"/>
  <c r="D58" i="4"/>
  <c r="B57" i="4"/>
  <c r="C56" i="4"/>
  <c r="D56" i="4"/>
  <c r="E56" i="4"/>
  <c r="F56" i="4"/>
  <c r="G56" i="4"/>
  <c r="H56" i="4"/>
  <c r="I56" i="4"/>
  <c r="J56" i="4"/>
  <c r="K56" i="4"/>
  <c r="K25" i="6" s="1"/>
  <c r="K31" i="6" s="1"/>
  <c r="L56" i="4"/>
  <c r="B56" i="4"/>
  <c r="B25" i="6" s="1"/>
  <c r="B31" i="6" s="1"/>
  <c r="C55" i="4"/>
  <c r="D55" i="4"/>
  <c r="E55" i="4"/>
  <c r="F55" i="4"/>
  <c r="G55" i="4"/>
  <c r="H55" i="4"/>
  <c r="I55" i="4"/>
  <c r="J55" i="4"/>
  <c r="K55" i="4"/>
  <c r="K23" i="6" s="1"/>
  <c r="K29" i="6" s="1"/>
  <c r="L55" i="4"/>
  <c r="B55" i="4"/>
  <c r="B23" i="6" s="1"/>
  <c r="J53" i="4"/>
  <c r="C52" i="4"/>
  <c r="D52" i="4"/>
  <c r="E52" i="4"/>
  <c r="F52" i="4"/>
  <c r="G52" i="4"/>
  <c r="H52" i="4"/>
  <c r="I52" i="4"/>
  <c r="J52" i="4"/>
  <c r="K52" i="4"/>
  <c r="L52" i="4"/>
  <c r="L32" i="3"/>
  <c r="K32" i="3"/>
  <c r="J32" i="3"/>
  <c r="I32" i="3"/>
  <c r="H32" i="3"/>
  <c r="G32" i="3"/>
  <c r="F32" i="3"/>
  <c r="E32" i="3"/>
  <c r="D32" i="3"/>
  <c r="C32" i="3"/>
  <c r="B32" i="3"/>
  <c r="B52" i="4" s="1"/>
  <c r="C51" i="4"/>
  <c r="C53" i="4" s="1"/>
  <c r="D51" i="4"/>
  <c r="E51" i="4"/>
  <c r="F51" i="4"/>
  <c r="G51" i="4"/>
  <c r="H51" i="4"/>
  <c r="I51" i="4"/>
  <c r="J51" i="4"/>
  <c r="K51" i="4"/>
  <c r="L51" i="4"/>
  <c r="B51" i="4"/>
  <c r="C50" i="4"/>
  <c r="D50" i="4"/>
  <c r="E50" i="4"/>
  <c r="F50" i="4"/>
  <c r="G50" i="4"/>
  <c r="H50" i="4"/>
  <c r="I50" i="4"/>
  <c r="J50" i="4"/>
  <c r="K50" i="4"/>
  <c r="K53" i="4" s="1"/>
  <c r="L50" i="4"/>
  <c r="B50" i="4"/>
  <c r="C49" i="4"/>
  <c r="D49" i="4"/>
  <c r="E49" i="4"/>
  <c r="F49" i="4"/>
  <c r="G49" i="4"/>
  <c r="H49" i="4"/>
  <c r="I49" i="4"/>
  <c r="J49" i="4"/>
  <c r="K49" i="4"/>
  <c r="L49" i="4"/>
  <c r="L53" i="4" s="1"/>
  <c r="B49" i="4"/>
  <c r="C46" i="4"/>
  <c r="D46" i="4"/>
  <c r="D47" i="4" s="1"/>
  <c r="E46" i="4"/>
  <c r="F46" i="4"/>
  <c r="F47" i="4" s="1"/>
  <c r="G46" i="4"/>
  <c r="H46" i="4"/>
  <c r="I46" i="4"/>
  <c r="J46" i="4"/>
  <c r="K46" i="4"/>
  <c r="L46" i="4"/>
  <c r="B46" i="4"/>
  <c r="C45" i="4"/>
  <c r="D45" i="4"/>
  <c r="E45" i="4"/>
  <c r="F45" i="4"/>
  <c r="G45" i="4"/>
  <c r="G36" i="6" s="1"/>
  <c r="H45" i="4"/>
  <c r="I45" i="4"/>
  <c r="I36" i="6" s="1"/>
  <c r="J45" i="4"/>
  <c r="K45" i="4"/>
  <c r="L45" i="4"/>
  <c r="D6" i="7" s="1"/>
  <c r="B45" i="4"/>
  <c r="C44" i="4"/>
  <c r="D44" i="4"/>
  <c r="E44" i="4"/>
  <c r="E27" i="6" s="1"/>
  <c r="F44" i="4"/>
  <c r="G44" i="4"/>
  <c r="H44" i="4"/>
  <c r="H47" i="4" s="1"/>
  <c r="I44" i="4"/>
  <c r="J44" i="4"/>
  <c r="K44" i="4"/>
  <c r="L44" i="4"/>
  <c r="B44" i="4"/>
  <c r="L43" i="4"/>
  <c r="E6" i="7" s="1"/>
  <c r="L27" i="7" s="1"/>
  <c r="L28" i="7" s="1"/>
  <c r="E27" i="7" s="1"/>
  <c r="K5" i="4"/>
  <c r="K26" i="6" s="1"/>
  <c r="L33" i="4"/>
  <c r="L36" i="4"/>
  <c r="L7" i="6" s="1"/>
  <c r="L37" i="4"/>
  <c r="L39" i="4"/>
  <c r="L18" i="6" s="1"/>
  <c r="L14" i="4"/>
  <c r="L19" i="4"/>
  <c r="L8" i="4"/>
  <c r="L5" i="4"/>
  <c r="L27" i="6" s="1"/>
  <c r="C43" i="4"/>
  <c r="D43" i="4"/>
  <c r="E43" i="4"/>
  <c r="F43" i="4"/>
  <c r="G43" i="4"/>
  <c r="H43" i="4"/>
  <c r="I43" i="4"/>
  <c r="J43" i="4"/>
  <c r="K43" i="4"/>
  <c r="K27" i="6" s="1"/>
  <c r="B43" i="4"/>
  <c r="C36" i="4"/>
  <c r="C7" i="6" s="1"/>
  <c r="D36" i="4"/>
  <c r="D7" i="6" s="1"/>
  <c r="E36" i="4"/>
  <c r="E7" i="6" s="1"/>
  <c r="F36" i="4"/>
  <c r="G36" i="4"/>
  <c r="H36" i="4"/>
  <c r="H7" i="6" s="1"/>
  <c r="I36" i="4"/>
  <c r="I7" i="6" s="1"/>
  <c r="J36" i="4"/>
  <c r="J7" i="6" s="1"/>
  <c r="K36" i="4"/>
  <c r="K7" i="6" s="1"/>
  <c r="B36" i="4"/>
  <c r="C33" i="4"/>
  <c r="D33" i="4"/>
  <c r="E33" i="4"/>
  <c r="F33" i="4"/>
  <c r="G33" i="4"/>
  <c r="H33" i="4"/>
  <c r="I33" i="4"/>
  <c r="J33" i="4"/>
  <c r="K33" i="4"/>
  <c r="B33" i="4"/>
  <c r="L7" i="3"/>
  <c r="K7" i="3"/>
  <c r="J7" i="3"/>
  <c r="J5" i="4" s="1"/>
  <c r="I7" i="3"/>
  <c r="I5" i="4" s="1"/>
  <c r="H7" i="3"/>
  <c r="H5" i="4" s="1"/>
  <c r="G7" i="3"/>
  <c r="G5" i="4" s="1"/>
  <c r="F7" i="3"/>
  <c r="F5" i="4" s="1"/>
  <c r="E7" i="3"/>
  <c r="E5" i="4" s="1"/>
  <c r="D7" i="3"/>
  <c r="D5" i="4" s="1"/>
  <c r="C7" i="3"/>
  <c r="C5" i="4" s="1"/>
  <c r="C24" i="6" s="1"/>
  <c r="C30" i="6" s="1"/>
  <c r="B7" i="3"/>
  <c r="B5" i="4" s="1"/>
  <c r="B24" i="6" s="1"/>
  <c r="C19" i="4"/>
  <c r="D19" i="4"/>
  <c r="E19" i="4"/>
  <c r="F19" i="4"/>
  <c r="G19" i="4"/>
  <c r="H19" i="4"/>
  <c r="I19" i="4"/>
  <c r="J19" i="4"/>
  <c r="K19" i="4"/>
  <c r="B19" i="4"/>
  <c r="C14" i="4"/>
  <c r="D14" i="4"/>
  <c r="E14" i="4"/>
  <c r="F14" i="4"/>
  <c r="G14" i="4"/>
  <c r="H14" i="4"/>
  <c r="I14" i="4"/>
  <c r="J14" i="4"/>
  <c r="K14" i="4"/>
  <c r="B14" i="4"/>
  <c r="C8" i="4"/>
  <c r="D8" i="4"/>
  <c r="E8" i="4"/>
  <c r="F8" i="4"/>
  <c r="G8" i="4"/>
  <c r="H8" i="4"/>
  <c r="I8" i="4"/>
  <c r="J8" i="4"/>
  <c r="K8" i="4"/>
  <c r="B8" i="4"/>
  <c r="K3" i="4"/>
  <c r="J3" i="4"/>
  <c r="I3" i="4"/>
  <c r="H3" i="4"/>
  <c r="G3" i="4"/>
  <c r="F3" i="4"/>
  <c r="E3" i="4"/>
  <c r="D3" i="4"/>
  <c r="C3" i="4"/>
  <c r="B3" i="4"/>
  <c r="E24" i="6" l="1"/>
  <c r="E30" i="6" s="1"/>
  <c r="I53" i="4"/>
  <c r="D24" i="6"/>
  <c r="D30" i="6" s="1"/>
  <c r="G53" i="4"/>
  <c r="C25" i="6"/>
  <c r="C31" i="6" s="1"/>
  <c r="J36" i="6"/>
  <c r="H53" i="4"/>
  <c r="B47" i="4"/>
  <c r="I47" i="4"/>
  <c r="H36" i="6"/>
  <c r="B26" i="6"/>
  <c r="L26" i="6"/>
  <c r="K34" i="6"/>
  <c r="D27" i="6"/>
  <c r="C9" i="4"/>
  <c r="C23" i="6"/>
  <c r="C29" i="6" s="1"/>
  <c r="D25" i="6"/>
  <c r="D31" i="6" s="1"/>
  <c r="C34" i="6"/>
  <c r="C36" i="6"/>
  <c r="I23" i="6"/>
  <c r="I29" i="6" s="1"/>
  <c r="I24" i="6"/>
  <c r="I30" i="6" s="1"/>
  <c r="I25" i="6"/>
  <c r="I31" i="6" s="1"/>
  <c r="I26" i="6"/>
  <c r="I34" i="6"/>
  <c r="J24" i="6"/>
  <c r="J30" i="6" s="1"/>
  <c r="J25" i="6"/>
  <c r="J31" i="6" s="1"/>
  <c r="J23" i="6"/>
  <c r="J29" i="6" s="1"/>
  <c r="J47" i="4"/>
  <c r="D53" i="4"/>
  <c r="D60" i="4"/>
  <c r="D35" i="6" s="1"/>
  <c r="J26" i="6"/>
  <c r="J58" i="4"/>
  <c r="J60" i="4" s="1"/>
  <c r="J35" i="6" s="1"/>
  <c r="J27" i="6"/>
  <c r="C27" i="7"/>
  <c r="G6" i="7"/>
  <c r="H6" i="7"/>
  <c r="K47" i="4"/>
  <c r="K24" i="6"/>
  <c r="K30" i="6" s="1"/>
  <c r="F34" i="6"/>
  <c r="F36" i="6"/>
  <c r="L25" i="6"/>
  <c r="L31" i="6" s="1"/>
  <c r="L32" i="6" s="1"/>
  <c r="E26" i="6"/>
  <c r="E53" i="4"/>
  <c r="B27" i="6"/>
  <c r="L58" i="4"/>
  <c r="L60" i="4" s="1"/>
  <c r="I58" i="4"/>
  <c r="I60" i="4" s="1"/>
  <c r="I35" i="6" s="1"/>
  <c r="I27" i="6"/>
  <c r="F23" i="6"/>
  <c r="F29" i="6" s="1"/>
  <c r="F25" i="6"/>
  <c r="F31" i="6" s="1"/>
  <c r="F26" i="6"/>
  <c r="F24" i="6"/>
  <c r="F30" i="6" s="1"/>
  <c r="F27" i="6"/>
  <c r="E34" i="6"/>
  <c r="E36" i="6"/>
  <c r="B34" i="6"/>
  <c r="O34" i="6" s="1"/>
  <c r="H23" i="6"/>
  <c r="H29" i="6" s="1"/>
  <c r="H24" i="6"/>
  <c r="H30" i="6" s="1"/>
  <c r="H32" i="6" s="1"/>
  <c r="H26" i="6"/>
  <c r="H27" i="6"/>
  <c r="H25" i="6"/>
  <c r="H31" i="6" s="1"/>
  <c r="H34" i="6"/>
  <c r="F53" i="4"/>
  <c r="C60" i="4"/>
  <c r="C35" i="6" s="1"/>
  <c r="K58" i="4"/>
  <c r="K60" i="4" s="1"/>
  <c r="K35" i="6" s="1"/>
  <c r="G24" i="6"/>
  <c r="G30" i="6" s="1"/>
  <c r="G32" i="6" s="1"/>
  <c r="G25" i="6"/>
  <c r="G31" i="6" s="1"/>
  <c r="G34" i="6"/>
  <c r="G26" i="6"/>
  <c r="G23" i="6"/>
  <c r="G29" i="6" s="1"/>
  <c r="G27" i="6"/>
  <c r="L9" i="4"/>
  <c r="L11" i="4"/>
  <c r="L23" i="6"/>
  <c r="L29" i="6" s="1"/>
  <c r="G47" i="4"/>
  <c r="D36" i="6"/>
  <c r="D34" i="6"/>
  <c r="L34" i="6"/>
  <c r="H58" i="4"/>
  <c r="H60" i="4" s="1"/>
  <c r="H35" i="6" s="1"/>
  <c r="F58" i="4"/>
  <c r="F60" i="4" s="1"/>
  <c r="F35" i="6" s="1"/>
  <c r="L47" i="4"/>
  <c r="E25" i="6"/>
  <c r="E31" i="6" s="1"/>
  <c r="E32" i="6" s="1"/>
  <c r="D26" i="6"/>
  <c r="C27" i="6"/>
  <c r="G58" i="4"/>
  <c r="E58" i="4"/>
  <c r="J34" i="7"/>
  <c r="E28" i="7"/>
  <c r="J35" i="7" s="1"/>
  <c r="E31" i="7"/>
  <c r="J27" i="7" s="1"/>
  <c r="C26" i="6"/>
  <c r="O36" i="6"/>
  <c r="O17" i="6"/>
  <c r="D32" i="6"/>
  <c r="O7" i="6"/>
  <c r="N7" i="6"/>
  <c r="N17" i="6"/>
  <c r="K32" i="6"/>
  <c r="F32" i="6"/>
  <c r="C32" i="6"/>
  <c r="B29" i="6"/>
  <c r="B30" i="6"/>
  <c r="N36" i="6"/>
  <c r="B37" i="4"/>
  <c r="L20" i="4"/>
  <c r="L17" i="4"/>
  <c r="L15" i="4"/>
  <c r="L14" i="6" s="1"/>
  <c r="L34" i="4"/>
  <c r="L6" i="4"/>
  <c r="L4" i="6" s="1"/>
  <c r="D11" i="4"/>
  <c r="G6" i="4"/>
  <c r="G4" i="6" s="1"/>
  <c r="F20" i="4"/>
  <c r="E20" i="4"/>
  <c r="E15" i="4"/>
  <c r="E14" i="6" s="1"/>
  <c r="F6" i="4"/>
  <c r="F4" i="6" s="1"/>
  <c r="D9" i="4"/>
  <c r="B11" i="4"/>
  <c r="C20" i="4"/>
  <c r="B58" i="4"/>
  <c r="D20" i="4"/>
  <c r="D15" i="4"/>
  <c r="D14" i="6" s="1"/>
  <c r="E6" i="4"/>
  <c r="E4" i="6" s="1"/>
  <c r="C15" i="4"/>
  <c r="C14" i="6" s="1"/>
  <c r="C11" i="4"/>
  <c r="C10" i="6" s="1"/>
  <c r="C15" i="6" s="1"/>
  <c r="F15" i="4"/>
  <c r="F14" i="6" s="1"/>
  <c r="D6" i="4"/>
  <c r="D4" i="6" s="1"/>
  <c r="K11" i="4"/>
  <c r="K10" i="6" s="1"/>
  <c r="K15" i="6" s="1"/>
  <c r="G11" i="4"/>
  <c r="K15" i="4"/>
  <c r="K14" i="6" s="1"/>
  <c r="H9" i="4"/>
  <c r="J9" i="4"/>
  <c r="I9" i="4"/>
  <c r="C6" i="4"/>
  <c r="C4" i="6" s="1"/>
  <c r="B20" i="4"/>
  <c r="B15" i="4"/>
  <c r="B14" i="6" s="1"/>
  <c r="G15" i="4"/>
  <c r="G14" i="6" s="1"/>
  <c r="J11" i="4"/>
  <c r="J6" i="4"/>
  <c r="J4" i="6" s="1"/>
  <c r="K6" i="4"/>
  <c r="K4" i="6" s="1"/>
  <c r="G20" i="4"/>
  <c r="H20" i="4"/>
  <c r="K20" i="4"/>
  <c r="B53" i="4"/>
  <c r="H6" i="4"/>
  <c r="H4" i="6" s="1"/>
  <c r="H11" i="4"/>
  <c r="H15" i="4"/>
  <c r="H14" i="6" s="1"/>
  <c r="I6" i="4"/>
  <c r="I4" i="6" s="1"/>
  <c r="I11" i="4"/>
  <c r="I15" i="4"/>
  <c r="I14" i="6" s="1"/>
  <c r="J15" i="4"/>
  <c r="J14" i="6" s="1"/>
  <c r="I20" i="4"/>
  <c r="E9" i="4"/>
  <c r="E11" i="4"/>
  <c r="J20" i="4"/>
  <c r="F11" i="4"/>
  <c r="F9" i="4"/>
  <c r="K9" i="4"/>
  <c r="G9" i="4"/>
  <c r="N31" i="6" l="1"/>
  <c r="I32" i="6"/>
  <c r="N27" i="6"/>
  <c r="N14" i="6"/>
  <c r="O26" i="6"/>
  <c r="O25" i="6"/>
  <c r="O31" i="6"/>
  <c r="N4" i="6"/>
  <c r="G60" i="4"/>
  <c r="G35" i="6" s="1"/>
  <c r="J32" i="6"/>
  <c r="N34" i="6"/>
  <c r="L35" i="6"/>
  <c r="L62" i="4"/>
  <c r="O4" i="6"/>
  <c r="O27" i="6"/>
  <c r="E60" i="4"/>
  <c r="E35" i="6" s="1"/>
  <c r="N25" i="6"/>
  <c r="G17" i="4"/>
  <c r="G10" i="6"/>
  <c r="G15" i="6" s="1"/>
  <c r="L22" i="4"/>
  <c r="L21" i="6"/>
  <c r="L5" i="6"/>
  <c r="N23" i="6"/>
  <c r="J6" i="7"/>
  <c r="G13" i="7"/>
  <c r="G12" i="7"/>
  <c r="D17" i="4"/>
  <c r="D10" i="6"/>
  <c r="D15" i="6" s="1"/>
  <c r="O23" i="6"/>
  <c r="N26" i="6"/>
  <c r="E17" i="4"/>
  <c r="E10" i="6"/>
  <c r="E15" i="6" s="1"/>
  <c r="B10" i="6"/>
  <c r="B17" i="4"/>
  <c r="B21" i="6" s="1"/>
  <c r="N24" i="6"/>
  <c r="L12" i="4"/>
  <c r="L9" i="6" s="1"/>
  <c r="L10" i="6"/>
  <c r="L15" i="6" s="1"/>
  <c r="J17" i="4"/>
  <c r="J10" i="6"/>
  <c r="J15" i="6" s="1"/>
  <c r="H13" i="7"/>
  <c r="H12" i="7"/>
  <c r="I17" i="4"/>
  <c r="I10" i="6"/>
  <c r="I15" i="6" s="1"/>
  <c r="C29" i="7"/>
  <c r="D28" i="7" s="1"/>
  <c r="D27" i="7"/>
  <c r="D31" i="7" s="1"/>
  <c r="O24" i="6"/>
  <c r="O14" i="6"/>
  <c r="H17" i="4"/>
  <c r="H10" i="6"/>
  <c r="H15" i="6" s="1"/>
  <c r="F17" i="4"/>
  <c r="F10" i="6"/>
  <c r="F15" i="6" s="1"/>
  <c r="O29" i="6"/>
  <c r="N29" i="6"/>
  <c r="O30" i="6"/>
  <c r="N30" i="6"/>
  <c r="B32" i="6"/>
  <c r="D12" i="4"/>
  <c r="D9" i="6" s="1"/>
  <c r="G62" i="4"/>
  <c r="E62" i="4"/>
  <c r="K12" i="4"/>
  <c r="K9" i="6" s="1"/>
  <c r="K17" i="4"/>
  <c r="G12" i="4"/>
  <c r="G9" i="6" s="1"/>
  <c r="C12" i="4"/>
  <c r="C9" i="6" s="1"/>
  <c r="C17" i="4"/>
  <c r="B12" i="4"/>
  <c r="B9" i="6" s="1"/>
  <c r="H62" i="4"/>
  <c r="C62" i="4"/>
  <c r="B60" i="4"/>
  <c r="D62" i="4"/>
  <c r="M15" i="4"/>
  <c r="F62" i="4"/>
  <c r="J62" i="4"/>
  <c r="K62" i="4"/>
  <c r="I62" i="4"/>
  <c r="M9" i="4"/>
  <c r="M20" i="4"/>
  <c r="J12" i="4"/>
  <c r="J9" i="6" s="1"/>
  <c r="F12" i="4"/>
  <c r="F9" i="6" s="1"/>
  <c r="I12" i="4"/>
  <c r="I9" i="6" s="1"/>
  <c r="E12" i="4"/>
  <c r="E9" i="6" s="1"/>
  <c r="H12" i="4"/>
  <c r="H9" i="6" s="1"/>
  <c r="C22" i="4" l="1"/>
  <c r="C25" i="4" s="1"/>
  <c r="C21" i="6"/>
  <c r="C5" i="6"/>
  <c r="B15" i="6"/>
  <c r="N10" i="6"/>
  <c r="O10" i="6"/>
  <c r="L25" i="4"/>
  <c r="L26" i="4" s="1"/>
  <c r="L23" i="4"/>
  <c r="L11" i="6" s="1"/>
  <c r="O9" i="6"/>
  <c r="N9" i="6"/>
  <c r="G21" i="6"/>
  <c r="G5" i="6"/>
  <c r="D21" i="6"/>
  <c r="D5" i="6"/>
  <c r="D22" i="4"/>
  <c r="D25" i="4" s="1"/>
  <c r="F21" i="6"/>
  <c r="F5" i="6"/>
  <c r="Q5" i="4"/>
  <c r="R5" i="8" s="1"/>
  <c r="R5" i="4"/>
  <c r="S5" i="8" s="1"/>
  <c r="P5" i="4"/>
  <c r="Q5" i="8" s="1"/>
  <c r="S5" i="4"/>
  <c r="T5" i="8" s="1"/>
  <c r="O5" i="4"/>
  <c r="P5" i="8" s="1"/>
  <c r="K22" i="4"/>
  <c r="K25" i="4" s="1"/>
  <c r="K26" i="4" s="1"/>
  <c r="K21" i="6"/>
  <c r="K5" i="6"/>
  <c r="E21" i="6"/>
  <c r="E5" i="6"/>
  <c r="I21" i="6"/>
  <c r="I5" i="6"/>
  <c r="G22" i="4"/>
  <c r="G25" i="4" s="1"/>
  <c r="G28" i="4" s="1"/>
  <c r="B62" i="4"/>
  <c r="B35" i="6"/>
  <c r="J21" i="6"/>
  <c r="J5" i="6"/>
  <c r="B22" i="4"/>
  <c r="B25" i="4" s="1"/>
  <c r="B26" i="4" s="1"/>
  <c r="H21" i="6"/>
  <c r="H5" i="6"/>
  <c r="J26" i="7"/>
  <c r="J29" i="7" s="1"/>
  <c r="J20" i="7" s="1"/>
  <c r="J21" i="7" s="1"/>
  <c r="J12" i="7"/>
  <c r="O32" i="6"/>
  <c r="N32" i="6"/>
  <c r="E22" i="4"/>
  <c r="E25" i="4" s="1"/>
  <c r="C23" i="4"/>
  <c r="C11" i="6" s="1"/>
  <c r="C28" i="4"/>
  <c r="C26" i="4"/>
  <c r="I22" i="4"/>
  <c r="I25" i="4" s="1"/>
  <c r="F22" i="4"/>
  <c r="F25" i="4" s="1"/>
  <c r="J22" i="4"/>
  <c r="J25" i="4" s="1"/>
  <c r="D28" i="4"/>
  <c r="D23" i="4"/>
  <c r="D11" i="6" s="1"/>
  <c r="D26" i="4"/>
  <c r="H22" i="4"/>
  <c r="H25" i="4" s="1"/>
  <c r="K23" i="4" l="1"/>
  <c r="K11" i="6" s="1"/>
  <c r="B28" i="4"/>
  <c r="O19" i="4"/>
  <c r="K28" i="4"/>
  <c r="K29" i="4" s="1"/>
  <c r="K12" i="6" s="1"/>
  <c r="B23" i="4"/>
  <c r="B11" i="6" s="1"/>
  <c r="N21" i="6"/>
  <c r="G19" i="6"/>
  <c r="I35" i="7"/>
  <c r="J36" i="7" s="1"/>
  <c r="B14" i="8"/>
  <c r="P14" i="4"/>
  <c r="O21" i="6"/>
  <c r="L28" i="4"/>
  <c r="N5" i="6"/>
  <c r="O5" i="6"/>
  <c r="C31" i="4"/>
  <c r="C19" i="6"/>
  <c r="C6" i="6"/>
  <c r="O35" i="6"/>
  <c r="N35" i="6"/>
  <c r="B31" i="4"/>
  <c r="B19" i="6"/>
  <c r="K31" i="4"/>
  <c r="K19" i="6"/>
  <c r="K6" i="6"/>
  <c r="D31" i="4"/>
  <c r="D19" i="6"/>
  <c r="D6" i="6"/>
  <c r="O15" i="6"/>
  <c r="N15" i="6"/>
  <c r="R8" i="4"/>
  <c r="P19" i="4"/>
  <c r="S14" i="4"/>
  <c r="P8" i="4"/>
  <c r="G23" i="4"/>
  <c r="G11" i="6" s="1"/>
  <c r="O5" i="8"/>
  <c r="O8" i="8"/>
  <c r="N19" i="4"/>
  <c r="Q19" i="4"/>
  <c r="G29" i="4"/>
  <c r="G12" i="6" s="1"/>
  <c r="G31" i="4"/>
  <c r="G26" i="4"/>
  <c r="G37" i="4"/>
  <c r="G39" i="4" s="1"/>
  <c r="G18" i="6" s="1"/>
  <c r="G20" i="6" s="1"/>
  <c r="S19" i="4"/>
  <c r="S8" i="4"/>
  <c r="R14" i="4"/>
  <c r="Q14" i="4"/>
  <c r="O14" i="4"/>
  <c r="O8" i="4"/>
  <c r="R19" i="4"/>
  <c r="Q8" i="4"/>
  <c r="D29" i="4"/>
  <c r="D12" i="6" s="1"/>
  <c r="J23" i="4"/>
  <c r="J11" i="6" s="1"/>
  <c r="J28" i="4"/>
  <c r="J26" i="4"/>
  <c r="C29" i="4"/>
  <c r="C12" i="6" s="1"/>
  <c r="F28" i="4"/>
  <c r="F23" i="4"/>
  <c r="F11" i="6" s="1"/>
  <c r="F26" i="4"/>
  <c r="I23" i="4"/>
  <c r="I11" i="6" s="1"/>
  <c r="I28" i="4"/>
  <c r="I26" i="4"/>
  <c r="H23" i="4"/>
  <c r="H11" i="6" s="1"/>
  <c r="H28" i="4"/>
  <c r="H26" i="4"/>
  <c r="B29" i="4"/>
  <c r="B12" i="6" s="1"/>
  <c r="E28" i="4"/>
  <c r="E23" i="4"/>
  <c r="E11" i="6" s="1"/>
  <c r="E26" i="4"/>
  <c r="N11" i="4" l="1"/>
  <c r="N17" i="4" s="1"/>
  <c r="N22" i="4" s="1"/>
  <c r="O11" i="6"/>
  <c r="F31" i="4"/>
  <c r="F6" i="6"/>
  <c r="F19" i="6"/>
  <c r="O10" i="8"/>
  <c r="J31" i="4"/>
  <c r="J19" i="6"/>
  <c r="N19" i="6" s="1"/>
  <c r="J6" i="6"/>
  <c r="R11" i="4"/>
  <c r="R17" i="4" s="1"/>
  <c r="R22" i="4" s="1"/>
  <c r="S8" i="8"/>
  <c r="S10" i="8" s="1"/>
  <c r="G6" i="6"/>
  <c r="E31" i="4"/>
  <c r="E6" i="6"/>
  <c r="O6" i="6" s="1"/>
  <c r="E19" i="6"/>
  <c r="S11" i="4"/>
  <c r="S17" i="4" s="1"/>
  <c r="T8" i="8"/>
  <c r="T10" i="8" s="1"/>
  <c r="L19" i="6"/>
  <c r="L20" i="6" s="1"/>
  <c r="L6" i="6"/>
  <c r="L29" i="4"/>
  <c r="L12" i="6" s="1"/>
  <c r="L31" i="4"/>
  <c r="H31" i="4"/>
  <c r="H19" i="6"/>
  <c r="H6" i="6"/>
  <c r="P11" i="4"/>
  <c r="P17" i="4" s="1"/>
  <c r="P22" i="4" s="1"/>
  <c r="Q8" i="8"/>
  <c r="Q10" i="8" s="1"/>
  <c r="D19" i="8"/>
  <c r="D21" i="8" s="1"/>
  <c r="H25" i="8"/>
  <c r="P19" i="8"/>
  <c r="P21" i="8" s="1"/>
  <c r="S19" i="8"/>
  <c r="M19" i="8"/>
  <c r="M21" i="8" s="1"/>
  <c r="N19" i="8"/>
  <c r="N21" i="8" s="1"/>
  <c r="J19" i="8"/>
  <c r="J21" i="8" s="1"/>
  <c r="Q19" i="8"/>
  <c r="K19" i="8"/>
  <c r="K21" i="8" s="1"/>
  <c r="E19" i="8"/>
  <c r="E21" i="8" s="1"/>
  <c r="F19" i="8"/>
  <c r="F21" i="8" s="1"/>
  <c r="H19" i="8"/>
  <c r="G19" i="8"/>
  <c r="G21" i="8" s="1"/>
  <c r="L19" i="8"/>
  <c r="L21" i="8" s="1"/>
  <c r="O19" i="8"/>
  <c r="I19" i="8"/>
  <c r="I21" i="8" s="1"/>
  <c r="R19" i="8"/>
  <c r="T19" i="8"/>
  <c r="I31" i="4"/>
  <c r="I19" i="6"/>
  <c r="I6" i="6"/>
  <c r="Q11" i="4"/>
  <c r="Q17" i="4" s="1"/>
  <c r="R8" i="8"/>
  <c r="R10" i="8" s="1"/>
  <c r="N11" i="6"/>
  <c r="O11" i="4"/>
  <c r="O17" i="4" s="1"/>
  <c r="O22" i="4" s="1"/>
  <c r="P8" i="8"/>
  <c r="P10" i="8" s="1"/>
  <c r="Q22" i="4"/>
  <c r="S22" i="4"/>
  <c r="K37" i="4"/>
  <c r="K39" i="4" s="1"/>
  <c r="K18" i="6" s="1"/>
  <c r="K20" i="6" s="1"/>
  <c r="F29" i="4"/>
  <c r="F12" i="6" s="1"/>
  <c r="C37" i="4"/>
  <c r="C39" i="4"/>
  <c r="C18" i="6" s="1"/>
  <c r="C20" i="6" s="1"/>
  <c r="C34" i="4"/>
  <c r="E29" i="4"/>
  <c r="E12" i="6" s="1"/>
  <c r="B39" i="4"/>
  <c r="B18" i="6" s="1"/>
  <c r="B20" i="6" s="1"/>
  <c r="H29" i="4"/>
  <c r="H12" i="6" s="1"/>
  <c r="J29" i="4"/>
  <c r="J12" i="6" s="1"/>
  <c r="I29" i="4"/>
  <c r="I12" i="6" s="1"/>
  <c r="D34" i="4"/>
  <c r="D37" i="4"/>
  <c r="D39" i="4" s="1"/>
  <c r="D18" i="6" s="1"/>
  <c r="D20" i="6" s="1"/>
  <c r="O21" i="8" l="1"/>
  <c r="S21" i="8"/>
  <c r="H28" i="8"/>
  <c r="O19" i="6"/>
  <c r="O12" i="6"/>
  <c r="N6" i="6"/>
  <c r="N12" i="6"/>
  <c r="T21" i="8"/>
  <c r="E33" i="8"/>
  <c r="H21" i="8"/>
  <c r="Q21" i="8"/>
  <c r="R21" i="8"/>
  <c r="E34" i="4"/>
  <c r="E37" i="4"/>
  <c r="E39" i="4" s="1"/>
  <c r="E18" i="6" s="1"/>
  <c r="E20" i="6" s="1"/>
  <c r="I34" i="4"/>
  <c r="I37" i="4"/>
  <c r="I39" i="4" s="1"/>
  <c r="I18" i="6" s="1"/>
  <c r="I20" i="6" s="1"/>
  <c r="F34" i="4"/>
  <c r="F37" i="4"/>
  <c r="F39" i="4" s="1"/>
  <c r="F18" i="6" s="1"/>
  <c r="F20" i="6" s="1"/>
  <c r="N20" i="6" s="1"/>
  <c r="G34" i="4"/>
  <c r="J34" i="4"/>
  <c r="J37" i="4"/>
  <c r="J39" i="4" s="1"/>
  <c r="J18" i="6" s="1"/>
  <c r="J20" i="6" s="1"/>
  <c r="H34" i="4"/>
  <c r="H37" i="4"/>
  <c r="H39" i="4" s="1"/>
  <c r="H18" i="6" s="1"/>
  <c r="H20" i="6" s="1"/>
  <c r="K34" i="4"/>
  <c r="C33" i="8" l="1"/>
  <c r="G33" i="8" s="1"/>
  <c r="D36" i="8" s="1"/>
  <c r="D40" i="8" s="1"/>
  <c r="P29" i="8" s="1"/>
  <c r="O20" i="6"/>
  <c r="N18" i="6"/>
  <c r="O1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<sst xmlns="http://schemas.openxmlformats.org/spreadsheetml/2006/main" count="292" uniqueCount="243">
  <si>
    <t>Operating Profit</t>
  </si>
  <si>
    <t>OPM %</t>
  </si>
  <si>
    <t>Interest</t>
  </si>
  <si>
    <t>Depreciation</t>
  </si>
  <si>
    <t>Profit before tax</t>
  </si>
  <si>
    <t>Tax %</t>
  </si>
  <si>
    <t>EPS in Rs</t>
  </si>
  <si>
    <t>Dividend Payout %</t>
  </si>
  <si>
    <t>Equity Capital</t>
  </si>
  <si>
    <t>Reserves</t>
  </si>
  <si>
    <t>Total Liabilities</t>
  </si>
  <si>
    <t>CWIP</t>
  </si>
  <si>
    <t>Investments</t>
  </si>
  <si>
    <t>Total Assets</t>
  </si>
  <si>
    <t>Net Cash Flow</t>
  </si>
  <si>
    <t>Balance Sheet</t>
  </si>
  <si>
    <t>Cash Flow Statement</t>
  </si>
  <si>
    <t>Sales </t>
  </si>
  <si>
    <t>Expenses </t>
  </si>
  <si>
    <t>Other Income </t>
  </si>
  <si>
    <t>Net Profit </t>
  </si>
  <si>
    <t>Borrowings </t>
  </si>
  <si>
    <t>Other Liabilities </t>
  </si>
  <si>
    <t>Fixed Assets </t>
  </si>
  <si>
    <t>Other Assets </t>
  </si>
  <si>
    <t>Cash from Operating Activity </t>
  </si>
  <si>
    <t>Cash from Investing Activity </t>
  </si>
  <si>
    <t>Cash from Financing Activity </t>
  </si>
  <si>
    <t>Profit/loss</t>
  </si>
  <si>
    <t>Avenue Supermarket (DMART)</t>
  </si>
  <si>
    <t>Values in INR CR</t>
  </si>
  <si>
    <t>Years</t>
  </si>
  <si>
    <t>Average</t>
  </si>
  <si>
    <t xml:space="preserve">Income Statement </t>
  </si>
  <si>
    <t>Sales</t>
  </si>
  <si>
    <t>Sales Growth</t>
  </si>
  <si>
    <t>-</t>
  </si>
  <si>
    <t>COGS</t>
  </si>
  <si>
    <t>COGS % Sales</t>
  </si>
  <si>
    <t xml:space="preserve">Gross Profit </t>
  </si>
  <si>
    <t>Gross Margin</t>
  </si>
  <si>
    <t>Depriciation</t>
  </si>
  <si>
    <t xml:space="preserve">Depriciation % Sales </t>
  </si>
  <si>
    <t>EBIT</t>
  </si>
  <si>
    <t xml:space="preserve">Interest % Sales </t>
  </si>
  <si>
    <t>Earnings Before Tax</t>
  </si>
  <si>
    <t xml:space="preserve">EBT % Sales </t>
  </si>
  <si>
    <t>Tax</t>
  </si>
  <si>
    <t xml:space="preserve">Effective Tax Rate </t>
  </si>
  <si>
    <t xml:space="preserve">Net Profit </t>
  </si>
  <si>
    <t>Net Margins</t>
  </si>
  <si>
    <t xml:space="preserve">No. of Equity Share </t>
  </si>
  <si>
    <t xml:space="preserve">Earning per Share </t>
  </si>
  <si>
    <t>EPS Growth %</t>
  </si>
  <si>
    <t>Dividend Per Share</t>
  </si>
  <si>
    <t>Dividend Payout Ratio</t>
  </si>
  <si>
    <t>Retained Earnings</t>
  </si>
  <si>
    <t xml:space="preserve">Balance Sheet </t>
  </si>
  <si>
    <t>Equity Share Capital</t>
  </si>
  <si>
    <t>Borrowings</t>
  </si>
  <si>
    <t>Other Liabilities</t>
  </si>
  <si>
    <t xml:space="preserve">Total Liabilities </t>
  </si>
  <si>
    <t>Fixed Asset Net Block</t>
  </si>
  <si>
    <t>Capital Work in Progress</t>
  </si>
  <si>
    <t>Other Assets</t>
  </si>
  <si>
    <t>Total Non Current Assets</t>
  </si>
  <si>
    <t>Receivables</t>
  </si>
  <si>
    <t>Inventory</t>
  </si>
  <si>
    <t>Cash &amp; Bank</t>
  </si>
  <si>
    <t>Total Current Assets</t>
  </si>
  <si>
    <t>Check</t>
  </si>
  <si>
    <t xml:space="preserve">Cash Flow Statement </t>
  </si>
  <si>
    <t>Cash from Operating Activity</t>
  </si>
  <si>
    <t>Cash from Investment Activity</t>
  </si>
  <si>
    <t>Cash from Financial Activity</t>
  </si>
  <si>
    <t xml:space="preserve">Net Cash Flow </t>
  </si>
  <si>
    <t>Inventories</t>
  </si>
  <si>
    <t>Trade receivables</t>
  </si>
  <si>
    <t>Cash Equivalents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</si>
  <si>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</si>
  <si>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</si>
  <si>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</si>
  <si>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Loans Advances</t>
  </si>
  <si>
    <t>Operating investments</t>
  </si>
  <si>
    <t>Other WC items</t>
  </si>
  <si>
    <t>Working capital changes</t>
  </si>
  <si>
    <t>Direct taxes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</si>
  <si>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</si>
  <si>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</si>
  <si>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</si>
  <si>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</si>
  <si>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</si>
  <si>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Investment income</t>
  </si>
  <si>
    <t>Interest received</t>
  </si>
  <si>
    <t>Dividends received</t>
  </si>
  <si>
    <t>Investment in group cos</t>
  </si>
  <si>
    <t>Redemp n Canc of Shares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</si>
  <si>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</si>
  <si>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</si>
  <si>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</si>
  <si>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Proceeds from debentures</t>
  </si>
  <si>
    <t>Redemption of debentures</t>
  </si>
  <si>
    <t>Proceeds from borrowings</t>
  </si>
  <si>
    <t>Repayment of borrowings</t>
  </si>
  <si>
    <t>Interest paid fin</t>
  </si>
  <si>
    <t>Financial liabilities</t>
  </si>
  <si>
    <t>Share application money</t>
  </si>
  <si>
    <t>Other financing items</t>
  </si>
  <si>
    <t>Trend</t>
  </si>
  <si>
    <t>Mean</t>
  </si>
  <si>
    <t>Median</t>
  </si>
  <si>
    <t xml:space="preserve">Sales Growth </t>
  </si>
  <si>
    <t>EBIT Growth</t>
  </si>
  <si>
    <t>Net Profit Growth</t>
  </si>
  <si>
    <t>Dividend Growth</t>
  </si>
  <si>
    <t>EBIT Margin</t>
  </si>
  <si>
    <t>EBT Margin</t>
  </si>
  <si>
    <t>Net Profit Margin</t>
  </si>
  <si>
    <t xml:space="preserve">Operating Income % Sales </t>
  </si>
  <si>
    <t xml:space="preserve">Return on capital employed </t>
  </si>
  <si>
    <t>Retained Earning %</t>
  </si>
  <si>
    <t>Return on Equity %</t>
  </si>
  <si>
    <t xml:space="preserve">Self Sustained Growth Rate 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</si>
  <si>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</si>
  <si>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</si>
  <si>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</si>
  <si>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</si>
  <si>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</si>
  <si>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</si>
  <si>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</si>
  <si>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</si>
  <si>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</si>
  <si>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</si>
  <si>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</si>
  <si>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</si>
  <si>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</si>
  <si>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Ratio Analysis - Avenue Supermarket(DMART)</t>
  </si>
  <si>
    <t>Detailed Cash Flow Statement</t>
  </si>
  <si>
    <t>Market beta</t>
  </si>
  <si>
    <t>Debt/</t>
  </si>
  <si>
    <t>Levered</t>
  </si>
  <si>
    <t>Unlevered</t>
  </si>
  <si>
    <t>Name</t>
  </si>
  <si>
    <t>Total Debt</t>
  </si>
  <si>
    <t>Total Equity</t>
  </si>
  <si>
    <r>
      <rPr>
        <sz val="11"/>
        <color theme="1"/>
        <rFont val="Calibri"/>
        <family val="2"/>
      </rP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</si>
  <si>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Equity</t>
  </si>
  <si>
    <t>Capital</t>
  </si>
  <si>
    <t>Cost of Debt</t>
  </si>
  <si>
    <t>Cost of Equity</t>
  </si>
  <si>
    <t>Pre-tax Cost of Debt</t>
  </si>
  <si>
    <t>Risk Free Rate</t>
  </si>
  <si>
    <t>Tax Rate</t>
  </si>
  <si>
    <t>Equity Risk Premium</t>
  </si>
  <si>
    <t>Emr-15 years rfr 10 yrs</t>
  </si>
  <si>
    <t>After Tax Cost of Debt</t>
  </si>
  <si>
    <r>
      <rPr>
        <sz val="11"/>
        <color theme="1"/>
        <rFont val="Calibri"/>
        <family val="2"/>
      </rP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</si>
  <si>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</si>
  <si>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 xml:space="preserve">Levered Beta </t>
  </si>
  <si>
    <t>Current</t>
  </si>
  <si>
    <t>Target</t>
  </si>
  <si>
    <t xml:space="preserve">Target Debt/ Equity  </t>
  </si>
  <si>
    <t>Market Capitalization</t>
  </si>
  <si>
    <t>Total Capitalization</t>
  </si>
  <si>
    <t>Levered Beta</t>
  </si>
  <si>
    <t>Debt / Equity</t>
  </si>
  <si>
    <t>Weighted Average Cost of Capital</t>
  </si>
  <si>
    <t>1. Tax Rate considered as Marginal Tax Rate for the country</t>
  </si>
  <si>
    <t>Total Cost</t>
  </si>
  <si>
    <t>Total Weight</t>
  </si>
  <si>
    <t>2. Levered Beta is based on 5 year monthly data</t>
  </si>
  <si>
    <t>Debt Capital</t>
  </si>
  <si>
    <t>3. Unlevered Beta = Levered Beta/(1+(1-Tax Rate) x Debt/Equity)</t>
  </si>
  <si>
    <t>4. Levered Beta = Unlevered Beta*(1+(1-Tax Rate) x Debt/Equity)</t>
  </si>
  <si>
    <t>Avenue Supermarket</t>
  </si>
  <si>
    <t>Vishal Mega Mart</t>
  </si>
  <si>
    <t>V-Mart Retail</t>
  </si>
  <si>
    <t>Electronics Mart</t>
  </si>
  <si>
    <t>Shopper's Stop</t>
  </si>
  <si>
    <t>Unlevered beta</t>
  </si>
  <si>
    <t>Peer Comparison</t>
  </si>
  <si>
    <t>Weighted Average Cost Of Capital</t>
  </si>
  <si>
    <t xml:space="preserve">Beta </t>
  </si>
  <si>
    <t>Discounted Cash Flow Analysis</t>
  </si>
  <si>
    <t>Values in CR</t>
  </si>
  <si>
    <t>CASH FLOW (CF)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</si>
  <si>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</si>
  <si>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</si>
  <si>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</si>
  <si>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</si>
  <si>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</si>
  <si>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</si>
  <si>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</si>
  <si>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</si>
  <si>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</si>
  <si>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</si>
  <si>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Revenue</t>
  </si>
  <si>
    <t>Less:</t>
  </si>
  <si>
    <t>Expenses</t>
  </si>
  <si>
    <t>Cash Flow</t>
  </si>
  <si>
    <t xml:space="preserve">COST OF CAPITAL </t>
  </si>
  <si>
    <t>Cost of Capital</t>
  </si>
  <si>
    <t>PRESENT VALUE OF CASH FLOWS (PV of CF)</t>
  </si>
  <si>
    <t>Discount Factor</t>
  </si>
  <si>
    <t>Present Value of Cash Flows</t>
  </si>
  <si>
    <t>TERMINAL VALUE (CASH FLOW OF BOAT IN PERPETUITY)</t>
  </si>
  <si>
    <t>Growth Rate in Perpetuity</t>
  </si>
  <si>
    <t>Terminal Value</t>
  </si>
  <si>
    <t>BOAT VALUE: PERPETUITY GROWTH RATE METHOD</t>
  </si>
  <si>
    <t>PV of CF</t>
  </si>
  <si>
    <t>PV of Terminal Value</t>
  </si>
  <si>
    <t>Enterprize value</t>
  </si>
  <si>
    <t>+</t>
  </si>
  <si>
    <t>=</t>
  </si>
  <si>
    <t>Equity value</t>
  </si>
  <si>
    <t>Outstanding Shares</t>
  </si>
  <si>
    <t>Intrensic Value</t>
  </si>
  <si>
    <t>Value</t>
  </si>
  <si>
    <t>Current share price</t>
  </si>
  <si>
    <t xml:space="preserve"> Financial Model</t>
  </si>
  <si>
    <t>Gross Profit</t>
  </si>
  <si>
    <t xml:space="preserve">Depreciation </t>
  </si>
  <si>
    <t xml:space="preserve">Interest </t>
  </si>
  <si>
    <t>EBT</t>
  </si>
  <si>
    <t>Net Profit</t>
  </si>
  <si>
    <t>Operating Statistics</t>
  </si>
  <si>
    <t>Base case</t>
  </si>
  <si>
    <t>Best Case</t>
  </si>
  <si>
    <t>Worst case</t>
  </si>
  <si>
    <t>Selected scenario</t>
  </si>
  <si>
    <t>Scenario based Forecasting</t>
  </si>
  <si>
    <t>Senstivity Analysis: IV vs Cost of Capital and Growth rate</t>
  </si>
  <si>
    <t>Growth rate</t>
  </si>
  <si>
    <t>Cost Of Capital</t>
  </si>
  <si>
    <t>S.No.</t>
  </si>
  <si>
    <t>Avenue Super.</t>
  </si>
  <si>
    <t>Shoppers Stop</t>
  </si>
  <si>
    <t>Year</t>
  </si>
  <si>
    <t>Working Capital Days</t>
  </si>
  <si>
    <t>Cash Conversion Cycle</t>
  </si>
  <si>
    <t>Days Payable</t>
  </si>
  <si>
    <t>Ratio Analysis - Peer Comparison</t>
  </si>
  <si>
    <t>ROCE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</si>
</sst>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₹&quot;\ #,##0.00;&quot;₹&quot;\ \-#,##0.00"/>
    <numFmt numFmtId="43" formatCode="_ * #,##0.00_ ;_ * \-#,##0.00_ ;_ * &quot;-&quot;??_ ;_ @_ "/>
    <numFmt numFmtId="164" formatCode="&quot;₹&quot;\ #,##0.00;\(&quot;₹&quot;\ \-#,##0.00\);\-"/>
    <numFmt numFmtId="165" formatCode="&quot;₹&quot;\ #,##0.00;\(&quot;₹&quot;\ \-#,##0.00\)\,\-"/>
    <numFmt numFmtId="166" formatCode="&quot;₹&quot;\ #,##0.00;&quot;₹&quot;\ \(#,##0.00\)"/>
    <numFmt numFmtId="167" formatCode="&quot;₹&quot;\ #,##0.00"/>
    <numFmt numFmtId="168" formatCode="0.00&quot;x&quot;\ "/>
    <numFmt numFmtId="169" formatCode="#,##0.0"/>
    <numFmt numFmtId="170" formatCode="&quot;20X&quot;0"/>
    <numFmt numFmtId="171" formatCode="0.0%"/>
    <numFmt numFmtId="172" formatCode="&quot;Year &quot;0"/>
  </numFmts>
  <fonts count="38" x14ac:knownFonts="1">
    <font>
      <sz val="11"/>
      <color theme="1"/>
      <name val="Aptos Narrow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sz val="11"/>
      <color rgb="FF0275D8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i/>
      <sz val="9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3333CC"/>
      <name val="Arial"/>
      <family val="2"/>
    </font>
    <font>
      <b/>
      <u/>
      <sz val="11"/>
      <color theme="1"/>
      <name val="Aptos Narrow"/>
      <family val="2"/>
      <scheme val="minor"/>
    </font>
    <font>
      <sz val="28"/>
      <color rgb="FFFFFF99"/>
      <name val="Aptos Narrow"/>
      <family val="2"/>
      <scheme val="minor"/>
    </font>
    <font>
      <sz val="11"/>
      <color rgb="FFFFFF99"/>
      <name val="Aptos Narrow"/>
      <family val="2"/>
      <scheme val="minor"/>
    </font>
    <font>
      <sz val="18"/>
      <color rgb="FFFFFF99"/>
      <name val="Aptos Narrow"/>
      <family val="2"/>
      <scheme val="minor"/>
    </font>
    <font>
      <b/>
      <sz val="11"/>
      <color rgb="FFFFFF99"/>
      <name val="Aptos Narrow"/>
      <family val="2"/>
      <scheme val="minor"/>
    </font>
    <font>
      <sz val="20"/>
      <color rgb="FFFFFF99"/>
      <name val="Aptos Narrow"/>
      <family val="2"/>
      <scheme val="minor"/>
    </font>
    <font>
      <sz val="11"/>
      <color rgb="FFFFFF99"/>
      <name val="Arial"/>
      <family val="2"/>
    </font>
    <font>
      <sz val="12"/>
      <color rgb="FFFFFF99"/>
      <name val="Aptos Narrow"/>
      <family val="2"/>
      <scheme val="minor"/>
    </font>
    <font>
      <b/>
      <sz val="11"/>
      <color rgb="FFFFFF99"/>
      <name val="Calibri"/>
      <family val="2"/>
    </font>
    <font>
      <sz val="11"/>
      <color rgb="FFFFFF99"/>
      <name val="Calibri"/>
      <family val="2"/>
    </font>
    <font>
      <b/>
      <sz val="14"/>
      <color rgb="FFFFFF99"/>
      <name val="Arial"/>
      <family val="2"/>
    </font>
    <font>
      <b/>
      <sz val="16"/>
      <color rgb="FFFFFF99"/>
      <name val="Aptos Narrow"/>
      <family val="2"/>
      <scheme val="minor"/>
    </font>
    <font>
      <b/>
      <i/>
      <sz val="11"/>
      <color rgb="FFFFFF99"/>
      <name val="Aptos Narrow"/>
      <family val="2"/>
      <scheme val="minor"/>
    </font>
    <font>
      <sz val="11"/>
      <color rgb="FF22222F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2"/>
      <color rgb="FFFFFF99"/>
      <name val="Arial"/>
      <family val="2"/>
    </font>
    <font>
      <i/>
      <sz val="11"/>
      <color rgb="FFFFFF9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thick">
        <color rgb="FFDBE4F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rgb="FF002060"/>
      </top>
      <bottom style="hair">
        <color rgb="FF002060"/>
      </bottom>
      <diagonal/>
    </border>
    <border>
      <left style="thin">
        <color indexed="64"/>
      </left>
      <right/>
      <top style="hair">
        <color rgb="FF002060"/>
      </top>
      <bottom style="hair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96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indent="2"/>
    </xf>
    <xf numFmtId="3" fontId="2" fillId="3" borderId="0" xfId="0" applyNumberFormat="1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indent="2"/>
    </xf>
    <xf numFmtId="3" fontId="2" fillId="2" borderId="0" xfId="0" applyNumberFormat="1" applyFont="1" applyFill="1" applyAlignment="1">
      <alignment horizontal="right" vertical="center" wrapText="1" indent="1"/>
    </xf>
    <xf numFmtId="9" fontId="2" fillId="2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right" vertical="center" wrapText="1" indent="1"/>
    </xf>
    <xf numFmtId="9" fontId="2" fillId="3" borderId="0" xfId="0" applyNumberFormat="1" applyFont="1" applyFill="1" applyAlignment="1">
      <alignment horizontal="right" vertical="center" wrapText="1" indent="1"/>
    </xf>
    <xf numFmtId="17" fontId="1" fillId="0" borderId="1" xfId="0" applyNumberFormat="1" applyFont="1" applyBorder="1" applyAlignment="1">
      <alignment horizontal="right" vertical="center" wrapText="1" indent="1"/>
    </xf>
    <xf numFmtId="0" fontId="0" fillId="0" borderId="0" xfId="0" applyAlignment="1">
      <alignment horizontal="center"/>
    </xf>
    <xf numFmtId="0" fontId="7" fillId="0" borderId="0" xfId="0" applyFont="1"/>
    <xf numFmtId="0" fontId="6" fillId="5" borderId="0" xfId="0" applyFont="1" applyFill="1"/>
    <xf numFmtId="164" fontId="0" fillId="0" borderId="0" xfId="0" applyNumberFormat="1"/>
    <xf numFmtId="0" fontId="0" fillId="0" borderId="3" xfId="0" applyBorder="1" applyAlignment="1">
      <alignment horizontal="center"/>
    </xf>
    <xf numFmtId="7" fontId="0" fillId="0" borderId="0" xfId="0" applyNumberFormat="1"/>
    <xf numFmtId="0" fontId="8" fillId="0" borderId="0" xfId="0" applyFont="1"/>
    <xf numFmtId="10" fontId="8" fillId="0" borderId="0" xfId="2" applyNumberFormat="1" applyFont="1"/>
    <xf numFmtId="10" fontId="8" fillId="0" borderId="3" xfId="2" applyNumberFormat="1" applyFont="1" applyBorder="1" applyAlignment="1">
      <alignment horizontal="center"/>
    </xf>
    <xf numFmtId="9" fontId="8" fillId="0" borderId="0" xfId="2" applyFont="1"/>
    <xf numFmtId="9" fontId="0" fillId="0" borderId="0" xfId="2" applyFont="1"/>
    <xf numFmtId="0" fontId="9" fillId="0" borderId="0" xfId="0" applyFont="1"/>
    <xf numFmtId="10" fontId="8" fillId="0" borderId="3" xfId="0" applyNumberFormat="1" applyFont="1" applyBorder="1" applyAlignment="1">
      <alignment horizontal="center"/>
    </xf>
    <xf numFmtId="0" fontId="6" fillId="0" borderId="4" xfId="0" applyFont="1" applyBorder="1"/>
    <xf numFmtId="7" fontId="6" fillId="0" borderId="4" xfId="0" applyNumberFormat="1" applyFont="1" applyBorder="1"/>
    <xf numFmtId="7" fontId="0" fillId="0" borderId="5" xfId="0" applyNumberFormat="1" applyBorder="1"/>
    <xf numFmtId="10" fontId="0" fillId="0" borderId="3" xfId="0" applyNumberFormat="1" applyBorder="1" applyAlignment="1">
      <alignment horizontal="center"/>
    </xf>
    <xf numFmtId="0" fontId="10" fillId="0" borderId="0" xfId="0" applyFont="1"/>
    <xf numFmtId="7" fontId="10" fillId="0" borderId="0" xfId="2" applyNumberFormat="1" applyFont="1"/>
    <xf numFmtId="7" fontId="10" fillId="0" borderId="3" xfId="2" applyNumberFormat="1" applyFont="1" applyBorder="1" applyAlignment="1">
      <alignment horizontal="center"/>
    </xf>
    <xf numFmtId="166" fontId="6" fillId="0" borderId="4" xfId="0" applyNumberFormat="1" applyFont="1" applyBorder="1"/>
    <xf numFmtId="166" fontId="6" fillId="0" borderId="6" xfId="0" applyNumberFormat="1" applyFont="1" applyBorder="1"/>
    <xf numFmtId="166" fontId="6" fillId="0" borderId="0" xfId="0" applyNumberFormat="1" applyFont="1"/>
    <xf numFmtId="166" fontId="6" fillId="0" borderId="7" xfId="0" applyNumberFormat="1" applyFont="1" applyBorder="1"/>
    <xf numFmtId="166" fontId="0" fillId="0" borderId="0" xfId="0" applyNumberFormat="1"/>
    <xf numFmtId="167" fontId="6" fillId="0" borderId="4" xfId="0" applyNumberFormat="1" applyFont="1" applyBorder="1"/>
    <xf numFmtId="167" fontId="0" fillId="0" borderId="0" xfId="0" applyNumberFormat="1"/>
    <xf numFmtId="10" fontId="0" fillId="0" borderId="0" xfId="0" applyNumberFormat="1"/>
    <xf numFmtId="0" fontId="6" fillId="0" borderId="0" xfId="0" applyFont="1"/>
    <xf numFmtId="43" fontId="6" fillId="0" borderId="0" xfId="1" applyFont="1" applyBorder="1"/>
    <xf numFmtId="3" fontId="0" fillId="0" borderId="0" xfId="0" applyNumberFormat="1" applyAlignment="1">
      <alignment horizontal="center"/>
    </xf>
    <xf numFmtId="3" fontId="0" fillId="0" borderId="0" xfId="0" applyNumberFormat="1"/>
    <xf numFmtId="1" fontId="0" fillId="0" borderId="0" xfId="0" applyNumberFormat="1"/>
    <xf numFmtId="0" fontId="2" fillId="3" borderId="0" xfId="0" applyFont="1" applyFill="1" applyAlignment="1">
      <alignment horizontal="left" vertical="center"/>
    </xf>
    <xf numFmtId="10" fontId="0" fillId="0" borderId="0" xfId="2" applyNumberFormat="1" applyFont="1" applyBorder="1"/>
    <xf numFmtId="168" fontId="0" fillId="0" borderId="0" xfId="2" applyNumberFormat="1" applyFont="1" applyBorder="1"/>
    <xf numFmtId="0" fontId="2" fillId="2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right" vertical="center" wrapText="1" indent="1"/>
    </xf>
    <xf numFmtId="3" fontId="11" fillId="6" borderId="0" xfId="0" applyNumberFormat="1" applyFont="1" applyFill="1" applyAlignment="1">
      <alignment horizontal="right" vertical="center" wrapText="1" inden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 wrapText="1" indent="1"/>
    </xf>
    <xf numFmtId="3" fontId="2" fillId="6" borderId="0" xfId="0" applyNumberFormat="1" applyFont="1" applyFill="1" applyAlignment="1">
      <alignment horizontal="right" vertical="center" wrapText="1" indent="1"/>
    </xf>
    <xf numFmtId="0" fontId="5" fillId="6" borderId="0" xfId="0" applyFont="1" applyFill="1" applyAlignment="1">
      <alignment horizontal="center"/>
    </xf>
    <xf numFmtId="17" fontId="5" fillId="6" borderId="0" xfId="0" applyNumberFormat="1" applyFont="1" applyFill="1" applyAlignment="1">
      <alignment horizontal="right"/>
    </xf>
    <xf numFmtId="0" fontId="6" fillId="6" borderId="0" xfId="0" applyFont="1" applyFill="1"/>
    <xf numFmtId="165" fontId="0" fillId="0" borderId="0" xfId="0" applyNumberForma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top"/>
    </xf>
    <xf numFmtId="169" fontId="16" fillId="0" borderId="0" xfId="0" applyNumberFormat="1" applyFont="1"/>
    <xf numFmtId="2" fontId="14" fillId="7" borderId="0" xfId="0" applyNumberFormat="1" applyFont="1" applyFill="1"/>
    <xf numFmtId="10" fontId="14" fillId="0" borderId="0" xfId="0" applyNumberFormat="1" applyFont="1"/>
    <xf numFmtId="0" fontId="13" fillId="0" borderId="10" xfId="0" applyFont="1" applyBorder="1"/>
    <xf numFmtId="10" fontId="14" fillId="0" borderId="10" xfId="0" applyNumberFormat="1" applyFont="1" applyBorder="1"/>
    <xf numFmtId="2" fontId="14" fillId="0" borderId="10" xfId="0" applyNumberFormat="1" applyFont="1" applyBorder="1"/>
    <xf numFmtId="0" fontId="13" fillId="0" borderId="11" xfId="0" applyFont="1" applyBorder="1"/>
    <xf numFmtId="10" fontId="14" fillId="0" borderId="11" xfId="0" applyNumberFormat="1" applyFont="1" applyBorder="1"/>
    <xf numFmtId="2" fontId="14" fillId="0" borderId="11" xfId="0" applyNumberFormat="1" applyFont="1" applyBorder="1"/>
    <xf numFmtId="2" fontId="14" fillId="0" borderId="0" xfId="0" applyNumberFormat="1" applyFont="1"/>
    <xf numFmtId="10" fontId="16" fillId="0" borderId="0" xfId="0" applyNumberFormat="1" applyFont="1"/>
    <xf numFmtId="0" fontId="14" fillId="0" borderId="12" xfId="0" applyFont="1" applyBorder="1"/>
    <xf numFmtId="10" fontId="14" fillId="7" borderId="12" xfId="0" applyNumberFormat="1" applyFont="1" applyFill="1" applyBorder="1"/>
    <xf numFmtId="0" fontId="13" fillId="0" borderId="11" xfId="0" applyFont="1" applyBorder="1" applyAlignment="1">
      <alignment horizontal="right"/>
    </xf>
    <xf numFmtId="169" fontId="14" fillId="0" borderId="12" xfId="0" applyNumberFormat="1" applyFont="1" applyBorder="1"/>
    <xf numFmtId="10" fontId="14" fillId="0" borderId="12" xfId="0" applyNumberFormat="1" applyFont="1" applyBorder="1"/>
    <xf numFmtId="2" fontId="14" fillId="0" borderId="12" xfId="0" applyNumberFormat="1" applyFont="1" applyBorder="1"/>
    <xf numFmtId="10" fontId="14" fillId="7" borderId="0" xfId="0" applyNumberFormat="1" applyFont="1" applyFill="1"/>
    <xf numFmtId="0" fontId="17" fillId="0" borderId="0" xfId="0" applyFont="1"/>
    <xf numFmtId="9" fontId="14" fillId="0" borderId="0" xfId="0" applyNumberFormat="1" applyFont="1"/>
    <xf numFmtId="10" fontId="14" fillId="0" borderId="13" xfId="0" applyNumberFormat="1" applyFont="1" applyBorder="1"/>
    <xf numFmtId="0" fontId="14" fillId="0" borderId="13" xfId="0" applyFont="1" applyBorder="1"/>
    <xf numFmtId="0" fontId="17" fillId="0" borderId="0" xfId="0" applyFont="1" applyAlignment="1">
      <alignment vertical="top"/>
    </xf>
    <xf numFmtId="0" fontId="14" fillId="0" borderId="0" xfId="0" applyFont="1" applyAlignment="1">
      <alignment horizontal="right"/>
    </xf>
    <xf numFmtId="169" fontId="14" fillId="0" borderId="0" xfId="0" applyNumberFormat="1" applyFont="1"/>
    <xf numFmtId="10" fontId="14" fillId="0" borderId="0" xfId="0" applyNumberFormat="1" applyFont="1" applyAlignment="1">
      <alignment vertical="top"/>
    </xf>
    <xf numFmtId="0" fontId="0" fillId="0" borderId="0" xfId="0" applyAlignment="1">
      <alignment horizontal="left" indent="1"/>
    </xf>
    <xf numFmtId="0" fontId="0" fillId="0" borderId="14" xfId="0" applyBorder="1"/>
    <xf numFmtId="38" fontId="0" fillId="0" borderId="14" xfId="0" applyNumberFormat="1" applyBorder="1"/>
    <xf numFmtId="0" fontId="18" fillId="0" borderId="0" xfId="0" applyFont="1"/>
    <xf numFmtId="171" fontId="19" fillId="8" borderId="15" xfId="0" applyNumberFormat="1" applyFont="1" applyFill="1" applyBorder="1"/>
    <xf numFmtId="172" fontId="0" fillId="0" borderId="0" xfId="0" applyNumberFormat="1" applyAlignment="1">
      <alignment horizontal="center"/>
    </xf>
    <xf numFmtId="172" fontId="0" fillId="0" borderId="0" xfId="0" applyNumberFormat="1"/>
    <xf numFmtId="171" fontId="0" fillId="0" borderId="0" xfId="0" applyNumberFormat="1"/>
    <xf numFmtId="2" fontId="0" fillId="0" borderId="0" xfId="0" applyNumberFormat="1"/>
    <xf numFmtId="0" fontId="18" fillId="0" borderId="14" xfId="0" applyFont="1" applyBorder="1"/>
    <xf numFmtId="38" fontId="18" fillId="0" borderId="14" xfId="0" applyNumberFormat="1" applyFont="1" applyBorder="1"/>
    <xf numFmtId="2" fontId="18" fillId="0" borderId="14" xfId="0" applyNumberFormat="1" applyFont="1" applyBorder="1"/>
    <xf numFmtId="171" fontId="19" fillId="0" borderId="0" xfId="0" applyNumberFormat="1" applyFont="1"/>
    <xf numFmtId="38" fontId="18" fillId="0" borderId="0" xfId="0" applyNumberFormat="1" applyFont="1"/>
    <xf numFmtId="0" fontId="18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6" xfId="0" applyBorder="1"/>
    <xf numFmtId="38" fontId="0" fillId="0" borderId="16" xfId="0" applyNumberFormat="1" applyBorder="1"/>
    <xf numFmtId="0" fontId="6" fillId="0" borderId="16" xfId="0" applyFont="1" applyBorder="1"/>
    <xf numFmtId="0" fontId="20" fillId="0" borderId="0" xfId="0" applyFont="1" applyAlignment="1">
      <alignment horizontal="center"/>
    </xf>
    <xf numFmtId="9" fontId="6" fillId="0" borderId="0" xfId="2" applyFont="1" applyFill="1" applyBorder="1"/>
    <xf numFmtId="38" fontId="18" fillId="4" borderId="15" xfId="0" applyNumberFormat="1" applyFont="1" applyFill="1" applyBorder="1" applyAlignment="1">
      <alignment horizontal="center"/>
    </xf>
    <xf numFmtId="0" fontId="22" fillId="9" borderId="0" xfId="0" applyFont="1" applyFill="1" applyAlignment="1">
      <alignment horizontal="center"/>
    </xf>
    <xf numFmtId="0" fontId="3" fillId="10" borderId="2" xfId="0" applyFont="1" applyFill="1" applyBorder="1" applyAlignment="1">
      <alignment horizontal="left" vertical="center" indent="2"/>
    </xf>
    <xf numFmtId="0" fontId="3" fillId="10" borderId="2" xfId="0" applyFont="1" applyFill="1" applyBorder="1" applyAlignment="1">
      <alignment horizontal="right" vertical="center" wrapText="1" indent="1"/>
    </xf>
    <xf numFmtId="3" fontId="3" fillId="10" borderId="2" xfId="0" applyNumberFormat="1" applyFont="1" applyFill="1" applyBorder="1" applyAlignment="1">
      <alignment horizontal="right" vertical="center" wrapText="1" indent="1"/>
    </xf>
    <xf numFmtId="0" fontId="24" fillId="9" borderId="0" xfId="0" applyFont="1" applyFill="1" applyAlignment="1">
      <alignment horizontal="center"/>
    </xf>
    <xf numFmtId="0" fontId="22" fillId="9" borderId="0" xfId="0" applyFont="1" applyFill="1"/>
    <xf numFmtId="0" fontId="24" fillId="9" borderId="0" xfId="0" applyFont="1" applyFill="1"/>
    <xf numFmtId="17" fontId="24" fillId="9" borderId="0" xfId="0" applyNumberFormat="1" applyFont="1" applyFill="1"/>
    <xf numFmtId="17" fontId="24" fillId="9" borderId="3" xfId="0" applyNumberFormat="1" applyFont="1" applyFill="1" applyBorder="1" applyAlignment="1">
      <alignment horizontal="center"/>
    </xf>
    <xf numFmtId="0" fontId="6" fillId="10" borderId="0" xfId="0" applyFont="1" applyFill="1"/>
    <xf numFmtId="0" fontId="0" fillId="10" borderId="0" xfId="0" applyFill="1"/>
    <xf numFmtId="0" fontId="0" fillId="10" borderId="3" xfId="0" applyFill="1" applyBorder="1" applyAlignment="1">
      <alignment horizontal="center"/>
    </xf>
    <xf numFmtId="17" fontId="26" fillId="9" borderId="0" xfId="0" applyNumberFormat="1" applyFont="1" applyFill="1" applyAlignment="1">
      <alignment horizontal="right" vertical="center" wrapText="1" indent="1"/>
    </xf>
    <xf numFmtId="0" fontId="11" fillId="10" borderId="0" xfId="0" applyFont="1" applyFill="1" applyAlignment="1">
      <alignment horizontal="left" vertical="center" indent="2"/>
    </xf>
    <xf numFmtId="0" fontId="11" fillId="10" borderId="0" xfId="0" applyFont="1" applyFill="1" applyAlignment="1">
      <alignment horizontal="right" vertical="center" wrapText="1" indent="1"/>
    </xf>
    <xf numFmtId="3" fontId="11" fillId="10" borderId="0" xfId="0" applyNumberFormat="1" applyFont="1" applyFill="1" applyAlignment="1">
      <alignment horizontal="right" vertical="center" wrapText="1" indent="1"/>
    </xf>
    <xf numFmtId="17" fontId="24" fillId="9" borderId="0" xfId="0" applyNumberFormat="1" applyFont="1" applyFill="1" applyAlignment="1">
      <alignment horizontal="center"/>
    </xf>
    <xf numFmtId="10" fontId="0" fillId="10" borderId="0" xfId="2" applyNumberFormat="1" applyFont="1" applyFill="1" applyBorder="1"/>
    <xf numFmtId="0" fontId="28" fillId="9" borderId="0" xfId="0" applyFont="1" applyFill="1"/>
    <xf numFmtId="0" fontId="29" fillId="9" borderId="0" xfId="0" applyFont="1" applyFill="1"/>
    <xf numFmtId="0" fontId="29" fillId="9" borderId="0" xfId="0" applyFont="1" applyFill="1" applyAlignment="1">
      <alignment horizontal="center"/>
    </xf>
    <xf numFmtId="0" fontId="14" fillId="10" borderId="9" xfId="0" applyFont="1" applyFill="1" applyBorder="1"/>
    <xf numFmtId="0" fontId="14" fillId="10" borderId="9" xfId="0" applyFont="1" applyFill="1" applyBorder="1" applyAlignment="1">
      <alignment horizontal="right"/>
    </xf>
    <xf numFmtId="0" fontId="14" fillId="10" borderId="8" xfId="0" applyFont="1" applyFill="1" applyBorder="1" applyAlignment="1">
      <alignment vertical="top"/>
    </xf>
    <xf numFmtId="0" fontId="14" fillId="10" borderId="8" xfId="0" applyFont="1" applyFill="1" applyBorder="1" applyAlignment="1">
      <alignment horizontal="right" vertical="top"/>
    </xf>
    <xf numFmtId="0" fontId="13" fillId="10" borderId="11" xfId="0" applyFont="1" applyFill="1" applyBorder="1"/>
    <xf numFmtId="0" fontId="14" fillId="10" borderId="11" xfId="0" applyFont="1" applyFill="1" applyBorder="1"/>
    <xf numFmtId="0" fontId="30" fillId="9" borderId="0" xfId="0" applyFont="1" applyFill="1"/>
    <xf numFmtId="0" fontId="32" fillId="9" borderId="0" xfId="0" applyFont="1" applyFill="1"/>
    <xf numFmtId="0" fontId="18" fillId="10" borderId="0" xfId="0" applyFont="1" applyFill="1"/>
    <xf numFmtId="0" fontId="18" fillId="10" borderId="0" xfId="0" applyFont="1" applyFill="1" applyAlignment="1">
      <alignment horizontal="center"/>
    </xf>
    <xf numFmtId="170" fontId="18" fillId="10" borderId="0" xfId="0" applyNumberFormat="1" applyFont="1" applyFill="1" applyAlignment="1">
      <alignment horizontal="center"/>
    </xf>
    <xf numFmtId="17" fontId="6" fillId="10" borderId="0" xfId="0" applyNumberFormat="1" applyFont="1" applyFill="1"/>
    <xf numFmtId="2" fontId="6" fillId="10" borderId="16" xfId="0" applyNumberFormat="1" applyFont="1" applyFill="1" applyBorder="1"/>
    <xf numFmtId="10" fontId="7" fillId="0" borderId="0" xfId="2" applyNumberFormat="1" applyFont="1"/>
    <xf numFmtId="17" fontId="22" fillId="9" borderId="0" xfId="0" applyNumberFormat="1" applyFont="1" applyFill="1"/>
    <xf numFmtId="167" fontId="0" fillId="10" borderId="0" xfId="0" applyNumberFormat="1" applyFill="1"/>
    <xf numFmtId="0" fontId="21" fillId="9" borderId="0" xfId="0" applyFont="1" applyFill="1" applyAlignment="1">
      <alignment horizontal="left"/>
    </xf>
    <xf numFmtId="0" fontId="23" fillId="9" borderId="19" xfId="0" applyFont="1" applyFill="1" applyBorder="1" applyAlignment="1">
      <alignment horizontal="center"/>
    </xf>
    <xf numFmtId="0" fontId="23" fillId="9" borderId="20" xfId="0" applyFont="1" applyFill="1" applyBorder="1" applyAlignment="1">
      <alignment horizontal="center"/>
    </xf>
    <xf numFmtId="0" fontId="23" fillId="9" borderId="21" xfId="0" applyFont="1" applyFill="1" applyBorder="1" applyAlignment="1">
      <alignment horizontal="center"/>
    </xf>
    <xf numFmtId="0" fontId="23" fillId="9" borderId="22" xfId="0" applyFont="1" applyFill="1" applyBorder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24" xfId="0" applyFont="1" applyFill="1" applyBorder="1" applyAlignment="1">
      <alignment horizontal="center"/>
    </xf>
    <xf numFmtId="0" fontId="23" fillId="9" borderId="0" xfId="0" applyFont="1" applyFill="1" applyAlignment="1">
      <alignment horizontal="center"/>
    </xf>
    <xf numFmtId="0" fontId="24" fillId="9" borderId="0" xfId="0" applyFont="1" applyFill="1" applyAlignment="1">
      <alignment horizontal="left"/>
    </xf>
    <xf numFmtId="0" fontId="22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4" fillId="9" borderId="0" xfId="0" applyFont="1" applyFill="1" applyAlignment="1">
      <alignment horizontal="center" vertical="top"/>
    </xf>
    <xf numFmtId="0" fontId="29" fillId="9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7" fillId="9" borderId="0" xfId="0" applyFont="1" applyFill="1" applyAlignment="1">
      <alignment horizontal="center"/>
    </xf>
    <xf numFmtId="0" fontId="31" fillId="9" borderId="0" xfId="0" applyFon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0" xfId="0" applyFill="1" applyAlignment="1">
      <alignment horizontal="center"/>
    </xf>
    <xf numFmtId="0" fontId="35" fillId="10" borderId="1" xfId="0" applyFont="1" applyFill="1" applyBorder="1" applyAlignment="1">
      <alignment horizontal="left" vertical="center" indent="2"/>
    </xf>
    <xf numFmtId="0" fontId="35" fillId="10" borderId="1" xfId="0" applyFont="1" applyFill="1" applyBorder="1" applyAlignment="1">
      <alignment horizontal="left" vertical="center" indent="1"/>
    </xf>
    <xf numFmtId="0" fontId="35" fillId="10" borderId="1" xfId="0" applyFont="1" applyFill="1" applyBorder="1" applyAlignment="1">
      <alignment horizontal="right" vertical="center" wrapText="1" indent="1"/>
    </xf>
    <xf numFmtId="0" fontId="27" fillId="9" borderId="0" xfId="0" applyFont="1" applyFill="1"/>
    <xf numFmtId="0" fontId="36" fillId="9" borderId="0" xfId="0" applyFont="1" applyFill="1" applyBorder="1" applyAlignment="1">
      <alignment horizontal="right" vertical="center" wrapText="1" indent="1"/>
    </xf>
    <xf numFmtId="0" fontId="33" fillId="10" borderId="0" xfId="0" applyFont="1" applyFill="1" applyAlignment="1">
      <alignment horizontal="right" vertical="center" wrapText="1" indent="1"/>
    </xf>
    <xf numFmtId="0" fontId="33" fillId="6" borderId="0" xfId="0" applyFont="1" applyFill="1" applyAlignment="1">
      <alignment horizontal="left" vertical="center" indent="2"/>
    </xf>
    <xf numFmtId="0" fontId="34" fillId="6" borderId="0" xfId="3" applyFill="1" applyAlignment="1">
      <alignment horizontal="left" vertical="center" indent="1"/>
    </xf>
    <xf numFmtId="0" fontId="4" fillId="6" borderId="0" xfId="3" applyNumberFormat="1" applyFont="1" applyFill="1" applyAlignment="1">
      <alignment horizontal="right" vertical="center" indent="1"/>
    </xf>
    <xf numFmtId="0" fontId="33" fillId="6" borderId="0" xfId="0" applyFont="1" applyFill="1" applyAlignment="1">
      <alignment horizontal="right" vertical="center" wrapText="1" indent="1"/>
    </xf>
    <xf numFmtId="0" fontId="2" fillId="6" borderId="0" xfId="0" applyFont="1" applyFill="1" applyAlignment="1">
      <alignment horizontal="left" vertical="center" indent="2"/>
    </xf>
    <xf numFmtId="0" fontId="22" fillId="9" borderId="25" xfId="0" applyFont="1" applyFill="1" applyBorder="1" applyAlignment="1">
      <alignment horizontal="center"/>
    </xf>
    <xf numFmtId="0" fontId="22" fillId="9" borderId="26" xfId="0" applyFont="1" applyFill="1" applyBorder="1" applyAlignment="1">
      <alignment horizontal="center"/>
    </xf>
    <xf numFmtId="0" fontId="22" fillId="9" borderId="27" xfId="0" applyFont="1" applyFill="1" applyBorder="1" applyAlignment="1">
      <alignment horizontal="center"/>
    </xf>
    <xf numFmtId="0" fontId="0" fillId="0" borderId="28" xfId="0" applyBorder="1"/>
    <xf numFmtId="0" fontId="0" fillId="0" borderId="0" xfId="0" applyBorder="1"/>
    <xf numFmtId="0" fontId="0" fillId="0" borderId="29" xfId="0" applyBorder="1"/>
    <xf numFmtId="0" fontId="22" fillId="9" borderId="0" xfId="0" applyFont="1" applyFill="1" applyBorder="1" applyAlignment="1">
      <alignment horizontal="center"/>
    </xf>
    <xf numFmtId="0" fontId="22" fillId="9" borderId="29" xfId="0" applyFont="1" applyFill="1" applyBorder="1" applyAlignment="1">
      <alignment horizontal="center"/>
    </xf>
    <xf numFmtId="2" fontId="0" fillId="0" borderId="0" xfId="0" applyNumberFormat="1" applyBorder="1"/>
    <xf numFmtId="0" fontId="0" fillId="10" borderId="0" xfId="0" applyFill="1" applyBorder="1"/>
    <xf numFmtId="0" fontId="0" fillId="10" borderId="29" xfId="0" applyFill="1" applyBorder="1"/>
    <xf numFmtId="0" fontId="22" fillId="9" borderId="28" xfId="0" applyFont="1" applyFill="1" applyBorder="1" applyAlignment="1">
      <alignment horizontal="center" vertical="center" wrapText="1"/>
    </xf>
    <xf numFmtId="2" fontId="0" fillId="0" borderId="29" xfId="0" applyNumberFormat="1" applyBorder="1"/>
    <xf numFmtId="0" fontId="22" fillId="9" borderId="30" xfId="0" applyFont="1" applyFill="1" applyBorder="1" applyAlignment="1">
      <alignment horizontal="center" vertical="center" wrapText="1"/>
    </xf>
    <xf numFmtId="0" fontId="0" fillId="10" borderId="31" xfId="0" applyFill="1" applyBorder="1"/>
    <xf numFmtId="2" fontId="0" fillId="0" borderId="31" xfId="0" applyNumberFormat="1" applyBorder="1"/>
    <xf numFmtId="2" fontId="0" fillId="0" borderId="32" xfId="0" applyNumberFormat="1" applyBorder="1"/>
    <xf numFmtId="0" fontId="37" fillId="9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  <color rgb="FFFFCC66"/>
      <color rgb="FFE8B14E"/>
      <color rgb="FFE0A26E"/>
      <color rgb="FFD27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'Scenario case'!$B$3</c:f>
              <c:strCache>
                <c:ptCount val="1"/>
                <c:pt idx="0">
                  <c:v>Mar-25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case'!$B$12</c:f>
              <c:numCache>
                <c:formatCode>"₹"\ #,##0.00</c:formatCode>
                <c:ptCount val="1"/>
                <c:pt idx="0">
                  <c:v>2717.2799999999997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D-4336-B009-7A42894723DB}"/>
            </c:ext>
          </c:extLst>
        </c:ser>
        <c:ser>
          <c:idx val="1"/>
          <c:order val="1"/>
          <c:tx>
            <c:strRef>
              <c:f>'Scenario case'!$C$3</c:f>
              <c:strCache>
                <c:ptCount val="1"/>
                <c:pt idx="0">
                  <c:v>Mar-26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case'!$C$12</c:f>
              <c:numCache>
                <c:formatCode>"₹"\ #,##0.00</c:formatCode>
                <c:ptCount val="1"/>
                <c:pt idx="0">
                  <c:v>3523.1933242957648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D-4336-B009-7A42894723DB}"/>
            </c:ext>
          </c:extLst>
        </c:ser>
        <c:ser>
          <c:idx val="2"/>
          <c:order val="2"/>
          <c:tx>
            <c:strRef>
              <c:f>'Scenario case'!$D$3</c:f>
              <c:strCache>
                <c:ptCount val="1"/>
                <c:pt idx="0">
                  <c:v>Mar-27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case'!$D$12</c:f>
              <c:numCache>
                <c:formatCode>"₹"\ #,##0.00</c:formatCode>
                <c:ptCount val="1"/>
                <c:pt idx="0">
                  <c:v>4453.5620979497635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6D-4336-B009-7A42894723DB}"/>
            </c:ext>
          </c:extLst>
        </c:ser>
        <c:ser>
          <c:idx val="3"/>
          <c:order val="3"/>
          <c:tx>
            <c:strRef>
              <c:f>'Scenario case'!$E$3</c:f>
              <c:strCache>
                <c:ptCount val="1"/>
                <c:pt idx="0">
                  <c:v>Mar-28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case'!$E$12</c:f>
              <c:numCache>
                <c:formatCode>"₹"\ #,##0.00</c:formatCode>
                <c:ptCount val="1"/>
                <c:pt idx="0">
                  <c:v>5629.613119302594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6D-4336-B009-7A42894723DB}"/>
            </c:ext>
          </c:extLst>
        </c:ser>
        <c:ser>
          <c:idx val="4"/>
          <c:order val="4"/>
          <c:tx>
            <c:strRef>
              <c:f>'Scenario case'!$F$3</c:f>
              <c:strCache>
                <c:ptCount val="1"/>
                <c:pt idx="0">
                  <c:v>Mar-29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case'!$F$12</c:f>
              <c:numCache>
                <c:formatCode>"₹"\ #,##0.00</c:formatCode>
                <c:ptCount val="1"/>
                <c:pt idx="0">
                  <c:v>7116.2236376166766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6D-4336-B009-7A42894723DB}"/>
            </c:ext>
          </c:extLst>
        </c:ser>
        <c:ser>
          <c:idx val="5"/>
          <c:order val="5"/>
          <c:tx>
            <c:strRef>
              <c:f>'Scenario case'!$G$3</c:f>
              <c:strCache>
                <c:ptCount val="1"/>
                <c:pt idx="0">
                  <c:v>Mar-30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case'!$G$12</c:f>
              <c:numCache>
                <c:formatCode>"₹"\ #,##0.00</c:formatCode>
                <c:ptCount val="1"/>
                <c:pt idx="0">
                  <c:v>8995.4030210246274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6D-4336-B009-7A42894723DB}"/>
            </c:ext>
          </c:extLst>
        </c:ser>
        <c:ser>
          <c:idx val="6"/>
          <c:order val="6"/>
          <c:tx>
            <c:strRef>
              <c:f>'Scenario case'!$H$3</c:f>
              <c:strCache>
                <c:ptCount val="1"/>
                <c:pt idx="0">
                  <c:v>Mar-31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'Scenario case'!$H$12</c:f>
              <c:numCache>
                <c:formatCode>"₹"\ #,##0.00</c:formatCode>
                <c:ptCount val="1"/>
                <c:pt idx="0">
                  <c:v>11370.816830843614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6D-4336-B009-7A42894723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90467728"/>
        <c:axId val="490461008"/>
      </c:barChart>
      <c:valAx>
        <c:axId val="490461008"/>
        <c:scaling>
          <c:orientation val="minMax"/>
        </c:scaling>
        <c:delete val="1"/>
        <c:axPos val="b"/>
        <c:numFmt formatCode="&quot;₹&quot;\ #,##0.00" sourceLinked="1"/>
        <c:majorTickMark val="none"/>
        <c:minorTickMark val="none"/>
        <c:tickLblPos val="nextTo"/>
        <c:crossAx val="490467728"/>
        <c:crosses val="autoZero"/>
        <c:crossBetween val="between"/>
      </c:valAx>
      <c:catAx>
        <c:axId val="490467728"/>
        <c:scaling>
          <c:orientation val="minMax"/>
        </c:scaling>
        <c:delete val="1"/>
        <c:axPos val="l"/>
        <c:numFmt formatCode="mmm\-yy" sourceLinked="1"/>
        <c:majorTickMark val="none"/>
        <c:minorTickMark val="none"/>
        <c:tickLblPos val="nextTo"/>
        <c:crossAx val="490461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1000">
          <a:srgbClr val="FFFF99"/>
        </a:gs>
        <a:gs pos="100000">
          <a:schemeClr val="bg1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Working Capital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'Peer Comparison'!$C$3</c:f>
              <c:strCache>
                <c:ptCount val="1"/>
                <c:pt idx="0">
                  <c:v>Working Capital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>
                <a:solidFill>
                  <a:schemeClr val="l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'Peer Comparison'!$B$4:$B$8</c:f>
              <c:strCache>
                <c:ptCount val="5"/>
                <c:pt idx="0">
                  <c:v>Avenue Super.</c:v>
                </c:pt>
                <c:pt idx="1">
                  <c:v>Vishal Mega Mart</c:v>
                </c:pt>
                <c:pt idx="2">
                  <c:v>V-Mart Retail</c:v>
                </c:pt>
                <c:pt idx="3">
                  <c:v>Electronics Mart</c:v>
                </c:pt>
                <c:pt idx="4">
                  <c:v>Shoppers Stop</c:v>
                </c:pt>
              </c:strCache>
            </c:strRef>
          </c:cat>
          <c:val>
            <c:numRef>
              <c:f>'Peer Comparison'!$C$4:$C$8</c:f>
              <c:numCache>
                <c:formatCode>General</c:formatCode>
                <c:ptCount val="5"/>
                <c:pt idx="0">
                  <c:v>24</c:v>
                </c:pt>
                <c:pt idx="1">
                  <c:v>-7</c:v>
                </c:pt>
                <c:pt idx="2">
                  <c:v>89</c:v>
                </c:pt>
                <c:pt idx="3">
                  <c:v>70</c:v>
                </c:pt>
                <c:pt idx="4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1-4952-B107-5298E573A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4096640"/>
        <c:axId val="494098560"/>
      </c:lineChart>
      <c:catAx>
        <c:axId val="49409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8560"/>
        <c:crosses val="autoZero"/>
        <c:auto val="1"/>
        <c:lblAlgn val="ctr"/>
        <c:lblOffset val="100"/>
        <c:noMultiLvlLbl val="0"/>
      </c:catAx>
      <c:valAx>
        <c:axId val="4940985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40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">
          <a:srgbClr val="FFFF99"/>
        </a:gs>
        <a:gs pos="100000">
          <a:schemeClr val="bg1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'Peer Comparison'!$D$3</c:f>
              <c:strCache>
                <c:ptCount val="1"/>
                <c:pt idx="0">
                  <c:v>Cash Conversion Cycle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'Peer Comparison'!$B$4:$B$8</c:f>
              <c:strCache>
                <c:ptCount val="5"/>
                <c:pt idx="0">
                  <c:v>Avenue Super.</c:v>
                </c:pt>
                <c:pt idx="1">
                  <c:v>Vishal Mega Mart</c:v>
                </c:pt>
                <c:pt idx="2">
                  <c:v>V-Mart Retail</c:v>
                </c:pt>
                <c:pt idx="3">
                  <c:v>Electronics Mart</c:v>
                </c:pt>
                <c:pt idx="4">
                  <c:v>Shoppers Stop</c:v>
                </c:pt>
              </c:strCache>
            </c:strRef>
          </c:xVal>
          <c:yVal>
            <c:numRef>
              <c:f>'Peer Comparison'!$D$4:$D$8</c:f>
              <c:numCache>
                <c:formatCode>General</c:formatCode>
                <c:ptCount val="5"/>
                <c:pt idx="0">
                  <c:v>31</c:v>
                </c:pt>
                <c:pt idx="1">
                  <c:v>-22</c:v>
                </c:pt>
                <c:pt idx="2">
                  <c:v>126</c:v>
                </c:pt>
                <c:pt idx="3">
                  <c:v>66</c:v>
                </c:pt>
                <c:pt idx="4">
                  <c:v>-101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D19-4C32-97BD-714329CF12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90495568"/>
        <c:axId val="490496048"/>
      </c:bubbleChart>
      <c:valAx>
        <c:axId val="49049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96048"/>
        <c:crosses val="autoZero"/>
        <c:crossBetween val="midCat"/>
      </c:valAx>
      <c:valAx>
        <c:axId val="490496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9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">
          <a:srgbClr val="FFFF99"/>
        </a:gs>
        <a:gs pos="100000">
          <a:schemeClr val="bg1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'Peer Comparison'!$E$3</c:f>
              <c:strCache>
                <c:ptCount val="1"/>
                <c:pt idx="0">
                  <c:v>Days Payable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3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strRef>
              <c:f>'Peer Comparison'!$B$4:$B$8</c:f>
              <c:strCache>
                <c:ptCount val="5"/>
                <c:pt idx="0">
                  <c:v>Avenue Super.</c:v>
                </c:pt>
                <c:pt idx="1">
                  <c:v>Vishal Mega Mart</c:v>
                </c:pt>
                <c:pt idx="2">
                  <c:v>V-Mart Retail</c:v>
                </c:pt>
                <c:pt idx="3">
                  <c:v>Electronics Mart</c:v>
                </c:pt>
                <c:pt idx="4">
                  <c:v>Shoppers Stop</c:v>
                </c:pt>
              </c:strCache>
            </c:strRef>
          </c:cat>
          <c:val>
            <c:numRef>
              <c:f>'Peer Comparison'!$E$4:$E$8</c:f>
              <c:numCache>
                <c:formatCode>General</c:formatCode>
                <c:ptCount val="5"/>
                <c:pt idx="0">
                  <c:v>8</c:v>
                </c:pt>
                <c:pt idx="1">
                  <c:v>133</c:v>
                </c:pt>
                <c:pt idx="2">
                  <c:v>97</c:v>
                </c:pt>
                <c:pt idx="3">
                  <c:v>3</c:v>
                </c:pt>
                <c:pt idx="4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8-420C-A8FF-0AB2A5A0145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">
          <a:srgbClr val="FFFF99"/>
        </a:gs>
        <a:gs pos="100000">
          <a:schemeClr val="bg1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'Peer Comparison'!$H$3</c:f>
              <c:strCache>
                <c:ptCount val="1"/>
                <c:pt idx="0">
                  <c:v>ROCE %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'Peer Comparison'!$B$4:$B$8</c:f>
              <c:strCache>
                <c:ptCount val="5"/>
                <c:pt idx="0">
                  <c:v>Avenue Super.</c:v>
                </c:pt>
                <c:pt idx="1">
                  <c:v>Vishal Mega Mart</c:v>
                </c:pt>
                <c:pt idx="2">
                  <c:v>V-Mart Retail</c:v>
                </c:pt>
                <c:pt idx="3">
                  <c:v>Electronics Mart</c:v>
                </c:pt>
                <c:pt idx="4">
                  <c:v>Shoppers Stop</c:v>
                </c:pt>
              </c:strCache>
            </c:strRef>
          </c:cat>
          <c:val>
            <c:numRef>
              <c:f>'Peer Comparison'!$H$4:$H$8</c:f>
              <c:numCache>
                <c:formatCode>General</c:formatCode>
                <c:ptCount val="5"/>
                <c:pt idx="0">
                  <c:v>0.16</c:v>
                </c:pt>
                <c:pt idx="1">
                  <c:v>0.08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4-4DA4-A635-35117B1D3D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4094720"/>
        <c:axId val="494092320"/>
      </c:barChart>
      <c:catAx>
        <c:axId val="49409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2320"/>
        <c:crosses val="autoZero"/>
        <c:auto val="1"/>
        <c:lblAlgn val="ctr"/>
        <c:lblOffset val="100"/>
        <c:noMultiLvlLbl val="0"/>
      </c:catAx>
      <c:valAx>
        <c:axId val="494092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">
          <a:srgbClr val="FFFF99"/>
        </a:gs>
        <a:gs pos="100000">
          <a:schemeClr val="bg1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'Peer Comparison'!$G$3</c:f>
              <c:strCache>
                <c:ptCount val="1"/>
                <c:pt idx="0">
                  <c:v>Debtor Days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'Peer Comparison'!$B$4:$B$8</c:f>
              <c:strCache>
                <c:ptCount val="5"/>
                <c:pt idx="0">
                  <c:v>Avenue Super.</c:v>
                </c:pt>
                <c:pt idx="1">
                  <c:v>Vishal Mega Mart</c:v>
                </c:pt>
                <c:pt idx="2">
                  <c:v>V-Mart Retail</c:v>
                </c:pt>
                <c:pt idx="3">
                  <c:v>Electronics Mart</c:v>
                </c:pt>
                <c:pt idx="4">
                  <c:v>Shoppers Stop</c:v>
                </c:pt>
              </c:strCache>
            </c:strRef>
          </c:cat>
          <c:val>
            <c:numRef>
              <c:f>'Peer Comparison'!$G$4:$G$8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2-40DF-9ACE-D5D060BADC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66463088"/>
        <c:axId val="1166465968"/>
      </c:barChart>
      <c:catAx>
        <c:axId val="116646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465968"/>
        <c:crosses val="autoZero"/>
        <c:auto val="1"/>
        <c:lblAlgn val="ctr"/>
        <c:lblOffset val="100"/>
        <c:noMultiLvlLbl val="0"/>
      </c:catAx>
      <c:valAx>
        <c:axId val="11664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46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">
          <a:srgbClr val="FFFF99"/>
        </a:gs>
        <a:gs pos="100000">
          <a:schemeClr val="bg1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Inventory Days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Inventory Days</a:t>
          </a:r>
        </a:p>
      </cx:txPr>
    </cx:title>
    <cx:plotArea>
      <cx:plotAreaRegion>
        <cx:series layoutId="funnel" uniqueId="{A542A300-70B6-4112-A051-B0AA9D5DDED2}">
          <cx:tx>
            <cx:txData>
              <cx:f>_xlchart.v2.4</cx:f>
              <cx:v>Inventory Days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150000006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n-US" sz="105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endParaRPr>
          </a:p>
        </cx:txPr>
      </cx:axis>
    </cx:plotArea>
  </cx:chart>
  <cx:spPr>
    <a:gradFill>
      <a:gsLst>
        <a:gs pos="1000">
          <a:srgbClr val="FFFF99"/>
        </a:gs>
        <a:gs pos="100000">
          <a:schemeClr val="bg1"/>
        </a:gs>
      </a:gsLst>
      <a:lin ang="5400000" scaled="1"/>
    </a:gra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6.xml"/><Relationship Id="rId5" Type="http://schemas.microsoft.com/office/2014/relationships/chartEx" Target="../charts/chartEx1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200026</xdr:colOff>
      <xdr:row>1</xdr:row>
      <xdr:rowOff>0</xdr:rowOff>
    </xdr:from>
    <xdr:to>
      <xdr:col>11</xdr:col>
      <xdr:colOff>123826</xdr:colOff>
      <xdr:row>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AACCD6-59F5-FB2D-3F23-CAF90A4A554A}"/>
            </a:ext>
          </a:extLst>
        </xdr:cNvPr>
        <xdr:cNvSpPr txBox="1"/>
      </xdr:nvSpPr>
      <xdr:spPr>
        <a:xfrm>
          <a:off x="5895976" y="190500"/>
          <a:ext cx="1752600" cy="24765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Market Cap -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 2,73,393 Cr.</a:t>
          </a:r>
        </a:p>
        <a:p>
          <a:br>
            <a:rPr lang="en-IN"/>
          </a:br>
          <a:endParaRPr lang="en-IN" sz="1100"/>
        </a:p>
      </xdr:txBody>
    </xdr:sp>
    <xdr:clientData/>
  </xdr:twoCellAnchor>
  <xdr:twoCellAnchor>
    <xdr:from>
      <xdr:col>11</xdr:col>
      <xdr:colOff>323851</xdr:colOff>
      <xdr:row>1</xdr:row>
      <xdr:rowOff>0</xdr:rowOff>
    </xdr:from>
    <xdr:to>
      <xdr:col>14</xdr:col>
      <xdr:colOff>28575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FCDC32-1CCB-46B5-BB2D-9BA9DE0AF149}"/>
            </a:ext>
          </a:extLst>
        </xdr:cNvPr>
        <xdr:cNvSpPr txBox="1"/>
      </xdr:nvSpPr>
      <xdr:spPr>
        <a:xfrm>
          <a:off x="7848601" y="190500"/>
          <a:ext cx="1533524" cy="24765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Price -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 4,203</a:t>
          </a:r>
        </a:p>
        <a:p>
          <a:br>
            <a:rPr lang="en-IN"/>
          </a:b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IN"/>
          </a:br>
          <a:endParaRPr lang="en-IN" sz="1100"/>
        </a:p>
      </xdr:txBody>
    </xdr:sp>
    <xdr:clientData/>
  </xdr:twoCellAnchor>
  <xdr:twoCellAnchor>
    <xdr:from>
      <xdr:col>14</xdr:col>
      <xdr:colOff>209551</xdr:colOff>
      <xdr:row>1</xdr:row>
      <xdr:rowOff>0</xdr:rowOff>
    </xdr:from>
    <xdr:to>
      <xdr:col>16</xdr:col>
      <xdr:colOff>285750</xdr:colOff>
      <xdr:row>2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3556ACC-5790-439E-B709-A4EEB8AAB687}"/>
            </a:ext>
          </a:extLst>
        </xdr:cNvPr>
        <xdr:cNvSpPr txBox="1"/>
      </xdr:nvSpPr>
      <xdr:spPr>
        <a:xfrm>
          <a:off x="9563101" y="190500"/>
          <a:ext cx="1295399" cy="24765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Face Value -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 10.0</a:t>
          </a:r>
          <a:br>
            <a:rPr lang="en-IN"/>
          </a:b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IN"/>
          </a:b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4762</xdr:rowOff>
    </xdr:from>
    <xdr:to>
      <xdr:col>17</xdr:col>
      <xdr:colOff>12533</xdr:colOff>
      <xdr:row>20</xdr:row>
      <xdr:rowOff>75198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D6687-75AF-E3DA-6C98-E136F1FCB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172147</xdr:colOff>
      <xdr:row>9</xdr:row>
      <xdr:rowOff>16378</xdr:rowOff>
    </xdr:from>
    <xdr:to>
      <xdr:col>3</xdr:col>
      <xdr:colOff>806373</xdr:colOff>
      <xdr:row>21</xdr:row>
      <xdr:rowOff>6737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76CEA-E869-D378-6815-20C139EC8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1072375</xdr:colOff>
      <xdr:row>9</xdr:row>
      <xdr:rowOff>580</xdr:rowOff>
    </xdr:from>
    <xdr:to>
      <xdr:col>7</xdr:col>
      <xdr:colOff>569177</xdr:colOff>
      <xdr:row>21</xdr:row>
      <xdr:rowOff>5343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37DD64-F3C7-A0B6-B194-0ADFDF23F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126845</xdr:colOff>
      <xdr:row>9</xdr:row>
      <xdr:rowOff>1975</xdr:rowOff>
    </xdr:from>
    <xdr:to>
      <xdr:col>14</xdr:col>
      <xdr:colOff>450696</xdr:colOff>
      <xdr:row>21</xdr:row>
      <xdr:rowOff>21141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DB5DED-6558-B6BB-4DEE-46F762D53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95597</xdr:colOff>
      <xdr:row>23</xdr:row>
      <xdr:rowOff>12196</xdr:rowOff>
    </xdr:from>
    <xdr:to>
      <xdr:col>14</xdr:col>
      <xdr:colOff>546642</xdr:colOff>
      <xdr:row>35</xdr:row>
      <xdr:rowOff>36009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31013C-420B-295D-CB77-C40245301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135906</xdr:colOff>
      <xdr:row>23</xdr:row>
      <xdr:rowOff>16494</xdr:rowOff>
    </xdr:from>
    <xdr:to>
      <xdr:col>3</xdr:col>
      <xdr:colOff>778263</xdr:colOff>
      <xdr:row>35</xdr:row>
      <xdr:rowOff>69695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8CA31DC-491E-ABDD-5F46-3FCC01057A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906" y="4546677"/>
              <a:ext cx="3952875" cy="2283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1024519</xdr:colOff>
      <xdr:row>23</xdr:row>
      <xdr:rowOff>4877</xdr:rowOff>
    </xdr:from>
    <xdr:to>
      <xdr:col>7</xdr:col>
      <xdr:colOff>592409</xdr:colOff>
      <xdr:row>35</xdr:row>
      <xdr:rowOff>46463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B8D587-2275-773D-1E7F-85521E4AE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d6de0b13f87dd2f/Desktop/financial%20model.xlsx" TargetMode="External"/><Relationship Id="rId1" Type="http://schemas.openxmlformats.org/officeDocument/2006/relationships/externalLinkPath" Target="financial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Financials&gt;"/>
      <sheetName val="Data Sheet"/>
      <sheetName val="DCF-Intrensic Value"/>
      <sheetName val="Historical FS "/>
      <sheetName val="Cash Flow Data"/>
      <sheetName val="Ratio Analysis"/>
      <sheetName val="Calculate Beta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42094</v>
          </cell>
          <cell r="C16">
            <v>42460</v>
          </cell>
          <cell r="D16">
            <v>42825</v>
          </cell>
          <cell r="E16">
            <v>43190</v>
          </cell>
          <cell r="F16">
            <v>43555</v>
          </cell>
          <cell r="G16">
            <v>43921</v>
          </cell>
          <cell r="H16">
            <v>44286</v>
          </cell>
          <cell r="I16">
            <v>44651</v>
          </cell>
          <cell r="J16">
            <v>45016</v>
          </cell>
          <cell r="K16">
            <v>45382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VMART/" TargetMode="External"/><Relationship Id="rId2" Type="http://schemas.openxmlformats.org/officeDocument/2006/relationships/hyperlink" Target="https://www.screener.in/company/VMM/consolidated/" TargetMode="External"/><Relationship Id="rId1" Type="http://schemas.openxmlformats.org/officeDocument/2006/relationships/hyperlink" Target="https://www.screener.in/company/DMART/consolidated/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s://www.screener.in/company/SHOPERSTOP/consolidated/" TargetMode="External"/><Relationship Id="rId4" Type="http://schemas.openxmlformats.org/officeDocument/2006/relationships/hyperlink" Target="https://www.screener.in/company/EMI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909-5CFB-4304-B0B2-85F938C1EC26}">
  <dimension ref="A1:T44"/>
  <sheetViews>
    <sheetView zoomScale="95" workbookViewId="0">
      <selection activeCell="M6" sqref="M6"/>
    </sheetView>
  </sheetViews>
  <sheetFormatPr defaultRowHeight="15" x14ac:dyDescent="0.25"/>
  <cols>
    <col min="1" max="1" width="21.42578125" bestFit="1" customWidth="1"/>
  </cols>
  <sheetData>
    <row r="1" spans="1:20" x14ac:dyDescent="0.25">
      <c r="A1" s="147" t="s">
        <v>29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20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1:20" ht="15.75" thickBot="1" x14ac:dyDescent="0.3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 spans="1:20" ht="15" customHeight="1" x14ac:dyDescent="0.25">
      <c r="A4" s="148" t="s">
        <v>28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50"/>
    </row>
    <row r="5" spans="1:20" ht="15.75" thickBot="1" x14ac:dyDescent="0.3">
      <c r="A5" s="151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3"/>
    </row>
    <row r="6" spans="1:20" ht="15.75" thickBot="1" x14ac:dyDescent="0.3">
      <c r="A6" s="1"/>
      <c r="B6" s="10">
        <v>42064</v>
      </c>
      <c r="C6" s="10">
        <v>42430</v>
      </c>
      <c r="D6" s="10">
        <v>42795</v>
      </c>
      <c r="E6" s="10">
        <v>43160</v>
      </c>
      <c r="F6" s="10">
        <v>43525</v>
      </c>
      <c r="G6" s="10">
        <v>43891</v>
      </c>
      <c r="H6" s="10">
        <v>44256</v>
      </c>
      <c r="I6" s="10">
        <v>44621</v>
      </c>
      <c r="J6" s="10">
        <v>44986</v>
      </c>
      <c r="K6" s="10">
        <v>45352</v>
      </c>
      <c r="L6" s="10">
        <v>45717</v>
      </c>
    </row>
    <row r="7" spans="1:20" x14ac:dyDescent="0.25">
      <c r="A7" s="2" t="s">
        <v>17</v>
      </c>
      <c r="B7" s="3">
        <f>6439+20</f>
        <v>6459</v>
      </c>
      <c r="C7" s="3">
        <f>8584+17</f>
        <v>8601</v>
      </c>
      <c r="D7" s="3">
        <f>11898+28</f>
        <v>11926</v>
      </c>
      <c r="E7" s="3">
        <f>15033+88</f>
        <v>15121</v>
      </c>
      <c r="F7" s="3">
        <f>20005+48</f>
        <v>20053</v>
      </c>
      <c r="G7" s="3">
        <f>24870+60</f>
        <v>24930</v>
      </c>
      <c r="H7" s="3">
        <f>24143+194</f>
        <v>24337</v>
      </c>
      <c r="I7" s="3">
        <f>30976+114</f>
        <v>31090</v>
      </c>
      <c r="J7" s="3">
        <f>42840+128</f>
        <v>42968</v>
      </c>
      <c r="K7" s="3">
        <f>50789+145</f>
        <v>50934</v>
      </c>
      <c r="L7" s="3">
        <f>59358+124</f>
        <v>59482</v>
      </c>
    </row>
    <row r="8" spans="1:20" ht="15.75" thickBot="1" x14ac:dyDescent="0.3">
      <c r="A8" s="4" t="s">
        <v>18</v>
      </c>
      <c r="B8" s="5">
        <v>5983</v>
      </c>
      <c r="C8" s="5">
        <v>7919</v>
      </c>
      <c r="D8" s="5">
        <v>10929</v>
      </c>
      <c r="E8" s="5">
        <v>13680</v>
      </c>
      <c r="F8" s="5">
        <v>18371</v>
      </c>
      <c r="G8" s="5">
        <v>22742</v>
      </c>
      <c r="H8" s="5">
        <v>22398</v>
      </c>
      <c r="I8" s="5">
        <v>28474</v>
      </c>
      <c r="J8" s="5">
        <v>39201</v>
      </c>
      <c r="K8" s="5">
        <v>46683</v>
      </c>
      <c r="L8" s="5">
        <v>54871</v>
      </c>
    </row>
    <row r="9" spans="1:20" ht="15.75" thickTop="1" x14ac:dyDescent="0.25">
      <c r="A9" s="111" t="s">
        <v>0</v>
      </c>
      <c r="B9" s="112">
        <v>456</v>
      </c>
      <c r="C9" s="112">
        <v>664</v>
      </c>
      <c r="D9" s="112">
        <v>969</v>
      </c>
      <c r="E9" s="113">
        <v>1353</v>
      </c>
      <c r="F9" s="113">
        <v>1633</v>
      </c>
      <c r="G9" s="113">
        <v>2128</v>
      </c>
      <c r="H9" s="113">
        <v>1745</v>
      </c>
      <c r="I9" s="113">
        <v>2502</v>
      </c>
      <c r="J9" s="113">
        <v>3639</v>
      </c>
      <c r="K9" s="113">
        <v>4106</v>
      </c>
      <c r="L9" s="113">
        <v>4487</v>
      </c>
    </row>
    <row r="10" spans="1:20" x14ac:dyDescent="0.25">
      <c r="A10" s="4" t="s">
        <v>1</v>
      </c>
      <c r="B10" s="6">
        <v>7.0000000000000007E-2</v>
      </c>
      <c r="C10" s="6">
        <v>0.08</v>
      </c>
      <c r="D10" s="6">
        <v>0.08</v>
      </c>
      <c r="E10" s="6">
        <v>0.09</v>
      </c>
      <c r="F10" s="6">
        <v>0.08</v>
      </c>
      <c r="G10" s="6">
        <v>0.09</v>
      </c>
      <c r="H10" s="6">
        <v>7.0000000000000007E-2</v>
      </c>
      <c r="I10" s="6">
        <v>0.08</v>
      </c>
      <c r="J10" s="6">
        <v>0.08</v>
      </c>
      <c r="K10" s="6">
        <v>0.08</v>
      </c>
      <c r="L10" s="6">
        <v>0.08</v>
      </c>
    </row>
    <row r="11" spans="1:20" x14ac:dyDescent="0.25">
      <c r="A11" s="2" t="s">
        <v>19</v>
      </c>
      <c r="B11" s="7">
        <v>20</v>
      </c>
      <c r="C11" s="7">
        <v>17</v>
      </c>
      <c r="D11" s="7">
        <v>28</v>
      </c>
      <c r="E11" s="7">
        <v>88</v>
      </c>
      <c r="F11" s="7">
        <v>48</v>
      </c>
      <c r="G11" s="7">
        <v>60</v>
      </c>
      <c r="H11" s="7">
        <v>194</v>
      </c>
      <c r="I11" s="7">
        <v>114</v>
      </c>
      <c r="J11" s="7">
        <v>128</v>
      </c>
      <c r="K11" s="7">
        <v>145</v>
      </c>
      <c r="L11" s="7">
        <v>124</v>
      </c>
    </row>
    <row r="12" spans="1:20" x14ac:dyDescent="0.25">
      <c r="A12" s="4" t="s">
        <v>2</v>
      </c>
      <c r="B12" s="8">
        <v>72</v>
      </c>
      <c r="C12" s="8">
        <v>91</v>
      </c>
      <c r="D12" s="8">
        <v>122</v>
      </c>
      <c r="E12" s="8">
        <v>60</v>
      </c>
      <c r="F12" s="8">
        <v>47</v>
      </c>
      <c r="G12" s="8">
        <v>69</v>
      </c>
      <c r="H12" s="8">
        <v>42</v>
      </c>
      <c r="I12" s="8">
        <v>54</v>
      </c>
      <c r="J12" s="8">
        <v>67</v>
      </c>
      <c r="K12" s="8">
        <v>58</v>
      </c>
      <c r="L12" s="8">
        <v>69</v>
      </c>
    </row>
    <row r="13" spans="1:20" ht="15.75" thickBot="1" x14ac:dyDescent="0.3">
      <c r="A13" s="2" t="s">
        <v>3</v>
      </c>
      <c r="B13" s="7">
        <v>82</v>
      </c>
      <c r="C13" s="7">
        <v>98</v>
      </c>
      <c r="D13" s="7">
        <v>128</v>
      </c>
      <c r="E13" s="7">
        <v>159</v>
      </c>
      <c r="F13" s="7">
        <v>212</v>
      </c>
      <c r="G13" s="7">
        <v>374</v>
      </c>
      <c r="H13" s="7">
        <v>414</v>
      </c>
      <c r="I13" s="7">
        <v>498</v>
      </c>
      <c r="J13" s="7">
        <v>639</v>
      </c>
      <c r="K13" s="7">
        <v>731</v>
      </c>
      <c r="L13" s="7">
        <v>870</v>
      </c>
    </row>
    <row r="14" spans="1:20" ht="15.75" thickTop="1" x14ac:dyDescent="0.25">
      <c r="A14" s="111" t="s">
        <v>4</v>
      </c>
      <c r="B14" s="112">
        <v>323</v>
      </c>
      <c r="C14" s="112">
        <v>492</v>
      </c>
      <c r="D14" s="112">
        <v>747</v>
      </c>
      <c r="E14" s="113">
        <v>1222</v>
      </c>
      <c r="F14" s="113">
        <v>1422</v>
      </c>
      <c r="G14" s="113">
        <v>1745</v>
      </c>
      <c r="H14" s="113">
        <v>1483</v>
      </c>
      <c r="I14" s="113">
        <v>2064</v>
      </c>
      <c r="J14" s="113">
        <v>3060</v>
      </c>
      <c r="K14" s="113">
        <v>3461</v>
      </c>
      <c r="L14" s="113">
        <v>3673</v>
      </c>
    </row>
    <row r="15" spans="1:20" ht="15.75" thickBot="1" x14ac:dyDescent="0.3">
      <c r="A15" s="2" t="s">
        <v>5</v>
      </c>
      <c r="B15" s="9">
        <v>0.34</v>
      </c>
      <c r="C15" s="9">
        <v>0.35</v>
      </c>
      <c r="D15" s="9">
        <v>0.36</v>
      </c>
      <c r="E15" s="9">
        <v>0.34</v>
      </c>
      <c r="F15" s="9">
        <v>0.37</v>
      </c>
      <c r="G15" s="9">
        <v>0.25</v>
      </c>
      <c r="H15" s="9">
        <v>0.26</v>
      </c>
      <c r="I15" s="9">
        <v>0.28000000000000003</v>
      </c>
      <c r="J15" s="9">
        <v>0.22</v>
      </c>
      <c r="K15" s="9">
        <v>0.27</v>
      </c>
      <c r="L15" s="9">
        <v>0.26</v>
      </c>
    </row>
    <row r="16" spans="1:20" ht="15.75" thickTop="1" x14ac:dyDescent="0.25">
      <c r="A16" s="111" t="s">
        <v>20</v>
      </c>
      <c r="B16" s="112">
        <v>212</v>
      </c>
      <c r="C16" s="112">
        <v>320</v>
      </c>
      <c r="D16" s="112">
        <v>479</v>
      </c>
      <c r="E16" s="112">
        <v>806</v>
      </c>
      <c r="F16" s="112">
        <v>902</v>
      </c>
      <c r="G16" s="113">
        <v>1301</v>
      </c>
      <c r="H16" s="113">
        <v>1099</v>
      </c>
      <c r="I16" s="113">
        <v>1492</v>
      </c>
      <c r="J16" s="113">
        <v>2378</v>
      </c>
      <c r="K16" s="113">
        <v>2536</v>
      </c>
      <c r="L16" s="113">
        <v>2707</v>
      </c>
    </row>
    <row r="17" spans="1:12" x14ac:dyDescent="0.25">
      <c r="A17" s="2" t="s">
        <v>6</v>
      </c>
      <c r="B17" s="7">
        <v>3.77</v>
      </c>
      <c r="C17" s="7">
        <v>5.7</v>
      </c>
      <c r="D17" s="7">
        <v>7.67</v>
      </c>
      <c r="E17" s="7">
        <v>12.92</v>
      </c>
      <c r="F17" s="7">
        <v>14.46</v>
      </c>
      <c r="G17" s="7">
        <v>20.09</v>
      </c>
      <c r="H17" s="7">
        <v>16.97</v>
      </c>
      <c r="I17" s="7">
        <v>23.04</v>
      </c>
      <c r="J17" s="7">
        <v>36.69</v>
      </c>
      <c r="K17" s="7">
        <v>38.97</v>
      </c>
      <c r="L17" s="7">
        <v>41.61</v>
      </c>
    </row>
    <row r="18" spans="1:12" x14ac:dyDescent="0.25">
      <c r="A18" s="4" t="s">
        <v>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21" spans="1:12" x14ac:dyDescent="0.25">
      <c r="A21" s="154" t="s">
        <v>15</v>
      </c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</row>
    <row r="22" spans="1:12" x14ac:dyDescent="0.25">
      <c r="A22" s="154"/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</row>
    <row r="23" spans="1:12" ht="15.75" thickBot="1" x14ac:dyDescent="0.3">
      <c r="B23" s="1">
        <v>42064</v>
      </c>
      <c r="C23" s="1">
        <v>42430</v>
      </c>
      <c r="D23" s="1">
        <v>42795</v>
      </c>
      <c r="E23" s="1">
        <v>43160</v>
      </c>
      <c r="F23" s="1">
        <v>43525</v>
      </c>
      <c r="G23" s="1">
        <v>43891</v>
      </c>
      <c r="H23" s="1">
        <v>44256</v>
      </c>
      <c r="I23" s="1">
        <v>44621</v>
      </c>
      <c r="J23" s="1">
        <v>44986</v>
      </c>
      <c r="K23" s="1">
        <v>45352</v>
      </c>
      <c r="L23" s="1">
        <v>45717</v>
      </c>
    </row>
    <row r="24" spans="1:12" x14ac:dyDescent="0.25">
      <c r="A24" s="2" t="s">
        <v>8</v>
      </c>
      <c r="B24" s="7">
        <v>562</v>
      </c>
      <c r="C24" s="7">
        <v>562</v>
      </c>
      <c r="D24" s="7">
        <v>624</v>
      </c>
      <c r="E24" s="7">
        <v>624</v>
      </c>
      <c r="F24" s="7">
        <v>624</v>
      </c>
      <c r="G24" s="7">
        <v>648</v>
      </c>
      <c r="H24" s="7">
        <v>648</v>
      </c>
      <c r="I24" s="7">
        <v>648</v>
      </c>
      <c r="J24" s="7">
        <v>648</v>
      </c>
      <c r="K24" s="7">
        <v>651</v>
      </c>
      <c r="L24" s="7">
        <v>651</v>
      </c>
    </row>
    <row r="25" spans="1:12" x14ac:dyDescent="0.25">
      <c r="A25" s="4" t="s">
        <v>9</v>
      </c>
      <c r="B25" s="8">
        <v>638</v>
      </c>
      <c r="C25" s="8">
        <v>959</v>
      </c>
      <c r="D25" s="5">
        <v>3218</v>
      </c>
      <c r="E25" s="5">
        <v>4045</v>
      </c>
      <c r="F25" s="5">
        <v>4963</v>
      </c>
      <c r="G25" s="5">
        <v>10432</v>
      </c>
      <c r="H25" s="5">
        <v>11536</v>
      </c>
      <c r="I25" s="5">
        <v>13030</v>
      </c>
      <c r="J25" s="5">
        <v>15430</v>
      </c>
      <c r="K25" s="5">
        <v>18047</v>
      </c>
      <c r="L25" s="5">
        <v>20777</v>
      </c>
    </row>
    <row r="26" spans="1:12" x14ac:dyDescent="0.25">
      <c r="A26" s="2" t="s">
        <v>21</v>
      </c>
      <c r="B26" s="7">
        <v>904</v>
      </c>
      <c r="C26" s="3">
        <v>1192</v>
      </c>
      <c r="D26" s="3">
        <v>1497</v>
      </c>
      <c r="E26" s="7">
        <v>439</v>
      </c>
      <c r="F26" s="7">
        <v>700</v>
      </c>
      <c r="G26" s="7">
        <v>333</v>
      </c>
      <c r="H26" s="7">
        <v>393</v>
      </c>
      <c r="I26" s="7">
        <v>647</v>
      </c>
      <c r="J26" s="7">
        <v>643</v>
      </c>
      <c r="K26" s="7">
        <v>592</v>
      </c>
      <c r="L26" s="7">
        <v>820</v>
      </c>
    </row>
    <row r="27" spans="1:12" ht="15.75" thickBot="1" x14ac:dyDescent="0.3">
      <c r="A27" s="4" t="s">
        <v>22</v>
      </c>
      <c r="B27" s="8">
        <v>251</v>
      </c>
      <c r="C27" s="8">
        <v>389</v>
      </c>
      <c r="D27" s="8">
        <v>481</v>
      </c>
      <c r="E27" s="8">
        <v>540</v>
      </c>
      <c r="F27" s="8">
        <v>719</v>
      </c>
      <c r="G27" s="8">
        <v>663</v>
      </c>
      <c r="H27" s="5">
        <v>1079</v>
      </c>
      <c r="I27" s="5">
        <v>1146</v>
      </c>
      <c r="J27" s="5">
        <v>1383</v>
      </c>
      <c r="K27" s="5">
        <v>1883</v>
      </c>
      <c r="L27" s="5">
        <v>2072</v>
      </c>
    </row>
    <row r="28" spans="1:12" ht="15.75" thickTop="1" x14ac:dyDescent="0.25">
      <c r="A28" s="111" t="s">
        <v>10</v>
      </c>
      <c r="B28" s="113">
        <v>2355</v>
      </c>
      <c r="C28" s="113">
        <v>3102</v>
      </c>
      <c r="D28" s="113">
        <v>5819</v>
      </c>
      <c r="E28" s="113">
        <v>5648</v>
      </c>
      <c r="F28" s="113">
        <v>7006</v>
      </c>
      <c r="G28" s="113">
        <v>12076</v>
      </c>
      <c r="H28" s="113">
        <v>13655</v>
      </c>
      <c r="I28" s="113">
        <v>15471</v>
      </c>
      <c r="J28" s="113">
        <v>18105</v>
      </c>
      <c r="K28" s="113">
        <v>21172</v>
      </c>
      <c r="L28" s="113">
        <v>24320</v>
      </c>
    </row>
    <row r="29" spans="1:12" x14ac:dyDescent="0.25">
      <c r="A29" s="4" t="s">
        <v>23</v>
      </c>
      <c r="B29" s="5">
        <v>1528</v>
      </c>
      <c r="C29" s="5">
        <v>2094</v>
      </c>
      <c r="D29" s="5">
        <v>2578</v>
      </c>
      <c r="E29" s="5">
        <v>3400</v>
      </c>
      <c r="F29" s="5">
        <v>4400</v>
      </c>
      <c r="G29" s="5">
        <v>5948</v>
      </c>
      <c r="H29" s="5">
        <v>7009</v>
      </c>
      <c r="I29" s="5">
        <v>9260</v>
      </c>
      <c r="J29" s="5">
        <v>11340</v>
      </c>
      <c r="K29" s="5">
        <v>13415</v>
      </c>
      <c r="L29" s="5">
        <v>16206</v>
      </c>
    </row>
    <row r="30" spans="1:12" x14ac:dyDescent="0.25">
      <c r="A30" s="2" t="s">
        <v>11</v>
      </c>
      <c r="B30" s="7">
        <v>98</v>
      </c>
      <c r="C30" s="7">
        <v>82</v>
      </c>
      <c r="D30" s="7">
        <v>153</v>
      </c>
      <c r="E30" s="7">
        <v>147</v>
      </c>
      <c r="F30" s="7">
        <v>377</v>
      </c>
      <c r="G30" s="7">
        <v>364</v>
      </c>
      <c r="H30" s="3">
        <v>1020</v>
      </c>
      <c r="I30" s="3">
        <v>1129</v>
      </c>
      <c r="J30" s="7">
        <v>829</v>
      </c>
      <c r="K30" s="7">
        <v>935</v>
      </c>
      <c r="L30" s="3">
        <v>1099</v>
      </c>
    </row>
    <row r="31" spans="1:12" x14ac:dyDescent="0.25">
      <c r="A31" s="4" t="s">
        <v>12</v>
      </c>
      <c r="B31" s="8">
        <v>16</v>
      </c>
      <c r="C31" s="8">
        <v>29</v>
      </c>
      <c r="D31" s="8">
        <v>26</v>
      </c>
      <c r="E31" s="8">
        <v>68</v>
      </c>
      <c r="F31" s="8">
        <v>17</v>
      </c>
      <c r="G31" s="8">
        <v>15</v>
      </c>
      <c r="H31" s="8">
        <v>3</v>
      </c>
      <c r="I31" s="8">
        <v>6</v>
      </c>
      <c r="J31" s="8">
        <v>202</v>
      </c>
      <c r="K31" s="8">
        <v>107</v>
      </c>
      <c r="L31" s="8">
        <v>4</v>
      </c>
    </row>
    <row r="32" spans="1:12" x14ac:dyDescent="0.25">
      <c r="A32" s="2" t="s">
        <v>24</v>
      </c>
      <c r="B32" s="7">
        <f>713-B33-B34-B35</f>
        <v>127</v>
      </c>
      <c r="C32" s="7">
        <f>897-C33-C34-C35</f>
        <v>182</v>
      </c>
      <c r="D32" s="3">
        <f>3063-D33-D34-D35</f>
        <v>210</v>
      </c>
      <c r="E32" s="3">
        <f>2033-E33-E34-E35</f>
        <v>276</v>
      </c>
      <c r="F32" s="3">
        <f>2212-F33-F34-F35</f>
        <v>320</v>
      </c>
      <c r="G32" s="3">
        <f>5749-G33-G34-G35</f>
        <v>3674</v>
      </c>
      <c r="H32" s="3">
        <f>5624-H33-H34-H35</f>
        <v>1886</v>
      </c>
      <c r="I32" s="3">
        <f>5076-I33-I34-I35</f>
        <v>1967</v>
      </c>
      <c r="J32" s="3">
        <f>5733-J33-J34-J35</f>
        <v>1020</v>
      </c>
      <c r="K32" s="3">
        <f>6716-K33-K34-K35</f>
        <v>1985</v>
      </c>
      <c r="L32" s="3">
        <f>7011-L33-L34-L35</f>
        <v>1455</v>
      </c>
    </row>
    <row r="33" spans="1:12" x14ac:dyDescent="0.25">
      <c r="A33" s="44" t="s">
        <v>76</v>
      </c>
      <c r="B33" s="7">
        <v>541</v>
      </c>
      <c r="C33" s="7">
        <v>672</v>
      </c>
      <c r="D33" s="7">
        <v>948</v>
      </c>
      <c r="E33" s="3">
        <v>1163</v>
      </c>
      <c r="F33" s="3">
        <v>1609</v>
      </c>
      <c r="G33" s="3">
        <v>1947</v>
      </c>
      <c r="H33" s="3">
        <v>2248</v>
      </c>
      <c r="I33" s="3">
        <v>2743</v>
      </c>
      <c r="J33" s="3">
        <v>3243</v>
      </c>
      <c r="K33" s="3">
        <v>3927</v>
      </c>
      <c r="L33" s="3">
        <v>5044</v>
      </c>
    </row>
    <row r="34" spans="1:12" x14ac:dyDescent="0.25">
      <c r="A34" s="44" t="s">
        <v>77</v>
      </c>
      <c r="B34" s="7">
        <v>7</v>
      </c>
      <c r="C34" s="7">
        <v>8</v>
      </c>
      <c r="D34" s="7">
        <v>21</v>
      </c>
      <c r="E34" s="7">
        <v>34</v>
      </c>
      <c r="F34" s="7">
        <v>64</v>
      </c>
      <c r="G34" s="7">
        <v>20</v>
      </c>
      <c r="H34" s="7">
        <v>44</v>
      </c>
      <c r="I34" s="7">
        <v>67</v>
      </c>
      <c r="J34" s="7">
        <v>62</v>
      </c>
      <c r="K34" s="7">
        <v>166</v>
      </c>
      <c r="L34" s="7">
        <v>154</v>
      </c>
    </row>
    <row r="35" spans="1:12" ht="15.75" thickBot="1" x14ac:dyDescent="0.3">
      <c r="A35" s="44" t="s">
        <v>78</v>
      </c>
      <c r="B35" s="7">
        <v>38</v>
      </c>
      <c r="C35" s="7">
        <v>35</v>
      </c>
      <c r="D35" s="3">
        <v>1884</v>
      </c>
      <c r="E35" s="7">
        <v>560</v>
      </c>
      <c r="F35" s="7">
        <v>219</v>
      </c>
      <c r="G35" s="7">
        <v>108</v>
      </c>
      <c r="H35" s="3">
        <v>1446</v>
      </c>
      <c r="I35" s="7">
        <v>299</v>
      </c>
      <c r="J35" s="3">
        <v>1408</v>
      </c>
      <c r="K35" s="7">
        <v>638</v>
      </c>
      <c r="L35" s="7">
        <v>358</v>
      </c>
    </row>
    <row r="36" spans="1:12" ht="15.75" thickTop="1" x14ac:dyDescent="0.25">
      <c r="A36" s="111" t="s">
        <v>13</v>
      </c>
      <c r="B36" s="113">
        <v>2355</v>
      </c>
      <c r="C36" s="113">
        <v>3102</v>
      </c>
      <c r="D36" s="113">
        <v>5819</v>
      </c>
      <c r="E36" s="113">
        <v>5648</v>
      </c>
      <c r="F36" s="113">
        <v>7006</v>
      </c>
      <c r="G36" s="113">
        <v>12076</v>
      </c>
      <c r="H36" s="113">
        <v>13655</v>
      </c>
      <c r="I36" s="113">
        <v>15471</v>
      </c>
      <c r="J36" s="113">
        <v>18105</v>
      </c>
      <c r="K36" s="113">
        <v>21172</v>
      </c>
      <c r="L36" s="113">
        <v>24320</v>
      </c>
    </row>
    <row r="38" spans="1:12" x14ac:dyDescent="0.25">
      <c r="A38" s="154" t="s">
        <v>16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</row>
    <row r="39" spans="1:12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</row>
    <row r="40" spans="1:12" ht="15.75" thickBot="1" x14ac:dyDescent="0.3">
      <c r="B40" s="1">
        <v>42064</v>
      </c>
      <c r="C40" s="1">
        <v>42430</v>
      </c>
      <c r="D40" s="1">
        <v>42795</v>
      </c>
      <c r="E40" s="1">
        <v>43160</v>
      </c>
      <c r="F40" s="1">
        <v>43525</v>
      </c>
      <c r="G40" s="1">
        <v>43891</v>
      </c>
      <c r="H40" s="1">
        <v>44256</v>
      </c>
      <c r="I40" s="1">
        <v>44621</v>
      </c>
      <c r="J40" s="1">
        <v>44986</v>
      </c>
      <c r="K40" s="1">
        <v>45352</v>
      </c>
      <c r="L40" s="1">
        <v>45717</v>
      </c>
    </row>
    <row r="41" spans="1:12" x14ac:dyDescent="0.25">
      <c r="A41" s="2" t="s">
        <v>25</v>
      </c>
      <c r="B41" s="7">
        <v>222</v>
      </c>
      <c r="C41" s="7">
        <v>433</v>
      </c>
      <c r="D41" s="7">
        <v>455</v>
      </c>
      <c r="E41" s="7">
        <v>730</v>
      </c>
      <c r="F41" s="7">
        <v>807</v>
      </c>
      <c r="G41" s="3">
        <v>1280</v>
      </c>
      <c r="H41" s="3">
        <v>1375</v>
      </c>
      <c r="I41" s="3">
        <v>1372</v>
      </c>
      <c r="J41" s="3">
        <v>2630</v>
      </c>
      <c r="K41" s="3">
        <v>2746</v>
      </c>
      <c r="L41" s="3">
        <v>2463</v>
      </c>
    </row>
    <row r="42" spans="1:12" x14ac:dyDescent="0.25">
      <c r="A42" s="4" t="s">
        <v>26</v>
      </c>
      <c r="B42" s="8">
        <v>-474</v>
      </c>
      <c r="C42" s="8">
        <v>-633</v>
      </c>
      <c r="D42" s="5">
        <v>-2482</v>
      </c>
      <c r="E42" s="8">
        <v>464</v>
      </c>
      <c r="F42" s="8">
        <v>-958</v>
      </c>
      <c r="G42" s="5">
        <v>-4657</v>
      </c>
      <c r="H42" s="5">
        <v>-1110</v>
      </c>
      <c r="I42" s="5">
        <v>-1289</v>
      </c>
      <c r="J42" s="5">
        <v>-2313</v>
      </c>
      <c r="K42" s="5">
        <v>-2468</v>
      </c>
      <c r="L42" s="5">
        <v>-2185</v>
      </c>
    </row>
    <row r="43" spans="1:12" ht="15.75" thickBot="1" x14ac:dyDescent="0.3">
      <c r="A43" s="2" t="s">
        <v>27</v>
      </c>
      <c r="B43" s="7">
        <v>234</v>
      </c>
      <c r="C43" s="7">
        <v>196</v>
      </c>
      <c r="D43" s="3">
        <v>2025</v>
      </c>
      <c r="E43" s="3">
        <v>-1159</v>
      </c>
      <c r="F43" s="7">
        <v>209</v>
      </c>
      <c r="G43" s="3">
        <v>3357</v>
      </c>
      <c r="H43" s="7">
        <v>-180</v>
      </c>
      <c r="I43" s="7">
        <v>-179</v>
      </c>
      <c r="J43" s="7">
        <v>-205</v>
      </c>
      <c r="K43" s="7">
        <v>-148</v>
      </c>
      <c r="L43" s="7">
        <v>-259</v>
      </c>
    </row>
    <row r="44" spans="1:12" ht="15.75" thickTop="1" x14ac:dyDescent="0.25">
      <c r="A44" s="111" t="s">
        <v>14</v>
      </c>
      <c r="B44" s="112">
        <v>-17</v>
      </c>
      <c r="C44" s="112">
        <v>-3</v>
      </c>
      <c r="D44" s="112">
        <v>-1</v>
      </c>
      <c r="E44" s="112">
        <v>34</v>
      </c>
      <c r="F44" s="112">
        <v>57</v>
      </c>
      <c r="G44" s="112">
        <v>-19</v>
      </c>
      <c r="H44" s="112">
        <v>86</v>
      </c>
      <c r="I44" s="112">
        <v>-96</v>
      </c>
      <c r="J44" s="112">
        <v>112</v>
      </c>
      <c r="K44" s="112">
        <v>130</v>
      </c>
      <c r="L44" s="112">
        <v>18</v>
      </c>
    </row>
  </sheetData>
  <mergeCells count="4">
    <mergeCell ref="A1:T3"/>
    <mergeCell ref="A4:L5"/>
    <mergeCell ref="A21:L22"/>
    <mergeCell ref="A38:L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771F-E2F7-4393-A151-56922C26F670}">
  <dimension ref="A1:AC103"/>
  <sheetViews>
    <sheetView zoomScale="84" zoomScaleNormal="96" workbookViewId="0">
      <selection activeCell="A6" sqref="A6"/>
    </sheetView>
  </sheetViews>
  <sheetFormatPr defaultRowHeight="15" x14ac:dyDescent="0.25"/>
  <cols>
    <col min="1" max="1" width="37.5703125" customWidth="1"/>
    <col min="2" max="2" width="13.5703125" bestFit="1" customWidth="1"/>
    <col min="3" max="6" width="12.140625" bestFit="1" customWidth="1"/>
    <col min="7" max="7" width="12.28515625" bestFit="1" customWidth="1"/>
    <col min="8" max="12" width="12.140625" bestFit="1" customWidth="1"/>
    <col min="13" max="13" width="11.42578125" style="11" customWidth="1"/>
    <col min="14" max="14" width="16.42578125" customWidth="1"/>
    <col min="15" max="15" width="14.85546875" customWidth="1"/>
    <col min="16" max="16" width="13.42578125" customWidth="1"/>
    <col min="17" max="17" width="14.140625" customWidth="1"/>
    <col min="18" max="19" width="13.85546875" bestFit="1" customWidth="1"/>
    <col min="29" max="29" width="12.140625" bestFit="1" customWidth="1"/>
  </cols>
  <sheetData>
    <row r="1" spans="1:29" x14ac:dyDescent="0.25">
      <c r="A1" s="19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0"/>
      <c r="N1" s="115"/>
      <c r="O1" s="115"/>
      <c r="P1" s="115"/>
      <c r="Q1" s="115"/>
      <c r="R1" s="115"/>
      <c r="S1" s="115"/>
    </row>
    <row r="2" spans="1:29" x14ac:dyDescent="0.25">
      <c r="A2" s="155" t="s">
        <v>219</v>
      </c>
      <c r="B2" s="155"/>
      <c r="C2" s="155"/>
      <c r="D2" s="155"/>
      <c r="E2" s="114"/>
      <c r="F2" s="114"/>
      <c r="G2" s="114"/>
      <c r="H2" s="114"/>
      <c r="I2" s="114"/>
      <c r="J2" s="114"/>
      <c r="K2" s="114"/>
      <c r="L2" s="114"/>
      <c r="M2" s="110"/>
      <c r="N2" s="115"/>
      <c r="O2" s="115"/>
      <c r="P2" s="115"/>
      <c r="Q2" s="115"/>
      <c r="R2" s="115"/>
      <c r="S2" s="115"/>
      <c r="AC2" s="54"/>
    </row>
    <row r="3" spans="1:29" x14ac:dyDescent="0.25">
      <c r="A3" s="116" t="s">
        <v>31</v>
      </c>
      <c r="B3" s="117">
        <f>'[1]Data Sheet'!B16</f>
        <v>42094</v>
      </c>
      <c r="C3" s="117">
        <f>'[1]Data Sheet'!C16</f>
        <v>42460</v>
      </c>
      <c r="D3" s="117">
        <f>'[1]Data Sheet'!D16</f>
        <v>42825</v>
      </c>
      <c r="E3" s="117">
        <f>'[1]Data Sheet'!E16</f>
        <v>43190</v>
      </c>
      <c r="F3" s="117">
        <f>'[1]Data Sheet'!F16</f>
        <v>43555</v>
      </c>
      <c r="G3" s="117">
        <f>'[1]Data Sheet'!G16</f>
        <v>43921</v>
      </c>
      <c r="H3" s="117">
        <f>'[1]Data Sheet'!H16</f>
        <v>44286</v>
      </c>
      <c r="I3" s="117">
        <f>'[1]Data Sheet'!I16</f>
        <v>44651</v>
      </c>
      <c r="J3" s="117">
        <f>'[1]Data Sheet'!J16</f>
        <v>45016</v>
      </c>
      <c r="K3" s="117">
        <f>'[1]Data Sheet'!K16</f>
        <v>45382</v>
      </c>
      <c r="L3" s="117">
        <v>45717</v>
      </c>
      <c r="M3" s="118" t="s">
        <v>32</v>
      </c>
      <c r="N3" s="117">
        <v>46082</v>
      </c>
      <c r="O3" s="117">
        <v>46447</v>
      </c>
      <c r="P3" s="117">
        <v>46813</v>
      </c>
      <c r="Q3" s="117">
        <v>47178</v>
      </c>
      <c r="R3" s="117">
        <v>47543</v>
      </c>
      <c r="S3" s="117">
        <v>47908</v>
      </c>
      <c r="AC3" s="55"/>
    </row>
    <row r="4" spans="1:29" x14ac:dyDescent="0.25">
      <c r="A4" s="119" t="s">
        <v>33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1"/>
      <c r="N4" s="120"/>
      <c r="O4" s="120"/>
      <c r="P4" s="120"/>
      <c r="Q4" s="120"/>
      <c r="R4" s="120"/>
      <c r="S4" s="120"/>
      <c r="AC4" s="56"/>
    </row>
    <row r="5" spans="1:29" x14ac:dyDescent="0.25">
      <c r="A5" t="s">
        <v>34</v>
      </c>
      <c r="B5" s="14">
        <f>IFERROR(Data!B7,0)</f>
        <v>6459</v>
      </c>
      <c r="C5" s="14">
        <f>IFERROR(Data!C7,0)</f>
        <v>8601</v>
      </c>
      <c r="D5" s="14">
        <f>IFERROR(Data!D7,0)</f>
        <v>11926</v>
      </c>
      <c r="E5" s="14">
        <f>IFERROR(Data!E7,0)</f>
        <v>15121</v>
      </c>
      <c r="F5" s="14">
        <f>IFERROR(Data!F7,0)</f>
        <v>20053</v>
      </c>
      <c r="G5" s="14">
        <f>IFERROR(Data!G7,0)</f>
        <v>24930</v>
      </c>
      <c r="H5" s="14">
        <f>IFERROR(Data!H7,0)</f>
        <v>24337</v>
      </c>
      <c r="I5" s="14">
        <f>IFERROR(Data!I7,0)</f>
        <v>31090</v>
      </c>
      <c r="J5" s="14">
        <f>IFERROR(Data!J7,0)</f>
        <v>42968</v>
      </c>
      <c r="K5" s="14">
        <f>IFERROR(Data!K7,0)</f>
        <v>50934</v>
      </c>
      <c r="L5" s="14">
        <f>IFERROR(Data!L7,0)</f>
        <v>59482</v>
      </c>
      <c r="M5" s="15"/>
      <c r="N5" s="16">
        <f>L5*(1+$M$6)^1</f>
        <v>75189.396756477858</v>
      </c>
      <c r="O5" s="16">
        <f>L5*(1+M6)^2</f>
        <v>95044.64181774389</v>
      </c>
      <c r="P5" s="16">
        <f>L5*(1+M6)^3</f>
        <v>120143.05644080008</v>
      </c>
      <c r="Q5" s="16">
        <f>L5*(1+M6)^4</f>
        <v>151869.20309107343</v>
      </c>
      <c r="R5" s="16">
        <f>L5*(1+M6)^5</f>
        <v>191973.26529546472</v>
      </c>
      <c r="S5" s="16">
        <f>L5*(1+M6)^6</f>
        <v>242667.59710395208</v>
      </c>
      <c r="AC5" s="57"/>
    </row>
    <row r="6" spans="1:29" x14ac:dyDescent="0.25">
      <c r="A6" s="17" t="s">
        <v>35</v>
      </c>
      <c r="B6" t="s">
        <v>36</v>
      </c>
      <c r="C6" s="18">
        <f>C5/B5-1</f>
        <v>0.33163028332559219</v>
      </c>
      <c r="D6" s="18">
        <f t="shared" ref="D6:J6" si="0">D5/C5-1</f>
        <v>0.3865829554702942</v>
      </c>
      <c r="E6" s="18">
        <f t="shared" si="0"/>
        <v>0.26790206272010741</v>
      </c>
      <c r="F6" s="18">
        <f t="shared" si="0"/>
        <v>0.32616890417300448</v>
      </c>
      <c r="G6" s="18">
        <f t="shared" si="0"/>
        <v>0.24320550541066166</v>
      </c>
      <c r="H6" s="18">
        <f t="shared" si="0"/>
        <v>-2.3786602486963515E-2</v>
      </c>
      <c r="I6" s="18">
        <f t="shared" si="0"/>
        <v>0.2774787360808646</v>
      </c>
      <c r="J6" s="18">
        <f t="shared" si="0"/>
        <v>0.38205210678674817</v>
      </c>
      <c r="K6" s="18">
        <f>K5/J5-1</f>
        <v>0.18539378141873031</v>
      </c>
      <c r="L6" s="18">
        <f>L5/K5-1</f>
        <v>0.16782502846821368</v>
      </c>
      <c r="M6" s="19">
        <f>AVERAGE(C6:K6)</f>
        <v>0.26406974809989325</v>
      </c>
      <c r="N6" s="20"/>
      <c r="O6" s="21"/>
      <c r="AC6" s="18"/>
    </row>
    <row r="7" spans="1:29" x14ac:dyDescent="0.25">
      <c r="M7" s="15"/>
      <c r="R7" s="22"/>
    </row>
    <row r="8" spans="1:29" x14ac:dyDescent="0.25">
      <c r="A8" t="s">
        <v>37</v>
      </c>
      <c r="B8">
        <f>IFERROR(Data!B8,0)</f>
        <v>5983</v>
      </c>
      <c r="C8">
        <f>IFERROR(Data!C8,0)</f>
        <v>7919</v>
      </c>
      <c r="D8">
        <f>IFERROR(Data!D8,0)</f>
        <v>10929</v>
      </c>
      <c r="E8">
        <f>IFERROR(Data!E8,0)</f>
        <v>13680</v>
      </c>
      <c r="F8">
        <f>IFERROR(Data!F8,0)</f>
        <v>18371</v>
      </c>
      <c r="G8">
        <f>IFERROR(Data!G8,0)</f>
        <v>22742</v>
      </c>
      <c r="H8">
        <f>IFERROR(Data!H8,0)</f>
        <v>22398</v>
      </c>
      <c r="I8">
        <f>IFERROR(Data!I8,0)</f>
        <v>28474</v>
      </c>
      <c r="J8">
        <f>IFERROR(Data!J8,0)</f>
        <v>39201</v>
      </c>
      <c r="K8">
        <f>IFERROR(Data!K8,0)</f>
        <v>46683</v>
      </c>
      <c r="L8">
        <f>IFERROR(Data!L8,0)</f>
        <v>54871</v>
      </c>
      <c r="M8" s="15"/>
      <c r="N8" s="16">
        <f>N5*$M$9</f>
        <v>68800.136465039323</v>
      </c>
      <c r="O8" s="16">
        <f t="shared" ref="O8:S8" si="1">O5*$M$9</f>
        <v>86968.171170600544</v>
      </c>
      <c r="P8" s="16">
        <f t="shared" si="1"/>
        <v>109933.8342243294</v>
      </c>
      <c r="Q8" s="16">
        <f t="shared" si="1"/>
        <v>138964.03413560352</v>
      </c>
      <c r="R8" s="16">
        <f t="shared" si="1"/>
        <v>175660.23162473729</v>
      </c>
      <c r="S8" s="16">
        <f t="shared" si="1"/>
        <v>222046.78474105059</v>
      </c>
    </row>
    <row r="9" spans="1:29" x14ac:dyDescent="0.25">
      <c r="A9" s="17" t="s">
        <v>38</v>
      </c>
      <c r="B9" t="s">
        <v>36</v>
      </c>
      <c r="C9" s="18">
        <f>C8/C5</f>
        <v>0.92070689454714572</v>
      </c>
      <c r="D9" s="18">
        <f t="shared" ref="D9:J9" si="2">D8/D5</f>
        <v>0.91640114036558784</v>
      </c>
      <c r="E9" s="18">
        <f t="shared" si="2"/>
        <v>0.90470206996891744</v>
      </c>
      <c r="F9" s="18">
        <f t="shared" si="2"/>
        <v>0.91612227596868301</v>
      </c>
      <c r="G9" s="18">
        <f t="shared" si="2"/>
        <v>0.91223425591656637</v>
      </c>
      <c r="H9" s="18">
        <f t="shared" si="2"/>
        <v>0.92032707400254754</v>
      </c>
      <c r="I9" s="18">
        <f t="shared" si="2"/>
        <v>0.9158571888066902</v>
      </c>
      <c r="J9" s="18">
        <f t="shared" si="2"/>
        <v>0.9123301061254887</v>
      </c>
      <c r="K9" s="18">
        <f>K8/K5</f>
        <v>0.91653905053598772</v>
      </c>
      <c r="L9" s="18">
        <f>L8/L5</f>
        <v>0.92248075047913658</v>
      </c>
      <c r="M9" s="23">
        <f>AVERAGE(C9:K9)</f>
        <v>0.91502445069306837</v>
      </c>
      <c r="N9" s="21"/>
      <c r="AC9" s="18"/>
    </row>
    <row r="10" spans="1:29" x14ac:dyDescent="0.25">
      <c r="M10" s="15"/>
    </row>
    <row r="11" spans="1:29" x14ac:dyDescent="0.25">
      <c r="A11" s="24" t="s">
        <v>39</v>
      </c>
      <c r="B11" s="25">
        <f>B5-B8</f>
        <v>476</v>
      </c>
      <c r="C11" s="25">
        <f t="shared" ref="C11:J11" si="3">C5-C8</f>
        <v>682</v>
      </c>
      <c r="D11" s="25">
        <f t="shared" si="3"/>
        <v>997</v>
      </c>
      <c r="E11" s="25">
        <f t="shared" si="3"/>
        <v>1441</v>
      </c>
      <c r="F11" s="25">
        <f t="shared" si="3"/>
        <v>1682</v>
      </c>
      <c r="G11" s="25">
        <f t="shared" si="3"/>
        <v>2188</v>
      </c>
      <c r="H11" s="25">
        <f t="shared" si="3"/>
        <v>1939</v>
      </c>
      <c r="I11" s="25">
        <f t="shared" si="3"/>
        <v>2616</v>
      </c>
      <c r="J11" s="25">
        <f t="shared" si="3"/>
        <v>3767</v>
      </c>
      <c r="K11" s="25">
        <f>K5-K8</f>
        <v>4251</v>
      </c>
      <c r="L11" s="25">
        <f>L5-L8</f>
        <v>4611</v>
      </c>
      <c r="M11" s="15"/>
      <c r="N11" s="26">
        <f>N5-N8</f>
        <v>6389.2602914385352</v>
      </c>
      <c r="O11" s="26">
        <f t="shared" ref="O11:S11" si="4">O5-O8</f>
        <v>8076.4706471433456</v>
      </c>
      <c r="P11" s="26">
        <f t="shared" si="4"/>
        <v>10209.222216470676</v>
      </c>
      <c r="Q11" s="26">
        <f t="shared" si="4"/>
        <v>12905.168955469911</v>
      </c>
      <c r="R11" s="26">
        <f t="shared" si="4"/>
        <v>16313.033670727425</v>
      </c>
      <c r="S11" s="26">
        <f t="shared" si="4"/>
        <v>20620.812362901488</v>
      </c>
      <c r="AC11" s="25"/>
    </row>
    <row r="12" spans="1:29" x14ac:dyDescent="0.25">
      <c r="A12" s="17" t="s">
        <v>40</v>
      </c>
      <c r="B12" s="18">
        <f>B11/B5</f>
        <v>7.3695618516798261E-2</v>
      </c>
      <c r="C12" s="18">
        <f t="shared" ref="C12:J12" si="5">C11/C5</f>
        <v>7.9293105452854326E-2</v>
      </c>
      <c r="D12" s="18">
        <f t="shared" si="5"/>
        <v>8.3598859634412215E-2</v>
      </c>
      <c r="E12" s="18">
        <f t="shared" si="5"/>
        <v>9.5297930031082598E-2</v>
      </c>
      <c r="F12" s="18">
        <f t="shared" si="5"/>
        <v>8.3877724031317005E-2</v>
      </c>
      <c r="G12" s="18">
        <f t="shared" si="5"/>
        <v>8.7765744083433614E-2</v>
      </c>
      <c r="H12" s="18">
        <f t="shared" si="5"/>
        <v>7.9672925997452432E-2</v>
      </c>
      <c r="I12" s="18">
        <f t="shared" si="5"/>
        <v>8.4142811193309741E-2</v>
      </c>
      <c r="J12" s="18">
        <f t="shared" si="5"/>
        <v>8.7669893874511268E-2</v>
      </c>
      <c r="K12" s="18">
        <f>K11/K5</f>
        <v>8.3460949464012252E-2</v>
      </c>
      <c r="L12" s="18">
        <f>L11/L5</f>
        <v>7.7519249520863448E-2</v>
      </c>
      <c r="M12" s="15"/>
      <c r="AC12" s="18"/>
    </row>
    <row r="13" spans="1:29" x14ac:dyDescent="0.25">
      <c r="M13" s="15"/>
    </row>
    <row r="14" spans="1:29" x14ac:dyDescent="0.25">
      <c r="A14" t="s">
        <v>41</v>
      </c>
      <c r="B14" s="16">
        <f>IFERROR(Data!B13,0)</f>
        <v>82</v>
      </c>
      <c r="C14" s="16">
        <f>IFERROR(Data!C13,0)</f>
        <v>98</v>
      </c>
      <c r="D14" s="16">
        <f>IFERROR(Data!D13,0)</f>
        <v>128</v>
      </c>
      <c r="E14" s="16">
        <f>IFERROR(Data!E13,0)</f>
        <v>159</v>
      </c>
      <c r="F14" s="16">
        <f>IFERROR(Data!F13,0)</f>
        <v>212</v>
      </c>
      <c r="G14" s="16">
        <f>IFERROR(Data!G13,0)</f>
        <v>374</v>
      </c>
      <c r="H14" s="16">
        <f>IFERROR(Data!H13,0)</f>
        <v>414</v>
      </c>
      <c r="I14" s="16">
        <f>IFERROR(Data!I13,0)</f>
        <v>498</v>
      </c>
      <c r="J14" s="16">
        <f>IFERROR(Data!J13,0)</f>
        <v>639</v>
      </c>
      <c r="K14" s="16">
        <f>IFERROR(Data!K13,0)</f>
        <v>731</v>
      </c>
      <c r="L14" s="16">
        <f>IFERROR(Data!L13,0)</f>
        <v>870</v>
      </c>
      <c r="M14" s="15"/>
      <c r="N14" s="16">
        <f>N5*$M$15</f>
        <v>1001.2527888729578</v>
      </c>
      <c r="O14" s="16">
        <f t="shared" ref="O14:S14" si="6">O5*$M$15</f>
        <v>1265.6533606149553</v>
      </c>
      <c r="P14" s="16">
        <f t="shared" si="6"/>
        <v>1599.8741247343296</v>
      </c>
      <c r="Q14" s="16">
        <f t="shared" si="6"/>
        <v>2022.3524818444614</v>
      </c>
      <c r="R14" s="16">
        <f t="shared" si="6"/>
        <v>2556.3945922943221</v>
      </c>
      <c r="S14" s="16">
        <f t="shared" si="6"/>
        <v>3231.4610683254136</v>
      </c>
      <c r="AC14" s="16"/>
    </row>
    <row r="15" spans="1:29" x14ac:dyDescent="0.25">
      <c r="A15" s="17" t="s">
        <v>42</v>
      </c>
      <c r="B15" s="18">
        <f t="shared" ref="B15:L15" si="7">B14/B5</f>
        <v>1.269546369407029E-2</v>
      </c>
      <c r="C15" s="18">
        <f t="shared" si="7"/>
        <v>1.1394023950703406E-2</v>
      </c>
      <c r="D15" s="18">
        <f t="shared" si="7"/>
        <v>1.0732852590977695E-2</v>
      </c>
      <c r="E15" s="18">
        <f t="shared" si="7"/>
        <v>1.0515177567621188E-2</v>
      </c>
      <c r="F15" s="18">
        <f t="shared" si="7"/>
        <v>1.0571984241759338E-2</v>
      </c>
      <c r="G15" s="18">
        <f t="shared" si="7"/>
        <v>1.5002005615724028E-2</v>
      </c>
      <c r="H15" s="18">
        <f t="shared" si="7"/>
        <v>1.7011135308378191E-2</v>
      </c>
      <c r="I15" s="18">
        <f t="shared" si="7"/>
        <v>1.6018012222579609E-2</v>
      </c>
      <c r="J15" s="18">
        <f t="shared" si="7"/>
        <v>1.4871532303109291E-2</v>
      </c>
      <c r="K15" s="18">
        <f t="shared" si="7"/>
        <v>1.4351906388659835E-2</v>
      </c>
      <c r="L15" s="18">
        <f t="shared" si="7"/>
        <v>1.4626273494502538E-2</v>
      </c>
      <c r="M15" s="27">
        <f>AVERAGE(B15:K15)</f>
        <v>1.3316409388358286E-2</v>
      </c>
      <c r="AC15" s="18"/>
    </row>
    <row r="16" spans="1:29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5"/>
      <c r="AC16" s="18"/>
    </row>
    <row r="17" spans="1:29" x14ac:dyDescent="0.25">
      <c r="A17" s="28" t="s">
        <v>43</v>
      </c>
      <c r="B17" s="29">
        <f>B11-B14</f>
        <v>394</v>
      </c>
      <c r="C17" s="29">
        <f t="shared" ref="C17:J17" si="8">C11-C14</f>
        <v>584</v>
      </c>
      <c r="D17" s="29">
        <f t="shared" si="8"/>
        <v>869</v>
      </c>
      <c r="E17" s="29">
        <f t="shared" si="8"/>
        <v>1282</v>
      </c>
      <c r="F17" s="29">
        <f t="shared" si="8"/>
        <v>1470</v>
      </c>
      <c r="G17" s="29">
        <f t="shared" si="8"/>
        <v>1814</v>
      </c>
      <c r="H17" s="29">
        <f t="shared" si="8"/>
        <v>1525</v>
      </c>
      <c r="I17" s="29">
        <f t="shared" si="8"/>
        <v>2118</v>
      </c>
      <c r="J17" s="29">
        <f t="shared" si="8"/>
        <v>3128</v>
      </c>
      <c r="K17" s="29">
        <f>K11-K14</f>
        <v>3520</v>
      </c>
      <c r="L17" s="29">
        <f>L11-L14</f>
        <v>3741</v>
      </c>
      <c r="M17" s="30"/>
      <c r="N17" s="29">
        <f>N11-N14</f>
        <v>5388.0075025655769</v>
      </c>
      <c r="O17" s="29">
        <f t="shared" ref="O17:S17" si="9">O11-O14</f>
        <v>6810.8172865283905</v>
      </c>
      <c r="P17" s="29">
        <f t="shared" si="9"/>
        <v>8609.3480917363468</v>
      </c>
      <c r="Q17" s="29">
        <f t="shared" si="9"/>
        <v>10882.816473625449</v>
      </c>
      <c r="R17" s="29">
        <f t="shared" si="9"/>
        <v>13756.639078433103</v>
      </c>
      <c r="S17" s="29">
        <f t="shared" si="9"/>
        <v>17389.351294576074</v>
      </c>
      <c r="AC17" s="18"/>
    </row>
    <row r="18" spans="1:29" x14ac:dyDescent="0.25">
      <c r="M18" s="15"/>
    </row>
    <row r="19" spans="1:29" x14ac:dyDescent="0.25">
      <c r="A19" t="s">
        <v>2</v>
      </c>
      <c r="B19" s="16">
        <f>IFERROR(Data!B12,0)</f>
        <v>72</v>
      </c>
      <c r="C19" s="16">
        <f>IFERROR(Data!C12,0)</f>
        <v>91</v>
      </c>
      <c r="D19" s="16">
        <f>IFERROR(Data!D12,0)</f>
        <v>122</v>
      </c>
      <c r="E19" s="16">
        <f>IFERROR(Data!E12,0)</f>
        <v>60</v>
      </c>
      <c r="F19" s="16">
        <f>IFERROR(Data!F12,0)</f>
        <v>47</v>
      </c>
      <c r="G19" s="16">
        <f>IFERROR(Data!G12,0)</f>
        <v>69</v>
      </c>
      <c r="H19" s="16">
        <f>IFERROR(Data!H12,0)</f>
        <v>42</v>
      </c>
      <c r="I19" s="16">
        <f>IFERROR(Data!I12,0)</f>
        <v>54</v>
      </c>
      <c r="J19" s="16">
        <f>IFERROR(Data!J12,0)</f>
        <v>67</v>
      </c>
      <c r="K19" s="16">
        <f>IFERROR(Data!K12,0)</f>
        <v>58</v>
      </c>
      <c r="L19" s="16">
        <f>IFERROR(Data!L12,0)</f>
        <v>69</v>
      </c>
      <c r="M19" s="15"/>
      <c r="N19" s="16">
        <f t="shared" ref="N19:S19" si="10">N5*$M$20</f>
        <v>354.87418214305535</v>
      </c>
      <c r="O19" s="16">
        <f t="shared" si="10"/>
        <v>448.58571802872757</v>
      </c>
      <c r="P19" s="16">
        <f t="shared" si="10"/>
        <v>567.04363558978332</v>
      </c>
      <c r="Q19" s="16">
        <f t="shared" si="10"/>
        <v>716.78270560162514</v>
      </c>
      <c r="R19" s="16">
        <f t="shared" si="10"/>
        <v>906.06333411220623</v>
      </c>
      <c r="S19" s="16">
        <f t="shared" si="10"/>
        <v>1145.3272505137661</v>
      </c>
      <c r="AC19" s="16"/>
    </row>
    <row r="20" spans="1:29" x14ac:dyDescent="0.25">
      <c r="A20" s="17" t="s">
        <v>44</v>
      </c>
      <c r="B20" s="18">
        <f t="shared" ref="B20:L20" si="11">B19/B5</f>
        <v>1.1147236414305621E-2</v>
      </c>
      <c r="C20" s="18">
        <f t="shared" si="11"/>
        <v>1.0580165097081734E-2</v>
      </c>
      <c r="D20" s="18">
        <f t="shared" si="11"/>
        <v>1.0229750125775617E-2</v>
      </c>
      <c r="E20" s="18">
        <f t="shared" si="11"/>
        <v>3.9679915349513919E-3</v>
      </c>
      <c r="F20" s="18">
        <f t="shared" si="11"/>
        <v>2.3437889592579663E-3</v>
      </c>
      <c r="G20" s="18">
        <f t="shared" si="11"/>
        <v>2.7677496991576414E-3</v>
      </c>
      <c r="H20" s="18">
        <f t="shared" si="11"/>
        <v>1.7257673501253235E-3</v>
      </c>
      <c r="I20" s="18">
        <f t="shared" si="11"/>
        <v>1.7368928916050178E-3</v>
      </c>
      <c r="J20" s="18">
        <f t="shared" si="11"/>
        <v>1.5592999441444797E-3</v>
      </c>
      <c r="K20" s="18">
        <f t="shared" si="11"/>
        <v>1.1387285506734206E-3</v>
      </c>
      <c r="L20" s="18">
        <f t="shared" si="11"/>
        <v>1.1600147943915807E-3</v>
      </c>
      <c r="M20" s="27">
        <f>AVERAGE(B20:K20)</f>
        <v>4.7197370567078206E-3</v>
      </c>
      <c r="AC20" s="18"/>
    </row>
    <row r="21" spans="1:29" x14ac:dyDescent="0.25">
      <c r="M21" s="15"/>
    </row>
    <row r="22" spans="1:29" x14ac:dyDescent="0.25">
      <c r="A22" s="24" t="s">
        <v>45</v>
      </c>
      <c r="B22" s="31">
        <f>IFERROR(B17-B19,0)</f>
        <v>322</v>
      </c>
      <c r="C22" s="31">
        <f t="shared" ref="C22:S22" si="12">IFERROR(C17-C19,0)</f>
        <v>493</v>
      </c>
      <c r="D22" s="31">
        <f t="shared" si="12"/>
        <v>747</v>
      </c>
      <c r="E22" s="31">
        <f t="shared" si="12"/>
        <v>1222</v>
      </c>
      <c r="F22" s="31">
        <f t="shared" si="12"/>
        <v>1423</v>
      </c>
      <c r="G22" s="31">
        <f t="shared" si="12"/>
        <v>1745</v>
      </c>
      <c r="H22" s="31">
        <f t="shared" si="12"/>
        <v>1483</v>
      </c>
      <c r="I22" s="31">
        <f t="shared" si="12"/>
        <v>2064</v>
      </c>
      <c r="J22" s="31">
        <f t="shared" si="12"/>
        <v>3061</v>
      </c>
      <c r="K22" s="32">
        <f>IFERROR(K17-K19,0)</f>
        <v>3462</v>
      </c>
      <c r="L22" s="32">
        <f>IFERROR(L17-L19,0)</f>
        <v>3672</v>
      </c>
      <c r="M22" s="33"/>
      <c r="N22" s="34">
        <f t="shared" si="12"/>
        <v>5033.1333204225211</v>
      </c>
      <c r="O22" s="31">
        <f t="shared" si="12"/>
        <v>6362.2315684996629</v>
      </c>
      <c r="P22" s="31">
        <f t="shared" si="12"/>
        <v>8042.3044561465631</v>
      </c>
      <c r="Q22" s="31">
        <f t="shared" si="12"/>
        <v>10166.033768023824</v>
      </c>
      <c r="R22" s="31">
        <f t="shared" si="12"/>
        <v>12850.575744320897</v>
      </c>
      <c r="S22" s="31">
        <f t="shared" si="12"/>
        <v>16244.024044062307</v>
      </c>
      <c r="AC22" s="31"/>
    </row>
    <row r="23" spans="1:29" x14ac:dyDescent="0.25">
      <c r="A23" s="17" t="s">
        <v>46</v>
      </c>
      <c r="B23" s="18">
        <f t="shared" ref="B23:L23" si="13">B22/B5</f>
        <v>4.9852918408422355E-2</v>
      </c>
      <c r="C23" s="18">
        <f t="shared" si="13"/>
        <v>5.7318916405069177E-2</v>
      </c>
      <c r="D23" s="18">
        <f t="shared" si="13"/>
        <v>6.2636256917658895E-2</v>
      </c>
      <c r="E23" s="18">
        <f t="shared" si="13"/>
        <v>8.0814760928510018E-2</v>
      </c>
      <c r="F23" s="18">
        <f t="shared" si="13"/>
        <v>7.09619508302997E-2</v>
      </c>
      <c r="G23" s="18">
        <f t="shared" si="13"/>
        <v>6.9995988768551939E-2</v>
      </c>
      <c r="H23" s="18">
        <f t="shared" si="13"/>
        <v>6.0936023338948923E-2</v>
      </c>
      <c r="I23" s="18">
        <f t="shared" si="13"/>
        <v>6.638790607912512E-2</v>
      </c>
      <c r="J23" s="18">
        <f t="shared" si="13"/>
        <v>7.1239061627257488E-2</v>
      </c>
      <c r="K23" s="18">
        <f t="shared" si="13"/>
        <v>6.7970314524678999E-2</v>
      </c>
      <c r="L23" s="18">
        <f t="shared" si="13"/>
        <v>6.1732961231969335E-2</v>
      </c>
      <c r="M23" s="27">
        <f>AVERAGE(B23:L23)</f>
        <v>6.5440641732772004E-2</v>
      </c>
      <c r="AC23" s="18"/>
    </row>
    <row r="24" spans="1:29" x14ac:dyDescent="0.25">
      <c r="M24" s="15"/>
    </row>
    <row r="25" spans="1:29" x14ac:dyDescent="0.25">
      <c r="A25" t="s">
        <v>47</v>
      </c>
      <c r="B25" s="35">
        <f>IFERROR(B22*Data!B15,0)</f>
        <v>109.48</v>
      </c>
      <c r="C25" s="35">
        <f>IFERROR(C22*Data!C15,0)</f>
        <v>172.54999999999998</v>
      </c>
      <c r="D25" s="35">
        <f>IFERROR(D22*Data!D15,0)</f>
        <v>268.92</v>
      </c>
      <c r="E25" s="35">
        <f>IFERROR(E22*Data!E15,0)</f>
        <v>415.48</v>
      </c>
      <c r="F25" s="35">
        <f>IFERROR(F22*Data!F15,0)</f>
        <v>526.51</v>
      </c>
      <c r="G25" s="35">
        <f>IFERROR(G22*Data!G15,0)</f>
        <v>436.25</v>
      </c>
      <c r="H25" s="35">
        <f>IFERROR(H22*Data!H15,0)</f>
        <v>385.58000000000004</v>
      </c>
      <c r="I25" s="35">
        <f>IFERROR(I22*Data!I15,0)</f>
        <v>577.92000000000007</v>
      </c>
      <c r="J25" s="35">
        <f>IFERROR(J22*Data!J15,0)</f>
        <v>673.42</v>
      </c>
      <c r="K25" s="35">
        <f>IFERROR(K22*Data!K15,0)</f>
        <v>934.74</v>
      </c>
      <c r="L25" s="35">
        <f>IFERROR(L22*Data!L15,0)</f>
        <v>954.72</v>
      </c>
      <c r="M25" s="15"/>
      <c r="AC25" s="35"/>
    </row>
    <row r="26" spans="1:29" x14ac:dyDescent="0.25">
      <c r="A26" s="18" t="s">
        <v>48</v>
      </c>
      <c r="B26" s="18">
        <f>B25/B22</f>
        <v>0.34</v>
      </c>
      <c r="C26" s="18">
        <f t="shared" ref="C26:J26" si="14">C25/C22</f>
        <v>0.35</v>
      </c>
      <c r="D26" s="18">
        <f t="shared" si="14"/>
        <v>0.36000000000000004</v>
      </c>
      <c r="E26" s="18">
        <f t="shared" si="14"/>
        <v>0.34</v>
      </c>
      <c r="F26" s="18">
        <f t="shared" si="14"/>
        <v>0.37</v>
      </c>
      <c r="G26" s="18">
        <f t="shared" si="14"/>
        <v>0.25</v>
      </c>
      <c r="H26" s="18">
        <f t="shared" si="14"/>
        <v>0.26</v>
      </c>
      <c r="I26" s="18">
        <f t="shared" si="14"/>
        <v>0.28000000000000003</v>
      </c>
      <c r="J26" s="18">
        <f t="shared" si="14"/>
        <v>0.21999999999999997</v>
      </c>
      <c r="K26" s="18">
        <f>K25/K22</f>
        <v>0.27</v>
      </c>
      <c r="L26" s="18">
        <f>L25/L22</f>
        <v>0.26</v>
      </c>
      <c r="M26" s="27">
        <f>AVERAGE(B26:L26)</f>
        <v>0.30000000000000004</v>
      </c>
      <c r="AC26" s="18"/>
    </row>
    <row r="27" spans="1:29" x14ac:dyDescent="0.25">
      <c r="M27" s="15"/>
    </row>
    <row r="28" spans="1:29" x14ac:dyDescent="0.25">
      <c r="A28" s="24" t="s">
        <v>49</v>
      </c>
      <c r="B28" s="36">
        <f>B22-B25</f>
        <v>212.51999999999998</v>
      </c>
      <c r="C28" s="36">
        <f t="shared" ref="C28:J28" si="15">C22-C25</f>
        <v>320.45000000000005</v>
      </c>
      <c r="D28" s="36">
        <f t="shared" si="15"/>
        <v>478.08</v>
      </c>
      <c r="E28" s="36">
        <f t="shared" si="15"/>
        <v>806.52</v>
      </c>
      <c r="F28" s="36">
        <f t="shared" si="15"/>
        <v>896.49</v>
      </c>
      <c r="G28" s="36">
        <f t="shared" si="15"/>
        <v>1308.75</v>
      </c>
      <c r="H28" s="36">
        <f t="shared" si="15"/>
        <v>1097.42</v>
      </c>
      <c r="I28" s="36">
        <f t="shared" si="15"/>
        <v>1486.08</v>
      </c>
      <c r="J28" s="36">
        <f t="shared" si="15"/>
        <v>2387.58</v>
      </c>
      <c r="K28" s="36">
        <f>K22-K25</f>
        <v>2527.2600000000002</v>
      </c>
      <c r="L28" s="36">
        <f>L22-L25</f>
        <v>2717.2799999999997</v>
      </c>
      <c r="M28" s="15"/>
      <c r="AC28" s="36"/>
    </row>
    <row r="29" spans="1:29" x14ac:dyDescent="0.25">
      <c r="A29" s="18" t="s">
        <v>50</v>
      </c>
      <c r="B29" s="18">
        <f t="shared" ref="B29:L29" si="16">B28/B5</f>
        <v>3.2902926149558753E-2</v>
      </c>
      <c r="C29" s="18">
        <f t="shared" si="16"/>
        <v>3.725729566329497E-2</v>
      </c>
      <c r="D29" s="18">
        <f t="shared" si="16"/>
        <v>4.0087204427301695E-2</v>
      </c>
      <c r="E29" s="18">
        <f t="shared" si="16"/>
        <v>5.3337742212816612E-2</v>
      </c>
      <c r="F29" s="18">
        <f t="shared" si="16"/>
        <v>4.4706029023088817E-2</v>
      </c>
      <c r="G29" s="18">
        <f t="shared" si="16"/>
        <v>5.2496991576413958E-2</v>
      </c>
      <c r="H29" s="18">
        <f t="shared" si="16"/>
        <v>4.5092657270822206E-2</v>
      </c>
      <c r="I29" s="18">
        <f t="shared" si="16"/>
        <v>4.7799292376970087E-2</v>
      </c>
      <c r="J29" s="18">
        <f t="shared" si="16"/>
        <v>5.5566468069260841E-2</v>
      </c>
      <c r="K29" s="18">
        <f t="shared" si="16"/>
        <v>4.9618329603015675E-2</v>
      </c>
      <c r="L29" s="18">
        <f t="shared" si="16"/>
        <v>4.5682391311657307E-2</v>
      </c>
      <c r="M29" s="27">
        <f>AVERAGE(B29:L29)</f>
        <v>4.5867938880381903E-2</v>
      </c>
      <c r="AC29" s="18"/>
    </row>
    <row r="30" spans="1:29" x14ac:dyDescent="0.25">
      <c r="M30" s="15"/>
    </row>
    <row r="31" spans="1:29" x14ac:dyDescent="0.25">
      <c r="A31" t="s">
        <v>51</v>
      </c>
      <c r="B31" s="43">
        <f>IFERROR(B28/B33,0)</f>
        <v>56.371352785145881</v>
      </c>
      <c r="C31" s="43">
        <f t="shared" ref="C31:J31" si="17">IFERROR(C28/C33,0)</f>
        <v>56.219298245614041</v>
      </c>
      <c r="D31" s="43">
        <f t="shared" si="17"/>
        <v>62.331160365058672</v>
      </c>
      <c r="E31" s="43">
        <f t="shared" si="17"/>
        <v>62.424148606811144</v>
      </c>
      <c r="F31" s="43">
        <f t="shared" si="17"/>
        <v>61.997925311203318</v>
      </c>
      <c r="G31" s="43">
        <f t="shared" si="17"/>
        <v>65.144350423096071</v>
      </c>
      <c r="H31" s="43">
        <f t="shared" si="17"/>
        <v>64.668238067177384</v>
      </c>
      <c r="I31" s="43">
        <f t="shared" si="17"/>
        <v>64.5</v>
      </c>
      <c r="J31" s="43">
        <f t="shared" si="17"/>
        <v>65.074407195421102</v>
      </c>
      <c r="K31" s="43">
        <f>IFERROR(K28/K33,0)</f>
        <v>64.851424172440346</v>
      </c>
      <c r="L31" s="43">
        <f>IFERROR(L28/L33,0)</f>
        <v>65.303532804614264</v>
      </c>
      <c r="M31" s="15"/>
    </row>
    <row r="32" spans="1:29" x14ac:dyDescent="0.25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5"/>
    </row>
    <row r="33" spans="1:29" x14ac:dyDescent="0.25">
      <c r="A33" t="s">
        <v>52</v>
      </c>
      <c r="B33" s="37">
        <f>IFERROR(Data!B17,0)</f>
        <v>3.77</v>
      </c>
      <c r="C33" s="37">
        <f>IFERROR(Data!C17,0)</f>
        <v>5.7</v>
      </c>
      <c r="D33" s="37">
        <f>IFERROR(Data!D17,0)</f>
        <v>7.67</v>
      </c>
      <c r="E33" s="37">
        <f>IFERROR(Data!E17,0)</f>
        <v>12.92</v>
      </c>
      <c r="F33" s="37">
        <f>IFERROR(Data!F17,0)</f>
        <v>14.46</v>
      </c>
      <c r="G33" s="37">
        <f>IFERROR(Data!G17,0)</f>
        <v>20.09</v>
      </c>
      <c r="H33" s="37">
        <f>IFERROR(Data!H17,0)</f>
        <v>16.97</v>
      </c>
      <c r="I33" s="37">
        <f>IFERROR(Data!I17,0)</f>
        <v>23.04</v>
      </c>
      <c r="J33" s="37">
        <f>IFERROR(Data!J17,0)</f>
        <v>36.69</v>
      </c>
      <c r="K33" s="37">
        <f>IFERROR(Data!K17,0)</f>
        <v>38.97</v>
      </c>
      <c r="L33" s="37">
        <f>IFERROR(Data!L17,0)</f>
        <v>41.61</v>
      </c>
      <c r="M33" s="15"/>
    </row>
    <row r="34" spans="1:29" x14ac:dyDescent="0.25">
      <c r="A34" s="18" t="s">
        <v>53</v>
      </c>
      <c r="B34" s="18"/>
      <c r="C34" s="18">
        <f>IFERROR(C33/B33-1,0)</f>
        <v>0.51193633952254647</v>
      </c>
      <c r="D34" s="18">
        <f t="shared" ref="D34:J34" si="18">IFERROR(D33/C33-1,0)</f>
        <v>0.34561403508771926</v>
      </c>
      <c r="E34" s="18">
        <f t="shared" si="18"/>
        <v>0.68448500651890476</v>
      </c>
      <c r="F34" s="18">
        <f t="shared" si="18"/>
        <v>0.11919504643962853</v>
      </c>
      <c r="G34" s="18">
        <f t="shared" si="18"/>
        <v>0.38934993084370673</v>
      </c>
      <c r="H34" s="18">
        <f t="shared" si="18"/>
        <v>-0.15530114484818325</v>
      </c>
      <c r="I34" s="18">
        <f t="shared" si="18"/>
        <v>0.3576900412492634</v>
      </c>
      <c r="J34" s="18">
        <f t="shared" si="18"/>
        <v>0.59244791666666652</v>
      </c>
      <c r="K34" s="18">
        <f>IFERROR(K33/J33-1,0)</f>
        <v>6.2142273098937162E-2</v>
      </c>
      <c r="L34" s="18">
        <f>IFERROR(L33/K33-1,0)</f>
        <v>6.7744418783679761E-2</v>
      </c>
      <c r="M34" s="15"/>
    </row>
    <row r="35" spans="1:29" x14ac:dyDescent="0.25">
      <c r="M35" s="15"/>
    </row>
    <row r="36" spans="1:29" x14ac:dyDescent="0.25">
      <c r="A36" t="s">
        <v>54</v>
      </c>
      <c r="B36" s="37">
        <f>Data!B18</f>
        <v>0</v>
      </c>
      <c r="C36" s="37">
        <f>Data!C18</f>
        <v>0</v>
      </c>
      <c r="D36" s="37">
        <f>Data!D18</f>
        <v>0</v>
      </c>
      <c r="E36" s="37">
        <f>Data!E18</f>
        <v>0</v>
      </c>
      <c r="F36" s="37">
        <f>Data!F18</f>
        <v>0</v>
      </c>
      <c r="G36" s="37">
        <f>Data!G18</f>
        <v>0</v>
      </c>
      <c r="H36" s="37">
        <f>Data!H18</f>
        <v>0</v>
      </c>
      <c r="I36" s="37">
        <f>Data!I18</f>
        <v>0</v>
      </c>
      <c r="J36" s="37">
        <f>Data!J18</f>
        <v>0</v>
      </c>
      <c r="K36" s="37">
        <f>Data!K18</f>
        <v>0</v>
      </c>
      <c r="L36" s="37">
        <f>Data!L18</f>
        <v>0</v>
      </c>
      <c r="M36" s="15"/>
    </row>
    <row r="37" spans="1:29" x14ac:dyDescent="0.25">
      <c r="A37" s="18" t="s">
        <v>55</v>
      </c>
      <c r="B37" s="18">
        <f>IFERROR(B36/B33,0)</f>
        <v>0</v>
      </c>
      <c r="C37" s="18">
        <f t="shared" ref="C37:J37" si="19">IFERROR(C36/C33,0)</f>
        <v>0</v>
      </c>
      <c r="D37" s="18">
        <f t="shared" si="19"/>
        <v>0</v>
      </c>
      <c r="E37" s="18">
        <f t="shared" si="19"/>
        <v>0</v>
      </c>
      <c r="F37" s="18">
        <f t="shared" si="19"/>
        <v>0</v>
      </c>
      <c r="G37" s="18">
        <f t="shared" si="19"/>
        <v>0</v>
      </c>
      <c r="H37" s="18">
        <f t="shared" si="19"/>
        <v>0</v>
      </c>
      <c r="I37" s="18">
        <f t="shared" si="19"/>
        <v>0</v>
      </c>
      <c r="J37" s="18">
        <f t="shared" si="19"/>
        <v>0</v>
      </c>
      <c r="K37" s="18">
        <f>IFERROR(K36/K33,0)</f>
        <v>0</v>
      </c>
      <c r="L37" s="18">
        <f>IFERROR(L36/L33,0)</f>
        <v>0</v>
      </c>
      <c r="M37" s="15"/>
    </row>
    <row r="38" spans="1:29" x14ac:dyDescent="0.25">
      <c r="M38" s="15"/>
    </row>
    <row r="39" spans="1:29" x14ac:dyDescent="0.25">
      <c r="A39" t="s">
        <v>56</v>
      </c>
      <c r="B39" s="38">
        <f>IFERROR(IF(B33&gt;B36,1-B37,0),0)</f>
        <v>1</v>
      </c>
      <c r="C39" s="38">
        <f t="shared" ref="C39:J39" si="20">IFERROR(IF(C33&gt;C36,1-C37,0),0)</f>
        <v>1</v>
      </c>
      <c r="D39" s="38">
        <f t="shared" si="20"/>
        <v>1</v>
      </c>
      <c r="E39" s="38">
        <f t="shared" si="20"/>
        <v>1</v>
      </c>
      <c r="F39" s="38">
        <f t="shared" si="20"/>
        <v>1</v>
      </c>
      <c r="G39" s="38">
        <f t="shared" si="20"/>
        <v>1</v>
      </c>
      <c r="H39" s="38">
        <f t="shared" si="20"/>
        <v>1</v>
      </c>
      <c r="I39" s="38">
        <f t="shared" si="20"/>
        <v>1</v>
      </c>
      <c r="J39" s="38">
        <f t="shared" si="20"/>
        <v>1</v>
      </c>
      <c r="K39" s="38">
        <f>IFERROR(IF(K33&gt;K36,1-K37,0),0)</f>
        <v>1</v>
      </c>
      <c r="L39" s="38">
        <f>IFERROR(IF(L33&gt;L36,1-L37,0),0)</f>
        <v>1</v>
      </c>
      <c r="M39" s="15"/>
    </row>
    <row r="40" spans="1:29" x14ac:dyDescent="0.25">
      <c r="M40" s="15"/>
    </row>
    <row r="41" spans="1:29" x14ac:dyDescent="0.25">
      <c r="M41" s="15"/>
    </row>
    <row r="42" spans="1:29" x14ac:dyDescent="0.25">
      <c r="A42" s="119" t="s">
        <v>57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5"/>
      <c r="AC42" s="13"/>
    </row>
    <row r="43" spans="1:29" x14ac:dyDescent="0.25">
      <c r="A43" t="s">
        <v>58</v>
      </c>
      <c r="B43" s="37">
        <f>IFERROR(Data!B24,0)</f>
        <v>562</v>
      </c>
      <c r="C43" s="37">
        <f>IFERROR(Data!C24,0)</f>
        <v>562</v>
      </c>
      <c r="D43" s="37">
        <f>IFERROR(Data!D24,0)</f>
        <v>624</v>
      </c>
      <c r="E43" s="37">
        <f>IFERROR(Data!E24,0)</f>
        <v>624</v>
      </c>
      <c r="F43" s="37">
        <f>IFERROR(Data!F24,0)</f>
        <v>624</v>
      </c>
      <c r="G43" s="37">
        <f>IFERROR(Data!G24,0)</f>
        <v>648</v>
      </c>
      <c r="H43" s="37">
        <f>IFERROR(Data!H24,0)</f>
        <v>648</v>
      </c>
      <c r="I43" s="37">
        <f>IFERROR(Data!I24,0)</f>
        <v>648</v>
      </c>
      <c r="J43" s="37">
        <f>IFERROR(Data!J24,0)</f>
        <v>648</v>
      </c>
      <c r="K43" s="37">
        <f>IFERROR(Data!K24,0)</f>
        <v>651</v>
      </c>
      <c r="L43" s="37">
        <f>IFERROR(Data!L24,0)</f>
        <v>651</v>
      </c>
      <c r="M43" s="15"/>
    </row>
    <row r="44" spans="1:29" x14ac:dyDescent="0.25">
      <c r="A44" t="s">
        <v>9</v>
      </c>
      <c r="B44" s="37">
        <f>IFERROR(Data!B25,0)</f>
        <v>638</v>
      </c>
      <c r="C44" s="37">
        <f>IFERROR(Data!C25,0)</f>
        <v>959</v>
      </c>
      <c r="D44" s="37">
        <f>IFERROR(Data!D25,0)</f>
        <v>3218</v>
      </c>
      <c r="E44" s="37">
        <f>IFERROR(Data!E25,0)</f>
        <v>4045</v>
      </c>
      <c r="F44" s="37">
        <f>IFERROR(Data!F25,0)</f>
        <v>4963</v>
      </c>
      <c r="G44" s="37">
        <f>IFERROR(Data!G25,0)</f>
        <v>10432</v>
      </c>
      <c r="H44" s="37">
        <f>IFERROR(Data!H25,0)</f>
        <v>11536</v>
      </c>
      <c r="I44" s="37">
        <f>IFERROR(Data!I25,0)</f>
        <v>13030</v>
      </c>
      <c r="J44" s="37">
        <f>IFERROR(Data!J25,0)</f>
        <v>15430</v>
      </c>
      <c r="K44" s="37">
        <f>IFERROR(Data!K25,0)</f>
        <v>18047</v>
      </c>
      <c r="L44" s="37">
        <f>IFERROR(Data!L25,0)</f>
        <v>20777</v>
      </c>
      <c r="M44" s="15"/>
    </row>
    <row r="45" spans="1:29" x14ac:dyDescent="0.25">
      <c r="A45" t="s">
        <v>59</v>
      </c>
      <c r="B45" s="37">
        <f>IFERROR(Data!B26,0)</f>
        <v>904</v>
      </c>
      <c r="C45" s="37">
        <f>IFERROR(Data!C26,0)</f>
        <v>1192</v>
      </c>
      <c r="D45" s="37">
        <f>IFERROR(Data!D26,0)</f>
        <v>1497</v>
      </c>
      <c r="E45" s="37">
        <f>IFERROR(Data!E26,0)</f>
        <v>439</v>
      </c>
      <c r="F45" s="37">
        <f>IFERROR(Data!F26,0)</f>
        <v>700</v>
      </c>
      <c r="G45" s="37">
        <f>IFERROR(Data!G26,0)</f>
        <v>333</v>
      </c>
      <c r="H45" s="37">
        <f>IFERROR(Data!H26,0)</f>
        <v>393</v>
      </c>
      <c r="I45" s="37">
        <f>IFERROR(Data!I26,0)</f>
        <v>647</v>
      </c>
      <c r="J45" s="37">
        <f>IFERROR(Data!J26,0)</f>
        <v>643</v>
      </c>
      <c r="K45" s="37">
        <f>IFERROR(Data!K26,0)</f>
        <v>592</v>
      </c>
      <c r="L45" s="37">
        <f>IFERROR(Data!L26,0)</f>
        <v>820</v>
      </c>
      <c r="M45" s="15"/>
    </row>
    <row r="46" spans="1:29" x14ac:dyDescent="0.25">
      <c r="A46" t="s">
        <v>60</v>
      </c>
      <c r="B46" s="37">
        <f>IFERROR(Data!B27,0)</f>
        <v>251</v>
      </c>
      <c r="C46" s="37">
        <f>IFERROR(Data!C27,0)</f>
        <v>389</v>
      </c>
      <c r="D46" s="37">
        <f>IFERROR(Data!D27,0)</f>
        <v>481</v>
      </c>
      <c r="E46" s="37">
        <f>IFERROR(Data!E27,0)</f>
        <v>540</v>
      </c>
      <c r="F46" s="37">
        <f>IFERROR(Data!F27,0)</f>
        <v>719</v>
      </c>
      <c r="G46" s="37">
        <f>IFERROR(Data!G27,0)</f>
        <v>663</v>
      </c>
      <c r="H46" s="37">
        <f>IFERROR(Data!H27,0)</f>
        <v>1079</v>
      </c>
      <c r="I46" s="37">
        <f>IFERROR(Data!I27,0)</f>
        <v>1146</v>
      </c>
      <c r="J46" s="37">
        <f>IFERROR(Data!J27,0)</f>
        <v>1383</v>
      </c>
      <c r="K46" s="37">
        <f>IFERROR(Data!K27,0)</f>
        <v>1883</v>
      </c>
      <c r="L46" s="37">
        <f>IFERROR(Data!L27,0)</f>
        <v>2072</v>
      </c>
      <c r="M46" s="15"/>
    </row>
    <row r="47" spans="1:29" x14ac:dyDescent="0.25">
      <c r="A47" s="24" t="s">
        <v>61</v>
      </c>
      <c r="B47" s="36">
        <f>IFERROR(SUM(B43:B46),0)</f>
        <v>2355</v>
      </c>
      <c r="C47" s="36">
        <f t="shared" ref="C47:L47" si="21">IFERROR(SUM(C43:C46),0)</f>
        <v>3102</v>
      </c>
      <c r="D47" s="36">
        <f t="shared" si="21"/>
        <v>5820</v>
      </c>
      <c r="E47" s="36">
        <f t="shared" si="21"/>
        <v>5648</v>
      </c>
      <c r="F47" s="36">
        <f t="shared" si="21"/>
        <v>7006</v>
      </c>
      <c r="G47" s="36">
        <f t="shared" si="21"/>
        <v>12076</v>
      </c>
      <c r="H47" s="36">
        <f t="shared" si="21"/>
        <v>13656</v>
      </c>
      <c r="I47" s="36">
        <f t="shared" si="21"/>
        <v>15471</v>
      </c>
      <c r="J47" s="36">
        <f t="shared" si="21"/>
        <v>18104</v>
      </c>
      <c r="K47" s="36">
        <f t="shared" si="21"/>
        <v>21173</v>
      </c>
      <c r="L47" s="36">
        <f t="shared" si="21"/>
        <v>24320</v>
      </c>
      <c r="M47" s="15"/>
      <c r="AC47" s="39"/>
    </row>
    <row r="48" spans="1:29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M48" s="15"/>
      <c r="AC48" s="39"/>
    </row>
    <row r="49" spans="1:29" x14ac:dyDescent="0.25">
      <c r="A49" t="s">
        <v>62</v>
      </c>
      <c r="B49" s="37">
        <f>IFERROR(Data!B29,0)</f>
        <v>1528</v>
      </c>
      <c r="C49" s="37">
        <f>IFERROR(Data!C29,0)</f>
        <v>2094</v>
      </c>
      <c r="D49" s="37">
        <f>IFERROR(Data!D29,0)</f>
        <v>2578</v>
      </c>
      <c r="E49" s="37">
        <f>IFERROR(Data!E29,0)</f>
        <v>3400</v>
      </c>
      <c r="F49" s="37">
        <f>IFERROR(Data!F29,0)</f>
        <v>4400</v>
      </c>
      <c r="G49" s="37">
        <f>IFERROR(Data!G29,0)</f>
        <v>5948</v>
      </c>
      <c r="H49" s="37">
        <f>IFERROR(Data!H29,0)</f>
        <v>7009</v>
      </c>
      <c r="I49" s="37">
        <f>IFERROR(Data!I29,0)</f>
        <v>9260</v>
      </c>
      <c r="J49" s="37">
        <f>IFERROR(Data!J29,0)</f>
        <v>11340</v>
      </c>
      <c r="K49" s="37">
        <f>IFERROR(Data!K29,0)</f>
        <v>13415</v>
      </c>
      <c r="L49" s="37">
        <f>IFERROR(Data!L29,0)</f>
        <v>16206</v>
      </c>
      <c r="M49" s="15"/>
    </row>
    <row r="50" spans="1:29" x14ac:dyDescent="0.25">
      <c r="A50" t="s">
        <v>63</v>
      </c>
      <c r="B50" s="37">
        <f>IFERROR(Data!B30,0)</f>
        <v>98</v>
      </c>
      <c r="C50" s="37">
        <f>IFERROR(Data!C30,0)</f>
        <v>82</v>
      </c>
      <c r="D50" s="37">
        <f>IFERROR(Data!D30,0)</f>
        <v>153</v>
      </c>
      <c r="E50" s="37">
        <f>IFERROR(Data!E30,0)</f>
        <v>147</v>
      </c>
      <c r="F50" s="37">
        <f>IFERROR(Data!F30,0)</f>
        <v>377</v>
      </c>
      <c r="G50" s="37">
        <f>IFERROR(Data!G30,0)</f>
        <v>364</v>
      </c>
      <c r="H50" s="37">
        <f>IFERROR(Data!H30,0)</f>
        <v>1020</v>
      </c>
      <c r="I50" s="37">
        <f>IFERROR(Data!I30,0)</f>
        <v>1129</v>
      </c>
      <c r="J50" s="37">
        <f>IFERROR(Data!J30,0)</f>
        <v>829</v>
      </c>
      <c r="K50" s="37">
        <f>IFERROR(Data!K30,0)</f>
        <v>935</v>
      </c>
      <c r="L50" s="37">
        <f>IFERROR(Data!L30,0)</f>
        <v>1099</v>
      </c>
      <c r="M50" s="15"/>
    </row>
    <row r="51" spans="1:29" x14ac:dyDescent="0.25">
      <c r="A51" t="s">
        <v>12</v>
      </c>
      <c r="B51" s="37">
        <f>IFERROR(Data!B31,0)</f>
        <v>16</v>
      </c>
      <c r="C51" s="37">
        <f>IFERROR(Data!C31,0)</f>
        <v>29</v>
      </c>
      <c r="D51" s="37">
        <f>IFERROR(Data!D31,0)</f>
        <v>26</v>
      </c>
      <c r="E51" s="37">
        <f>IFERROR(Data!E31,0)</f>
        <v>68</v>
      </c>
      <c r="F51" s="37">
        <f>IFERROR(Data!F31,0)</f>
        <v>17</v>
      </c>
      <c r="G51" s="37">
        <f>IFERROR(Data!G31,0)</f>
        <v>15</v>
      </c>
      <c r="H51" s="37">
        <f>IFERROR(Data!H31,0)</f>
        <v>3</v>
      </c>
      <c r="I51" s="37">
        <f>IFERROR(Data!I31,0)</f>
        <v>6</v>
      </c>
      <c r="J51" s="37">
        <f>IFERROR(Data!J31,0)</f>
        <v>202</v>
      </c>
      <c r="K51" s="37">
        <f>IFERROR(Data!K31,0)</f>
        <v>107</v>
      </c>
      <c r="L51" s="37">
        <f>IFERROR(Data!L31,0)</f>
        <v>4</v>
      </c>
      <c r="M51" s="15"/>
    </row>
    <row r="52" spans="1:29" x14ac:dyDescent="0.25">
      <c r="A52" t="s">
        <v>64</v>
      </c>
      <c r="B52" s="37">
        <f>IFERROR(Data!B32,0)</f>
        <v>127</v>
      </c>
      <c r="C52" s="37">
        <f>IFERROR(Data!C32,0)</f>
        <v>182</v>
      </c>
      <c r="D52" s="37">
        <f>IFERROR(Data!D32,0)</f>
        <v>210</v>
      </c>
      <c r="E52" s="37">
        <f>IFERROR(Data!E32,0)</f>
        <v>276</v>
      </c>
      <c r="F52" s="37">
        <f>IFERROR(Data!F32,0)</f>
        <v>320</v>
      </c>
      <c r="G52" s="37">
        <f>IFERROR(Data!G32,0)</f>
        <v>3674</v>
      </c>
      <c r="H52" s="37">
        <f>IFERROR(Data!H32,0)</f>
        <v>1886</v>
      </c>
      <c r="I52" s="37">
        <f>IFERROR(Data!I32,0)</f>
        <v>1967</v>
      </c>
      <c r="J52" s="37">
        <f>IFERROR(Data!J32,0)</f>
        <v>1020</v>
      </c>
      <c r="K52" s="37">
        <f>IFERROR(Data!K32,0)</f>
        <v>1985</v>
      </c>
      <c r="L52" s="37">
        <f>IFERROR(Data!L32,0)</f>
        <v>1455</v>
      </c>
      <c r="M52" s="15"/>
    </row>
    <row r="53" spans="1:29" x14ac:dyDescent="0.25">
      <c r="A53" s="24" t="s">
        <v>65</v>
      </c>
      <c r="B53" s="36">
        <f>IFERROR(SUM(B49:B52),0)</f>
        <v>1769</v>
      </c>
      <c r="C53" s="36">
        <f t="shared" ref="C53:L53" si="22">IFERROR(SUM(C49:C52),0)</f>
        <v>2387</v>
      </c>
      <c r="D53" s="36">
        <f t="shared" si="22"/>
        <v>2967</v>
      </c>
      <c r="E53" s="36">
        <f t="shared" si="22"/>
        <v>3891</v>
      </c>
      <c r="F53" s="36">
        <f t="shared" si="22"/>
        <v>5114</v>
      </c>
      <c r="G53" s="36">
        <f t="shared" si="22"/>
        <v>10001</v>
      </c>
      <c r="H53" s="36">
        <f t="shared" si="22"/>
        <v>9918</v>
      </c>
      <c r="I53" s="36">
        <f t="shared" si="22"/>
        <v>12362</v>
      </c>
      <c r="J53" s="36">
        <f t="shared" si="22"/>
        <v>13391</v>
      </c>
      <c r="K53" s="36">
        <f t="shared" si="22"/>
        <v>16442</v>
      </c>
      <c r="L53" s="36">
        <f t="shared" si="22"/>
        <v>18764</v>
      </c>
      <c r="M53" s="15"/>
    </row>
    <row r="54" spans="1:29" x14ac:dyDescent="0.25">
      <c r="M54" s="15"/>
    </row>
    <row r="55" spans="1:29" x14ac:dyDescent="0.25">
      <c r="A55" t="s">
        <v>66</v>
      </c>
      <c r="B55" s="37">
        <f>IFERROR(Data!B34,0)</f>
        <v>7</v>
      </c>
      <c r="C55" s="37">
        <f>IFERROR(Data!C34,0)</f>
        <v>8</v>
      </c>
      <c r="D55" s="37">
        <f>IFERROR(Data!D34,0)</f>
        <v>21</v>
      </c>
      <c r="E55" s="37">
        <f>IFERROR(Data!E34,0)</f>
        <v>34</v>
      </c>
      <c r="F55" s="37">
        <f>IFERROR(Data!F34,0)</f>
        <v>64</v>
      </c>
      <c r="G55" s="37">
        <f>IFERROR(Data!G34,0)</f>
        <v>20</v>
      </c>
      <c r="H55" s="37">
        <f>IFERROR(Data!H34,0)</f>
        <v>44</v>
      </c>
      <c r="I55" s="37">
        <f>IFERROR(Data!I34,0)</f>
        <v>67</v>
      </c>
      <c r="J55" s="37">
        <f>IFERROR(Data!J34,0)</f>
        <v>62</v>
      </c>
      <c r="K55" s="37">
        <f>IFERROR(Data!K34,0)</f>
        <v>166</v>
      </c>
      <c r="L55" s="37">
        <f>IFERROR(Data!L34,0)</f>
        <v>154</v>
      </c>
      <c r="M55" s="15"/>
    </row>
    <row r="56" spans="1:29" x14ac:dyDescent="0.25">
      <c r="A56" t="s">
        <v>67</v>
      </c>
      <c r="B56" s="37">
        <f>IFERROR(Data!B33,0)</f>
        <v>541</v>
      </c>
      <c r="C56" s="37">
        <f>IFERROR(Data!C33,0)</f>
        <v>672</v>
      </c>
      <c r="D56" s="37">
        <f>IFERROR(Data!D33,0)</f>
        <v>948</v>
      </c>
      <c r="E56" s="37">
        <f>IFERROR(Data!E33,0)</f>
        <v>1163</v>
      </c>
      <c r="F56" s="37">
        <f>IFERROR(Data!F33,0)</f>
        <v>1609</v>
      </c>
      <c r="G56" s="37">
        <f>IFERROR(Data!G33,0)</f>
        <v>1947</v>
      </c>
      <c r="H56" s="37">
        <f>IFERROR(Data!H33,0)</f>
        <v>2248</v>
      </c>
      <c r="I56" s="37">
        <f>IFERROR(Data!I33,0)</f>
        <v>2743</v>
      </c>
      <c r="J56" s="37">
        <f>IFERROR(Data!J33,0)</f>
        <v>3243</v>
      </c>
      <c r="K56" s="37">
        <f>IFERROR(Data!K33,0)</f>
        <v>3927</v>
      </c>
      <c r="L56" s="37">
        <f>IFERROR(Data!L33,0)</f>
        <v>5044</v>
      </c>
      <c r="M56" s="15"/>
    </row>
    <row r="57" spans="1:29" x14ac:dyDescent="0.25">
      <c r="A57" t="s">
        <v>68</v>
      </c>
      <c r="B57" s="37">
        <f>IFERROR(Data!B35,0)</f>
        <v>38</v>
      </c>
      <c r="C57" s="37">
        <f>IFERROR(Data!C35,0)</f>
        <v>35</v>
      </c>
      <c r="D57" s="37">
        <f>IFERROR(Data!D35,0)</f>
        <v>1884</v>
      </c>
      <c r="E57" s="37">
        <f>IFERROR(Data!E35,0)</f>
        <v>560</v>
      </c>
      <c r="F57" s="37">
        <f>IFERROR(Data!F35,0)</f>
        <v>219</v>
      </c>
      <c r="G57" s="37">
        <f>IFERROR(Data!G35,0)</f>
        <v>108</v>
      </c>
      <c r="H57" s="37">
        <f>IFERROR(Data!H35,0)</f>
        <v>1446</v>
      </c>
      <c r="I57" s="37">
        <f>IFERROR(Data!I35,0)</f>
        <v>299</v>
      </c>
      <c r="J57" s="37">
        <f>IFERROR(Data!J35,0)</f>
        <v>1408</v>
      </c>
      <c r="K57" s="37">
        <f>IFERROR(Data!K35,0)</f>
        <v>638</v>
      </c>
      <c r="L57" s="37">
        <f>IFERROR(Data!L35,0)</f>
        <v>358</v>
      </c>
      <c r="M57" s="15"/>
    </row>
    <row r="58" spans="1:29" x14ac:dyDescent="0.25">
      <c r="A58" s="24" t="s">
        <v>69</v>
      </c>
      <c r="B58" s="36">
        <f>IFERROR(SUM(B55:B57),0)</f>
        <v>586</v>
      </c>
      <c r="C58" s="36">
        <f t="shared" ref="C58:L58" si="23">IFERROR(SUM(C55:C57),0)</f>
        <v>715</v>
      </c>
      <c r="D58" s="36">
        <f t="shared" si="23"/>
        <v>2853</v>
      </c>
      <c r="E58" s="36">
        <f t="shared" si="23"/>
        <v>1757</v>
      </c>
      <c r="F58" s="36">
        <f t="shared" si="23"/>
        <v>1892</v>
      </c>
      <c r="G58" s="36">
        <f t="shared" si="23"/>
        <v>2075</v>
      </c>
      <c r="H58" s="36">
        <f t="shared" si="23"/>
        <v>3738</v>
      </c>
      <c r="I58" s="36">
        <f t="shared" si="23"/>
        <v>3109</v>
      </c>
      <c r="J58" s="36">
        <f t="shared" si="23"/>
        <v>4713</v>
      </c>
      <c r="K58" s="36">
        <f t="shared" si="23"/>
        <v>4731</v>
      </c>
      <c r="L58" s="36">
        <f t="shared" si="23"/>
        <v>5556</v>
      </c>
      <c r="M58" s="15"/>
    </row>
    <row r="59" spans="1:29" x14ac:dyDescent="0.25">
      <c r="M59" s="15"/>
    </row>
    <row r="60" spans="1:29" x14ac:dyDescent="0.25">
      <c r="A60" s="24" t="s">
        <v>13</v>
      </c>
      <c r="B60" s="36">
        <f>IFERROR(SUM(B58+B53),0)</f>
        <v>2355</v>
      </c>
      <c r="C60" s="36">
        <f t="shared" ref="C60:L60" si="24">IFERROR(SUM(C58+C53),0)</f>
        <v>3102</v>
      </c>
      <c r="D60" s="36">
        <f t="shared" si="24"/>
        <v>5820</v>
      </c>
      <c r="E60" s="36">
        <f t="shared" si="24"/>
        <v>5648</v>
      </c>
      <c r="F60" s="36">
        <f t="shared" si="24"/>
        <v>7006</v>
      </c>
      <c r="G60" s="36">
        <f t="shared" si="24"/>
        <v>12076</v>
      </c>
      <c r="H60" s="36">
        <f t="shared" si="24"/>
        <v>13656</v>
      </c>
      <c r="I60" s="36">
        <f t="shared" si="24"/>
        <v>15471</v>
      </c>
      <c r="J60" s="36">
        <f t="shared" si="24"/>
        <v>18104</v>
      </c>
      <c r="K60" s="36">
        <f t="shared" si="24"/>
        <v>21173</v>
      </c>
      <c r="L60" s="36">
        <f t="shared" si="24"/>
        <v>24320</v>
      </c>
      <c r="M60" s="15"/>
    </row>
    <row r="61" spans="1:29" x14ac:dyDescent="0.25">
      <c r="M61" s="15"/>
    </row>
    <row r="62" spans="1:29" x14ac:dyDescent="0.25">
      <c r="A62" s="12" t="s">
        <v>70</v>
      </c>
      <c r="B62" s="12" t="b">
        <f>B60=B47</f>
        <v>1</v>
      </c>
      <c r="C62" s="12" t="b">
        <f t="shared" ref="C62:J62" si="25">C60=C47</f>
        <v>1</v>
      </c>
      <c r="D62" s="12" t="b">
        <f t="shared" si="25"/>
        <v>1</v>
      </c>
      <c r="E62" s="12" t="b">
        <f t="shared" si="25"/>
        <v>1</v>
      </c>
      <c r="F62" s="12" t="b">
        <f t="shared" si="25"/>
        <v>1</v>
      </c>
      <c r="G62" s="12" t="b">
        <f t="shared" si="25"/>
        <v>1</v>
      </c>
      <c r="H62" s="12" t="b">
        <f t="shared" si="25"/>
        <v>1</v>
      </c>
      <c r="I62" s="12" t="b">
        <f t="shared" si="25"/>
        <v>1</v>
      </c>
      <c r="J62" s="12" t="b">
        <f t="shared" si="25"/>
        <v>1</v>
      </c>
      <c r="K62" s="12" t="b">
        <f>K60=K47</f>
        <v>1</v>
      </c>
      <c r="L62" s="12" t="b">
        <f>L60=L47</f>
        <v>1</v>
      </c>
      <c r="M62" s="15"/>
    </row>
    <row r="63" spans="1:29" x14ac:dyDescent="0.25">
      <c r="M63" s="15"/>
    </row>
    <row r="64" spans="1:29" x14ac:dyDescent="0.25">
      <c r="A64" s="119" t="s">
        <v>71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5"/>
      <c r="AC64" s="13"/>
    </row>
    <row r="65" spans="1:29" x14ac:dyDescent="0.25">
      <c r="A65" s="39"/>
      <c r="M65" s="15"/>
    </row>
    <row r="66" spans="1:29" x14ac:dyDescent="0.25">
      <c r="A66" s="40" t="s">
        <v>72</v>
      </c>
      <c r="B66" s="35">
        <f>IFERROR(Data!B41,0)</f>
        <v>222</v>
      </c>
      <c r="C66" s="35">
        <f>IFERROR(Data!C41,0)</f>
        <v>433</v>
      </c>
      <c r="D66" s="35">
        <f>IFERROR(Data!D41,0)</f>
        <v>455</v>
      </c>
      <c r="E66" s="35">
        <f>IFERROR(Data!E41,0)</f>
        <v>730</v>
      </c>
      <c r="F66" s="35">
        <f>IFERROR(Data!F41,0)</f>
        <v>807</v>
      </c>
      <c r="G66" s="35">
        <f>IFERROR(Data!G41,0)</f>
        <v>1280</v>
      </c>
      <c r="H66" s="35">
        <f>IFERROR(Data!H41,0)</f>
        <v>1375</v>
      </c>
      <c r="I66" s="35">
        <f>IFERROR(Data!I41,0)</f>
        <v>1372</v>
      </c>
      <c r="J66" s="35">
        <f>IFERROR(Data!J41,0)</f>
        <v>2630</v>
      </c>
      <c r="K66" s="35">
        <f>IFERROR(Data!K41,0)</f>
        <v>2746</v>
      </c>
      <c r="L66" s="35">
        <f>IFERROR(Data!L41,0)</f>
        <v>2463</v>
      </c>
      <c r="M66" s="15"/>
      <c r="AC66" s="35"/>
    </row>
    <row r="67" spans="1:29" x14ac:dyDescent="0.25">
      <c r="A67" s="40"/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15"/>
      <c r="AC67" s="35"/>
    </row>
    <row r="68" spans="1:29" x14ac:dyDescent="0.25">
      <c r="A68" s="40" t="s">
        <v>73</v>
      </c>
      <c r="B68" s="35">
        <f>IFERROR(Data!B42,0)</f>
        <v>-474</v>
      </c>
      <c r="C68" s="35">
        <f>IFERROR(Data!C42,0)</f>
        <v>-633</v>
      </c>
      <c r="D68" s="35">
        <f>IFERROR(Data!D42,0)</f>
        <v>-2482</v>
      </c>
      <c r="E68" s="35">
        <f>IFERROR(Data!E42,0)</f>
        <v>464</v>
      </c>
      <c r="F68" s="35">
        <f>IFERROR(Data!F42,0)</f>
        <v>-958</v>
      </c>
      <c r="G68" s="35">
        <f>IFERROR(Data!G42,0)</f>
        <v>-4657</v>
      </c>
      <c r="H68" s="35">
        <f>IFERROR(Data!H42,0)</f>
        <v>-1110</v>
      </c>
      <c r="I68" s="35">
        <f>IFERROR(Data!I42,0)</f>
        <v>-1289</v>
      </c>
      <c r="J68" s="35">
        <f>IFERROR(Data!J42,0)</f>
        <v>-2313</v>
      </c>
      <c r="K68" s="35">
        <f>IFERROR(Data!K42,0)</f>
        <v>-2468</v>
      </c>
      <c r="L68" s="35">
        <f>IFERROR(Data!L42,0)</f>
        <v>-2185</v>
      </c>
      <c r="M68" s="15"/>
      <c r="AC68" s="35"/>
    </row>
    <row r="69" spans="1:29" x14ac:dyDescent="0.25">
      <c r="A69" s="40"/>
      <c r="B69" s="35"/>
      <c r="C69" s="35"/>
      <c r="D69" s="35"/>
      <c r="E69" s="35"/>
      <c r="F69" s="35"/>
      <c r="G69" s="35"/>
      <c r="H69" s="35"/>
      <c r="I69" s="35"/>
      <c r="J69" s="35"/>
      <c r="K69" s="35"/>
      <c r="M69" s="15"/>
      <c r="AC69" s="35"/>
    </row>
    <row r="70" spans="1:29" x14ac:dyDescent="0.25">
      <c r="A70" s="40" t="s">
        <v>74</v>
      </c>
      <c r="B70" s="35">
        <f>IFERROR(Data!B43,0)</f>
        <v>234</v>
      </c>
      <c r="C70" s="35">
        <f>IFERROR(Data!C43,0)</f>
        <v>196</v>
      </c>
      <c r="D70" s="35">
        <f>IFERROR(Data!D43,0)</f>
        <v>2025</v>
      </c>
      <c r="E70" s="35">
        <f>IFERROR(Data!E43,0)</f>
        <v>-1159</v>
      </c>
      <c r="F70" s="35">
        <f>IFERROR(Data!F43,0)</f>
        <v>209</v>
      </c>
      <c r="G70" s="35">
        <f>IFERROR(Data!G43,0)</f>
        <v>3357</v>
      </c>
      <c r="H70" s="35">
        <f>IFERROR(Data!H43,0)</f>
        <v>-180</v>
      </c>
      <c r="I70" s="35">
        <f>IFERROR(Data!I43,0)</f>
        <v>-179</v>
      </c>
      <c r="J70" s="35">
        <f>IFERROR(Data!J43,0)</f>
        <v>-205</v>
      </c>
      <c r="K70" s="35">
        <f>IFERROR(Data!K43,0)</f>
        <v>-148</v>
      </c>
      <c r="L70" s="35">
        <f>IFERROR(Data!L43,0)</f>
        <v>-259</v>
      </c>
      <c r="M70" s="15"/>
      <c r="AC70" s="35"/>
    </row>
    <row r="71" spans="1:29" x14ac:dyDescent="0.25">
      <c r="B71" s="35"/>
      <c r="C71" s="35"/>
      <c r="D71" s="35"/>
      <c r="E71" s="35"/>
      <c r="F71" s="35"/>
      <c r="G71" s="35"/>
      <c r="H71" s="35"/>
      <c r="I71" s="35"/>
      <c r="J71" s="35"/>
      <c r="K71" s="35"/>
      <c r="M71" s="15"/>
      <c r="AC71" s="35"/>
    </row>
    <row r="72" spans="1:29" x14ac:dyDescent="0.25">
      <c r="A72" s="39" t="s">
        <v>75</v>
      </c>
      <c r="B72" s="33">
        <f>IFERROR(Data!B44,0)</f>
        <v>-17</v>
      </c>
      <c r="C72" s="33">
        <f>IFERROR(Data!C44,0)</f>
        <v>-3</v>
      </c>
      <c r="D72" s="33">
        <f>IFERROR(Data!D44,0)</f>
        <v>-1</v>
      </c>
      <c r="E72" s="33">
        <f>IFERROR(Data!E44,0)</f>
        <v>34</v>
      </c>
      <c r="F72" s="33">
        <f>IFERROR(Data!F44,0)</f>
        <v>57</v>
      </c>
      <c r="G72" s="33">
        <f>IFERROR(Data!G44,0)</f>
        <v>-19</v>
      </c>
      <c r="H72" s="33">
        <f>IFERROR(Data!H44,0)</f>
        <v>86</v>
      </c>
      <c r="I72" s="33">
        <f>IFERROR(Data!I44,0)</f>
        <v>-96</v>
      </c>
      <c r="J72" s="33">
        <f>IFERROR(Data!J44,0)</f>
        <v>112</v>
      </c>
      <c r="K72" s="33">
        <f>IFERROR(Data!K44,0)</f>
        <v>130</v>
      </c>
      <c r="L72" s="33">
        <f>IFERROR(Data!L44,0)</f>
        <v>18</v>
      </c>
      <c r="M72" s="15"/>
      <c r="AC72" s="35"/>
    </row>
    <row r="73" spans="1:29" x14ac:dyDescent="0.25">
      <c r="B73" s="35"/>
      <c r="C73" s="35"/>
      <c r="D73" s="35"/>
      <c r="E73" s="35"/>
      <c r="F73" s="35"/>
      <c r="G73" s="35"/>
      <c r="H73" s="35"/>
      <c r="I73" s="35"/>
      <c r="J73" s="35"/>
      <c r="K73" s="35"/>
      <c r="AC73" s="35"/>
    </row>
    <row r="74" spans="1:29" x14ac:dyDescent="0.25">
      <c r="B74" s="35"/>
      <c r="C74" s="35"/>
      <c r="D74" s="35"/>
      <c r="E74" s="35"/>
      <c r="F74" s="35"/>
      <c r="G74" s="35"/>
      <c r="H74" s="35"/>
      <c r="I74" s="35"/>
      <c r="J74" s="35"/>
      <c r="K74" s="35"/>
      <c r="AC74" s="35"/>
    </row>
    <row r="75" spans="1:29" x14ac:dyDescent="0.25">
      <c r="B75" s="35"/>
      <c r="C75" s="35"/>
      <c r="D75" s="35"/>
      <c r="E75" s="35"/>
      <c r="F75" s="35"/>
      <c r="G75" s="35"/>
      <c r="H75" s="35"/>
      <c r="I75" s="35"/>
      <c r="J75" s="35"/>
      <c r="K75" s="35"/>
      <c r="M75" s="41"/>
      <c r="AC75" s="42"/>
    </row>
    <row r="76" spans="1:29" x14ac:dyDescent="0.25">
      <c r="A76" s="39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8" spans="1:29" x14ac:dyDescent="0.25">
      <c r="A78" s="39"/>
    </row>
    <row r="79" spans="1:29" x14ac:dyDescent="0.25"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29" x14ac:dyDescent="0.25"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pans="1:11" x14ac:dyDescent="0.25"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pans="1:11" x14ac:dyDescent="0.25"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 spans="1:11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 spans="1:11" x14ac:dyDescent="0.25"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 spans="1:11" x14ac:dyDescent="0.25"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x14ac:dyDescent="0.25"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 spans="1:11" x14ac:dyDescent="0.25"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 spans="1:11" x14ac:dyDescent="0.25"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 spans="1:11" x14ac:dyDescent="0.25"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x14ac:dyDescent="0.25">
      <c r="A90" s="39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2" spans="1:11" x14ac:dyDescent="0.25">
      <c r="A92" s="39"/>
    </row>
    <row r="93" spans="1:11" x14ac:dyDescent="0.25"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 spans="1:11" x14ac:dyDescent="0.25"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 spans="1:11" x14ac:dyDescent="0.25"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 spans="1:11" x14ac:dyDescent="0.25"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 spans="1:1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 spans="1:11" x14ac:dyDescent="0.25"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 spans="1:11" x14ac:dyDescent="0.25"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 spans="1:11" x14ac:dyDescent="0.25"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 spans="1:11" x14ac:dyDescent="0.25">
      <c r="A101" s="39"/>
      <c r="B101" s="35"/>
      <c r="C101" s="35"/>
      <c r="D101" s="35"/>
      <c r="E101" s="35"/>
      <c r="F101" s="35"/>
      <c r="G101" s="35"/>
      <c r="H101" s="35"/>
      <c r="I101" s="35"/>
      <c r="J101" s="35"/>
      <c r="K101" s="35"/>
    </row>
    <row r="103" spans="1:11" x14ac:dyDescent="0.25">
      <c r="A103" s="39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B975-59DC-4177-B1A8-9F3317113256}">
  <dimension ref="A1:H20"/>
  <sheetViews>
    <sheetView zoomScale="76" workbookViewId="0">
      <selection activeCell="T16" sqref="T16"/>
    </sheetView>
  </sheetViews>
  <sheetFormatPr defaultRowHeight="15" x14ac:dyDescent="0.25"/>
  <cols>
    <col min="1" max="1" width="20.140625" bestFit="1" customWidth="1"/>
    <col min="2" max="2" width="14.140625" customWidth="1"/>
    <col min="3" max="3" width="16.7109375" customWidth="1"/>
    <col min="4" max="4" width="15.42578125" customWidth="1"/>
    <col min="5" max="5" width="14.85546875" customWidth="1"/>
    <col min="6" max="6" width="15.140625" customWidth="1"/>
    <col min="7" max="7" width="14.85546875" customWidth="1"/>
    <col min="8" max="8" width="15" customWidth="1"/>
  </cols>
  <sheetData>
    <row r="1" spans="1:8" x14ac:dyDescent="0.25">
      <c r="A1" s="154" t="s">
        <v>230</v>
      </c>
      <c r="B1" s="154"/>
      <c r="C1" s="154"/>
      <c r="D1" s="154"/>
      <c r="E1" s="154"/>
      <c r="F1" s="154"/>
      <c r="G1" s="154"/>
      <c r="H1" s="154"/>
    </row>
    <row r="2" spans="1:8" x14ac:dyDescent="0.25">
      <c r="A2" s="154"/>
      <c r="B2" s="154"/>
      <c r="C2" s="154"/>
      <c r="D2" s="154"/>
      <c r="E2" s="154"/>
      <c r="F2" s="154"/>
      <c r="G2" s="154"/>
      <c r="H2" s="154"/>
    </row>
    <row r="3" spans="1:8" x14ac:dyDescent="0.25">
      <c r="A3" s="115"/>
      <c r="B3" s="145">
        <v>45717</v>
      </c>
      <c r="C3" s="145">
        <v>46082</v>
      </c>
      <c r="D3" s="145">
        <v>46447</v>
      </c>
      <c r="E3" s="145">
        <v>46813</v>
      </c>
      <c r="F3" s="145">
        <v>47178</v>
      </c>
      <c r="G3" s="145">
        <v>11018</v>
      </c>
      <c r="H3" s="145">
        <v>11383</v>
      </c>
    </row>
    <row r="4" spans="1:8" x14ac:dyDescent="0.25">
      <c r="A4" t="s">
        <v>34</v>
      </c>
      <c r="B4" s="37">
        <f>'Financial model'!L5</f>
        <v>59482</v>
      </c>
      <c r="C4" s="37">
        <f>B4*(1+$G$16)^1</f>
        <v>75189.396756477858</v>
      </c>
      <c r="D4" s="37">
        <f t="shared" ref="D4:H4" si="0">C4*(1+$G$16)^1</f>
        <v>95044.64181774389</v>
      </c>
      <c r="E4" s="37">
        <f t="shared" si="0"/>
        <v>120143.05644080009</v>
      </c>
      <c r="F4" s="37">
        <f t="shared" si="0"/>
        <v>151869.20309107343</v>
      </c>
      <c r="G4" s="37">
        <f t="shared" si="0"/>
        <v>191973.26529546472</v>
      </c>
      <c r="H4" s="37">
        <f t="shared" si="0"/>
        <v>242667.59710395208</v>
      </c>
    </row>
    <row r="5" spans="1:8" x14ac:dyDescent="0.25">
      <c r="A5" t="s">
        <v>198</v>
      </c>
      <c r="B5" s="37">
        <f>'Financial model'!L8</f>
        <v>54871</v>
      </c>
      <c r="C5" s="37">
        <f>C4*$G$17</f>
        <v>68800.136465039323</v>
      </c>
      <c r="D5" s="37">
        <f t="shared" ref="D5:H5" si="1">D4*$G$17</f>
        <v>86968.171170600544</v>
      </c>
      <c r="E5" s="37">
        <f t="shared" si="1"/>
        <v>109933.83422432942</v>
      </c>
      <c r="F5" s="37">
        <f t="shared" si="1"/>
        <v>138964.03413560352</v>
      </c>
      <c r="G5" s="37">
        <f t="shared" si="1"/>
        <v>175660.23162473729</v>
      </c>
      <c r="H5" s="37">
        <f t="shared" si="1"/>
        <v>222046.78474105059</v>
      </c>
    </row>
    <row r="6" spans="1:8" x14ac:dyDescent="0.25">
      <c r="A6" s="120" t="s">
        <v>220</v>
      </c>
      <c r="B6" s="146">
        <f>'Financial model'!L11</f>
        <v>4611</v>
      </c>
      <c r="C6" s="146">
        <f>C4-C5</f>
        <v>6389.2602914385352</v>
      </c>
      <c r="D6" s="146">
        <f t="shared" ref="D6:H6" si="2">D4-D5</f>
        <v>8076.4706471433456</v>
      </c>
      <c r="E6" s="146">
        <f t="shared" si="2"/>
        <v>10209.222216470676</v>
      </c>
      <c r="F6" s="146">
        <f t="shared" si="2"/>
        <v>12905.168955469911</v>
      </c>
      <c r="G6" s="146">
        <f t="shared" si="2"/>
        <v>16313.033670727425</v>
      </c>
      <c r="H6" s="146">
        <f t="shared" si="2"/>
        <v>20620.812362901488</v>
      </c>
    </row>
    <row r="7" spans="1:8" x14ac:dyDescent="0.25">
      <c r="A7" t="s">
        <v>221</v>
      </c>
      <c r="B7" s="37">
        <f>'Financial model'!L14</f>
        <v>870</v>
      </c>
      <c r="C7" s="37">
        <f>C4*$G$18</f>
        <v>1001.2527888729578</v>
      </c>
      <c r="D7" s="37">
        <f t="shared" ref="D7:H7" si="3">D4*$G$18</f>
        <v>1265.6533606149553</v>
      </c>
      <c r="E7" s="37">
        <f t="shared" si="3"/>
        <v>1599.8741247343298</v>
      </c>
      <c r="F7" s="37">
        <f t="shared" si="3"/>
        <v>2022.3524818444614</v>
      </c>
      <c r="G7" s="37">
        <f t="shared" si="3"/>
        <v>2556.3945922943221</v>
      </c>
      <c r="H7" s="37">
        <f t="shared" si="3"/>
        <v>3231.4610683254136</v>
      </c>
    </row>
    <row r="8" spans="1:8" x14ac:dyDescent="0.25">
      <c r="A8" t="s">
        <v>43</v>
      </c>
      <c r="B8" s="37">
        <f>'Financial model'!L17</f>
        <v>3741</v>
      </c>
      <c r="C8" s="37">
        <f>C6-C7</f>
        <v>5388.0075025655769</v>
      </c>
      <c r="D8" s="37">
        <f t="shared" ref="D8:H8" si="4">D6-D7</f>
        <v>6810.8172865283905</v>
      </c>
      <c r="E8" s="37">
        <f t="shared" si="4"/>
        <v>8609.3480917363468</v>
      </c>
      <c r="F8" s="37">
        <f t="shared" si="4"/>
        <v>10882.816473625449</v>
      </c>
      <c r="G8" s="37">
        <f t="shared" si="4"/>
        <v>13756.639078433103</v>
      </c>
      <c r="H8" s="37">
        <f t="shared" si="4"/>
        <v>17389.351294576074</v>
      </c>
    </row>
    <row r="9" spans="1:8" x14ac:dyDescent="0.25">
      <c r="A9" t="s">
        <v>222</v>
      </c>
      <c r="B9" s="37">
        <f>'Financial model'!L19</f>
        <v>69</v>
      </c>
      <c r="C9" s="37">
        <f>C4*$G$19</f>
        <v>354.87418214305535</v>
      </c>
      <c r="D9" s="37">
        <f t="shared" ref="D9:H9" si="5">D4*$G$19</f>
        <v>448.58571802872757</v>
      </c>
      <c r="E9" s="37">
        <f t="shared" si="5"/>
        <v>567.04363558978343</v>
      </c>
      <c r="F9" s="37">
        <f t="shared" si="5"/>
        <v>716.78270560162514</v>
      </c>
      <c r="G9" s="37">
        <f t="shared" si="5"/>
        <v>906.06333411220623</v>
      </c>
      <c r="H9" s="37">
        <f t="shared" si="5"/>
        <v>1145.3272505137661</v>
      </c>
    </row>
    <row r="10" spans="1:8" x14ac:dyDescent="0.25">
      <c r="A10" t="s">
        <v>223</v>
      </c>
      <c r="B10" s="37">
        <f>'Financial model'!L22</f>
        <v>3672</v>
      </c>
      <c r="C10" s="37">
        <f>C8-C9</f>
        <v>5033.1333204225211</v>
      </c>
      <c r="D10" s="37">
        <f t="shared" ref="D10:H10" si="6">D8-D9</f>
        <v>6362.2315684996629</v>
      </c>
      <c r="E10" s="37">
        <f t="shared" si="6"/>
        <v>8042.3044561465631</v>
      </c>
      <c r="F10" s="37">
        <f t="shared" si="6"/>
        <v>10166.033768023824</v>
      </c>
      <c r="G10" s="37">
        <f t="shared" si="6"/>
        <v>12850.575744320897</v>
      </c>
      <c r="H10" s="37">
        <f t="shared" si="6"/>
        <v>16244.024044062307</v>
      </c>
    </row>
    <row r="11" spans="1:8" x14ac:dyDescent="0.25">
      <c r="A11" t="s">
        <v>47</v>
      </c>
      <c r="B11" s="37">
        <f>'Financial model'!L25</f>
        <v>954.72</v>
      </c>
      <c r="C11" s="37">
        <f>C10*$G$20</f>
        <v>1509.9399961267566</v>
      </c>
      <c r="D11" s="37">
        <f t="shared" ref="D11:H11" si="7">D10*$G$20</f>
        <v>1908.6694705498992</v>
      </c>
      <c r="E11" s="37">
        <f t="shared" si="7"/>
        <v>2412.6913368439691</v>
      </c>
      <c r="F11" s="37">
        <f t="shared" si="7"/>
        <v>3049.8101304071479</v>
      </c>
      <c r="G11" s="37">
        <f t="shared" si="7"/>
        <v>3855.1727232962694</v>
      </c>
      <c r="H11" s="37">
        <f t="shared" si="7"/>
        <v>4873.2072132186931</v>
      </c>
    </row>
    <row r="12" spans="1:8" x14ac:dyDescent="0.25">
      <c r="A12" s="120" t="s">
        <v>224</v>
      </c>
      <c r="B12" s="146">
        <f>'Financial model'!L28</f>
        <v>2717.2799999999997</v>
      </c>
      <c r="C12" s="146">
        <f>C10-C11</f>
        <v>3523.1933242957648</v>
      </c>
      <c r="D12" s="146">
        <f t="shared" ref="D12:H12" si="8">D10-D11</f>
        <v>4453.5620979497635</v>
      </c>
      <c r="E12" s="146">
        <f t="shared" si="8"/>
        <v>5629.613119302594</v>
      </c>
      <c r="F12" s="146">
        <f t="shared" si="8"/>
        <v>7116.2236376166766</v>
      </c>
      <c r="G12" s="146">
        <f t="shared" si="8"/>
        <v>8995.4030210246274</v>
      </c>
      <c r="H12" s="146">
        <f t="shared" si="8"/>
        <v>11370.816830843614</v>
      </c>
    </row>
    <row r="14" spans="1:8" x14ac:dyDescent="0.25">
      <c r="G14" s="156" t="s">
        <v>229</v>
      </c>
      <c r="H14" s="156"/>
    </row>
    <row r="15" spans="1:8" x14ac:dyDescent="0.25">
      <c r="A15" s="115" t="s">
        <v>225</v>
      </c>
      <c r="B15" s="115"/>
      <c r="C15" s="115" t="s">
        <v>226</v>
      </c>
      <c r="D15" s="115" t="s">
        <v>227</v>
      </c>
      <c r="E15" s="115" t="s">
        <v>228</v>
      </c>
      <c r="G15" s="120" t="s">
        <v>226</v>
      </c>
    </row>
    <row r="16" spans="1:8" x14ac:dyDescent="0.25">
      <c r="A16" s="12" t="s">
        <v>35</v>
      </c>
      <c r="C16" s="38">
        <f>'Financial model'!M6</f>
        <v>0.26406974809989325</v>
      </c>
      <c r="D16" s="38">
        <f>C16+0.05</f>
        <v>0.31406974809989324</v>
      </c>
      <c r="E16" s="38">
        <f>C16-0.05</f>
        <v>0.21406974809989326</v>
      </c>
      <c r="G16" s="38" cm="1">
        <f t="array" ref="G16">_xlfn.IFS($G$15="Base case",C16,$G$15="Best case",D16,$G$15="Worst case",E16)</f>
        <v>0.26406974809989325</v>
      </c>
    </row>
    <row r="17" spans="1:7" x14ac:dyDescent="0.25">
      <c r="A17" s="12" t="s">
        <v>38</v>
      </c>
      <c r="C17" s="38">
        <f>'Financial model'!M9</f>
        <v>0.91502445069306837</v>
      </c>
      <c r="D17" s="38">
        <f>C17-0.05</f>
        <v>0.86502445069306833</v>
      </c>
      <c r="E17" s="38">
        <f>C17+0.05</f>
        <v>0.96502445069306841</v>
      </c>
      <c r="G17" s="38" cm="1">
        <f t="array" ref="G17">_xlfn.IFS($G$15="Base case",C17,$G$15="Best case",D17,$G$15="Worst case",E17)</f>
        <v>0.91502445069306837</v>
      </c>
    </row>
    <row r="18" spans="1:7" x14ac:dyDescent="0.25">
      <c r="A18" s="12" t="s">
        <v>42</v>
      </c>
      <c r="C18" s="38">
        <f>'Financial model'!M15</f>
        <v>1.3316409388358286E-2</v>
      </c>
      <c r="D18" s="38">
        <f>C18-0.0033</f>
        <v>1.0016409388358287E-2</v>
      </c>
      <c r="E18" s="38">
        <f>C18+0.0033</f>
        <v>1.6616409388358285E-2</v>
      </c>
      <c r="G18" s="38" cm="1">
        <f t="array" ref="G18">_xlfn.IFS($G$15="Base case",C18,$G$15="Best case",D18,$G$15="Worst case",E18)</f>
        <v>1.3316409388358286E-2</v>
      </c>
    </row>
    <row r="19" spans="1:7" x14ac:dyDescent="0.25">
      <c r="A19" s="12" t="s">
        <v>44</v>
      </c>
      <c r="C19" s="38">
        <f>'Financial model'!M20</f>
        <v>4.7197370567078206E-3</v>
      </c>
      <c r="D19" s="38">
        <f>C19-0.002</f>
        <v>2.7197370567078206E-3</v>
      </c>
      <c r="E19" s="38">
        <f>C19+0.002</f>
        <v>6.7197370567078207E-3</v>
      </c>
      <c r="G19" s="38" cm="1">
        <f t="array" ref="G19">_xlfn.IFS($G$15="Base case",C19,$G$15="Best case",D19,$G$15="Worst case",E19)</f>
        <v>4.7197370567078206E-3</v>
      </c>
    </row>
    <row r="20" spans="1:7" x14ac:dyDescent="0.25">
      <c r="A20" s="144" t="s">
        <v>48</v>
      </c>
      <c r="C20" s="38">
        <f>AVERAGE('Financial model'!B26:L26)</f>
        <v>0.30000000000000004</v>
      </c>
      <c r="D20" s="38">
        <f>C20-0.05</f>
        <v>0.25000000000000006</v>
      </c>
      <c r="E20" s="38">
        <f>C20+0.05</f>
        <v>0.35000000000000003</v>
      </c>
      <c r="G20" s="38" cm="1">
        <f t="array" ref="G20">_xlfn.IFS($G$15="Base case",C20,$G$15="Best case",D20,$G$15="Worst case",E20)</f>
        <v>0.30000000000000004</v>
      </c>
    </row>
  </sheetData>
  <mergeCells count="2">
    <mergeCell ref="A1:H2"/>
    <mergeCell ref="G14:H14"/>
  </mergeCells>
  <dataValidations count="1">
    <dataValidation type="list" allowBlank="1" showInputMessage="1" showErrorMessage="1" sqref="G15" xr:uid="{DE19ADB6-0458-4AEA-B6E3-D518309E4A1B}">
      <formula1>$C$15:$E$15</formula1>
    </dataValidation>
  </dataValidations>
  <pageMargins left="0.7" right="0.7" top="0.75" bottom="0.75" header="0.3" footer="0.3"/>
  <ignoredErrors>
    <ignoredError sqref="D17:E17 D20:E20 C7:H7 C9:H9 C11:H11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0A83-450A-4457-AF86-1FB517364585}">
  <dimension ref="A1:L35"/>
  <sheetViews>
    <sheetView workbookViewId="0">
      <selection activeCell="I39" sqref="I39"/>
    </sheetView>
  </sheetViews>
  <sheetFormatPr defaultRowHeight="15" x14ac:dyDescent="0.25"/>
  <cols>
    <col min="1" max="1" width="36.85546875" bestFit="1" customWidth="1"/>
  </cols>
  <sheetData>
    <row r="1" spans="1:12" x14ac:dyDescent="0.25">
      <c r="A1" s="157" t="s">
        <v>137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2" x14ac:dyDescent="0.25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</row>
    <row r="3" spans="1:12" x14ac:dyDescent="0.25">
      <c r="A3" s="115"/>
      <c r="B3" s="122">
        <v>42064</v>
      </c>
      <c r="C3" s="122">
        <v>42430</v>
      </c>
      <c r="D3" s="122">
        <v>42795</v>
      </c>
      <c r="E3" s="122">
        <v>43160</v>
      </c>
      <c r="F3" s="122">
        <v>43525</v>
      </c>
      <c r="G3" s="122">
        <v>43891</v>
      </c>
      <c r="H3" s="122">
        <v>44256</v>
      </c>
      <c r="I3" s="122">
        <v>44621</v>
      </c>
      <c r="J3" s="122">
        <v>44986</v>
      </c>
      <c r="K3" s="122">
        <v>45352</v>
      </c>
      <c r="L3" s="122">
        <v>45717</v>
      </c>
    </row>
    <row r="4" spans="1:12" x14ac:dyDescent="0.25">
      <c r="A4" s="123" t="s">
        <v>79</v>
      </c>
      <c r="B4" s="124">
        <v>222</v>
      </c>
      <c r="C4" s="124">
        <v>433</v>
      </c>
      <c r="D4" s="124">
        <v>455</v>
      </c>
      <c r="E4" s="124">
        <v>730</v>
      </c>
      <c r="F4" s="124">
        <v>807</v>
      </c>
      <c r="G4" s="125">
        <v>1280</v>
      </c>
      <c r="H4" s="125">
        <v>1375</v>
      </c>
      <c r="I4" s="125">
        <v>1372</v>
      </c>
      <c r="J4" s="125">
        <v>2630</v>
      </c>
      <c r="K4" s="125">
        <v>2746</v>
      </c>
      <c r="L4" s="125">
        <v>2463</v>
      </c>
    </row>
    <row r="5" spans="1:12" x14ac:dyDescent="0.25">
      <c r="A5" s="48" t="s">
        <v>80</v>
      </c>
      <c r="B5" s="49">
        <v>474</v>
      </c>
      <c r="C5" s="49">
        <v>666</v>
      </c>
      <c r="D5" s="49">
        <v>984</v>
      </c>
      <c r="E5" s="50">
        <v>1375</v>
      </c>
      <c r="F5" s="50">
        <v>1659</v>
      </c>
      <c r="G5" s="50">
        <v>2149</v>
      </c>
      <c r="H5" s="50">
        <v>1764</v>
      </c>
      <c r="I5" s="50">
        <v>2515</v>
      </c>
      <c r="J5" s="50">
        <v>3659</v>
      </c>
      <c r="K5" s="50">
        <v>4131</v>
      </c>
      <c r="L5" s="50">
        <v>4535</v>
      </c>
    </row>
    <row r="6" spans="1:12" x14ac:dyDescent="0.25">
      <c r="A6" s="51" t="s">
        <v>66</v>
      </c>
      <c r="B6" s="52">
        <v>2</v>
      </c>
      <c r="C6" s="52">
        <v>-1</v>
      </c>
      <c r="D6" s="52">
        <v>54</v>
      </c>
      <c r="E6" s="52">
        <v>-13</v>
      </c>
      <c r="F6" s="52">
        <v>-31</v>
      </c>
      <c r="G6" s="52">
        <v>45</v>
      </c>
      <c r="H6" s="52">
        <v>-24</v>
      </c>
      <c r="I6" s="52">
        <v>-23</v>
      </c>
      <c r="J6" s="52">
        <v>5</v>
      </c>
      <c r="K6" s="52">
        <v>-104</v>
      </c>
      <c r="L6" s="52">
        <v>13</v>
      </c>
    </row>
    <row r="7" spans="1:12" x14ac:dyDescent="0.25">
      <c r="A7" s="51" t="s">
        <v>67</v>
      </c>
      <c r="B7" s="52">
        <v>-161</v>
      </c>
      <c r="C7" s="52">
        <v>-132</v>
      </c>
      <c r="D7" s="52">
        <v>-276</v>
      </c>
      <c r="E7" s="52">
        <v>-212</v>
      </c>
      <c r="F7" s="52">
        <v>-445</v>
      </c>
      <c r="G7" s="52">
        <v>-339</v>
      </c>
      <c r="H7" s="52">
        <v>-301</v>
      </c>
      <c r="I7" s="52">
        <v>-494</v>
      </c>
      <c r="J7" s="52">
        <v>-501</v>
      </c>
      <c r="K7" s="52">
        <v>-684</v>
      </c>
      <c r="L7" s="53">
        <v>-1117</v>
      </c>
    </row>
    <row r="8" spans="1:12" x14ac:dyDescent="0.25">
      <c r="A8" s="51" t="s">
        <v>81</v>
      </c>
      <c r="B8" s="52">
        <v>-4</v>
      </c>
      <c r="C8" s="52">
        <v>72</v>
      </c>
      <c r="D8" s="52">
        <v>0</v>
      </c>
      <c r="E8" s="52">
        <v>55</v>
      </c>
      <c r="F8" s="52">
        <v>146</v>
      </c>
      <c r="G8" s="52">
        <v>-30</v>
      </c>
      <c r="H8" s="52">
        <v>145</v>
      </c>
      <c r="I8" s="52">
        <v>11</v>
      </c>
      <c r="J8" s="52">
        <v>165</v>
      </c>
      <c r="K8" s="52">
        <v>231</v>
      </c>
      <c r="L8" s="52">
        <v>86</v>
      </c>
    </row>
    <row r="9" spans="1:12" x14ac:dyDescent="0.25">
      <c r="A9" s="51" t="s">
        <v>82</v>
      </c>
      <c r="B9" s="52">
        <v>-5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</row>
    <row r="10" spans="1:12" x14ac:dyDescent="0.25">
      <c r="A10" s="51" t="s">
        <v>83</v>
      </c>
      <c r="B10" s="52">
        <v>0</v>
      </c>
      <c r="C10" s="52">
        <v>0</v>
      </c>
      <c r="D10" s="52">
        <v>-2</v>
      </c>
      <c r="E10" s="52">
        <v>-62</v>
      </c>
      <c r="F10" s="52">
        <v>52</v>
      </c>
      <c r="G10" s="52">
        <v>2</v>
      </c>
      <c r="H10" s="52">
        <v>12</v>
      </c>
      <c r="I10" s="52">
        <v>-3</v>
      </c>
      <c r="J10" s="52">
        <v>0</v>
      </c>
      <c r="K10" s="52">
        <v>0</v>
      </c>
      <c r="L10" s="52">
        <v>0</v>
      </c>
    </row>
    <row r="11" spans="1:12" x14ac:dyDescent="0.25">
      <c r="A11" s="51" t="s">
        <v>84</v>
      </c>
      <c r="B11" s="52">
        <v>16</v>
      </c>
      <c r="C11" s="52">
        <v>-7</v>
      </c>
      <c r="D11" s="52">
        <v>-46</v>
      </c>
      <c r="E11" s="52">
        <v>-11</v>
      </c>
      <c r="F11" s="52">
        <v>-72</v>
      </c>
      <c r="G11" s="52">
        <v>-54</v>
      </c>
      <c r="H11" s="52">
        <v>41</v>
      </c>
      <c r="I11" s="52">
        <v>-73</v>
      </c>
      <c r="J11" s="52">
        <v>12</v>
      </c>
      <c r="K11" s="52">
        <v>-87</v>
      </c>
      <c r="L11" s="52">
        <v>-94</v>
      </c>
    </row>
    <row r="12" spans="1:12" x14ac:dyDescent="0.25">
      <c r="A12" s="48" t="s">
        <v>85</v>
      </c>
      <c r="B12" s="49">
        <v>-152</v>
      </c>
      <c r="C12" s="49">
        <v>-69</v>
      </c>
      <c r="D12" s="49">
        <v>-270</v>
      </c>
      <c r="E12" s="49">
        <v>-243</v>
      </c>
      <c r="F12" s="49">
        <v>-351</v>
      </c>
      <c r="G12" s="49">
        <v>-376</v>
      </c>
      <c r="H12" s="49">
        <v>-127</v>
      </c>
      <c r="I12" s="49">
        <v>-582</v>
      </c>
      <c r="J12" s="49">
        <v>-320</v>
      </c>
      <c r="K12" s="49">
        <v>-644</v>
      </c>
      <c r="L12" s="50">
        <v>-1113</v>
      </c>
    </row>
    <row r="13" spans="1:12" x14ac:dyDescent="0.25">
      <c r="A13" s="51" t="s">
        <v>86</v>
      </c>
      <c r="B13" s="52">
        <v>-100</v>
      </c>
      <c r="C13" s="52">
        <v>-164</v>
      </c>
      <c r="D13" s="52">
        <v>-258</v>
      </c>
      <c r="E13" s="52">
        <v>-403</v>
      </c>
      <c r="F13" s="52">
        <v>-502</v>
      </c>
      <c r="G13" s="52">
        <v>-492</v>
      </c>
      <c r="H13" s="52">
        <v>-262</v>
      </c>
      <c r="I13" s="52">
        <v>-560</v>
      </c>
      <c r="J13" s="52">
        <v>-709</v>
      </c>
      <c r="K13" s="52">
        <v>-742</v>
      </c>
      <c r="L13" s="52">
        <v>-959</v>
      </c>
    </row>
    <row r="14" spans="1:12" x14ac:dyDescent="0.25">
      <c r="A14" s="123" t="s">
        <v>87</v>
      </c>
      <c r="B14" s="124">
        <v>-474</v>
      </c>
      <c r="C14" s="124">
        <v>-633</v>
      </c>
      <c r="D14" s="125">
        <v>-2482</v>
      </c>
      <c r="E14" s="124">
        <v>464</v>
      </c>
      <c r="F14" s="124">
        <v>-958</v>
      </c>
      <c r="G14" s="125">
        <v>-4657</v>
      </c>
      <c r="H14" s="125">
        <v>-1110</v>
      </c>
      <c r="I14" s="125">
        <v>-1289</v>
      </c>
      <c r="J14" s="125">
        <v>-2313</v>
      </c>
      <c r="K14" s="125">
        <v>-2468</v>
      </c>
      <c r="L14" s="125">
        <v>-2185</v>
      </c>
    </row>
    <row r="15" spans="1:12" x14ac:dyDescent="0.25">
      <c r="A15" s="47" t="s">
        <v>88</v>
      </c>
      <c r="B15" s="8">
        <v>-477</v>
      </c>
      <c r="C15" s="8">
        <v>0</v>
      </c>
      <c r="D15" s="8">
        <v>-645</v>
      </c>
      <c r="E15" s="8">
        <v>-916</v>
      </c>
      <c r="F15" s="5">
        <v>-1417</v>
      </c>
      <c r="G15" s="5">
        <v>-1712</v>
      </c>
      <c r="H15" s="5">
        <v>-2029</v>
      </c>
      <c r="I15" s="5">
        <v>-2410</v>
      </c>
      <c r="J15" s="5">
        <v>-2212</v>
      </c>
      <c r="K15" s="5">
        <v>-2731</v>
      </c>
      <c r="L15" s="5">
        <v>-3423</v>
      </c>
    </row>
    <row r="16" spans="1:12" x14ac:dyDescent="0.25">
      <c r="A16" s="47" t="s">
        <v>89</v>
      </c>
      <c r="B16" s="8">
        <v>0</v>
      </c>
      <c r="C16" s="8">
        <v>2</v>
      </c>
      <c r="D16" s="8">
        <v>10</v>
      </c>
      <c r="E16" s="8">
        <v>7</v>
      </c>
      <c r="F16" s="8">
        <v>8</v>
      </c>
      <c r="G16" s="8">
        <v>6</v>
      </c>
      <c r="H16" s="8">
        <v>2</v>
      </c>
      <c r="I16" s="8">
        <v>21</v>
      </c>
      <c r="J16" s="8">
        <v>5</v>
      </c>
      <c r="K16" s="8">
        <v>9</v>
      </c>
      <c r="L16" s="8">
        <v>6</v>
      </c>
    </row>
    <row r="17" spans="1:12" x14ac:dyDescent="0.25">
      <c r="A17" s="47" t="s">
        <v>90</v>
      </c>
      <c r="B17" s="5">
        <v>-2901</v>
      </c>
      <c r="C17" s="8">
        <v>-638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-193</v>
      </c>
      <c r="K17" s="8">
        <v>0</v>
      </c>
      <c r="L17" s="5">
        <v>-4948</v>
      </c>
    </row>
    <row r="18" spans="1:12" x14ac:dyDescent="0.25">
      <c r="A18" s="47" t="s">
        <v>91</v>
      </c>
      <c r="B18" s="5">
        <v>2904</v>
      </c>
      <c r="C18" s="8">
        <v>0</v>
      </c>
      <c r="D18" s="8">
        <v>0</v>
      </c>
      <c r="E18" s="5">
        <v>1376</v>
      </c>
      <c r="F18" s="8">
        <v>410</v>
      </c>
      <c r="G18" s="8">
        <v>232</v>
      </c>
      <c r="H18" s="8">
        <v>3</v>
      </c>
      <c r="I18" s="8">
        <v>4</v>
      </c>
      <c r="J18" s="8">
        <v>6</v>
      </c>
      <c r="K18" s="8">
        <v>123</v>
      </c>
      <c r="L18" s="5">
        <v>5074</v>
      </c>
    </row>
    <row r="19" spans="1:12" x14ac:dyDescent="0.25">
      <c r="A19" s="47" t="s">
        <v>92</v>
      </c>
      <c r="B19" s="8">
        <v>0</v>
      </c>
      <c r="C19" s="8">
        <v>3</v>
      </c>
      <c r="D19" s="8">
        <v>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25">
      <c r="A20" s="47" t="s">
        <v>93</v>
      </c>
      <c r="B20" s="8">
        <v>0</v>
      </c>
      <c r="C20" s="8">
        <v>1</v>
      </c>
      <c r="D20" s="8">
        <v>1</v>
      </c>
      <c r="E20" s="8">
        <v>31</v>
      </c>
      <c r="F20" s="8">
        <v>36</v>
      </c>
      <c r="G20" s="8">
        <v>12</v>
      </c>
      <c r="H20" s="8">
        <v>129</v>
      </c>
      <c r="I20" s="8">
        <v>43</v>
      </c>
      <c r="J20" s="8">
        <v>39</v>
      </c>
      <c r="K20" s="8">
        <v>262</v>
      </c>
      <c r="L20" s="8">
        <v>103</v>
      </c>
    </row>
    <row r="21" spans="1:12" x14ac:dyDescent="0.25">
      <c r="A21" s="47" t="s">
        <v>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25">
      <c r="A22" s="47" t="s">
        <v>95</v>
      </c>
      <c r="B22" s="8">
        <v>0</v>
      </c>
      <c r="C22" s="8">
        <v>-14</v>
      </c>
      <c r="D22" s="8">
        <v>-21</v>
      </c>
      <c r="E22" s="8">
        <v>-49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25">
      <c r="A23" s="47" t="s">
        <v>96</v>
      </c>
      <c r="B23" s="8">
        <v>0</v>
      </c>
      <c r="C23" s="8">
        <v>0</v>
      </c>
      <c r="D23" s="8">
        <v>0</v>
      </c>
      <c r="E23" s="8">
        <v>8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25">
      <c r="A24" s="47" t="s">
        <v>97</v>
      </c>
      <c r="B24" s="8">
        <v>0</v>
      </c>
      <c r="C24" s="8">
        <v>14</v>
      </c>
      <c r="D24" s="5">
        <v>-1835</v>
      </c>
      <c r="E24" s="8">
        <v>7</v>
      </c>
      <c r="F24" s="8">
        <v>3</v>
      </c>
      <c r="G24" s="5">
        <v>-3194</v>
      </c>
      <c r="H24" s="8">
        <v>786</v>
      </c>
      <c r="I24" s="5">
        <v>1054</v>
      </c>
      <c r="J24" s="8">
        <v>42</v>
      </c>
      <c r="K24" s="8">
        <v>-131</v>
      </c>
      <c r="L24" s="5">
        <v>1004</v>
      </c>
    </row>
    <row r="25" spans="1:12" x14ac:dyDescent="0.25">
      <c r="A25" s="123" t="s">
        <v>98</v>
      </c>
      <c r="B25" s="124">
        <v>234</v>
      </c>
      <c r="C25" s="124">
        <v>196</v>
      </c>
      <c r="D25" s="125">
        <v>2025</v>
      </c>
      <c r="E25" s="125">
        <v>-1159</v>
      </c>
      <c r="F25" s="124">
        <v>209</v>
      </c>
      <c r="G25" s="125">
        <v>3357</v>
      </c>
      <c r="H25" s="124">
        <v>-180</v>
      </c>
      <c r="I25" s="124">
        <v>-179</v>
      </c>
      <c r="J25" s="124">
        <v>-205</v>
      </c>
      <c r="K25" s="124">
        <v>-148</v>
      </c>
      <c r="L25" s="124">
        <v>-259</v>
      </c>
    </row>
    <row r="26" spans="1:12" x14ac:dyDescent="0.25">
      <c r="A26" s="51" t="s">
        <v>99</v>
      </c>
      <c r="B26" s="52">
        <v>33</v>
      </c>
      <c r="C26" s="52">
        <v>0</v>
      </c>
      <c r="D26" s="53">
        <v>1841</v>
      </c>
      <c r="E26" s="52">
        <v>0</v>
      </c>
      <c r="F26" s="52">
        <v>0</v>
      </c>
      <c r="G26" s="52">
        <v>110</v>
      </c>
      <c r="H26" s="52">
        <v>0</v>
      </c>
      <c r="I26" s="52">
        <v>0</v>
      </c>
      <c r="J26" s="52">
        <v>15</v>
      </c>
      <c r="K26" s="52">
        <v>75</v>
      </c>
      <c r="L26" s="52">
        <v>0</v>
      </c>
    </row>
    <row r="27" spans="1:12" x14ac:dyDescent="0.25">
      <c r="A27" s="51" t="s">
        <v>100</v>
      </c>
      <c r="B27" s="52">
        <v>200</v>
      </c>
      <c r="C27" s="52">
        <v>350</v>
      </c>
      <c r="D27" s="52">
        <v>250</v>
      </c>
      <c r="E27" s="52">
        <v>0</v>
      </c>
      <c r="F27" s="52">
        <v>0</v>
      </c>
      <c r="G27" s="52">
        <v>300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</row>
    <row r="28" spans="1:12" x14ac:dyDescent="0.25">
      <c r="A28" s="51" t="s">
        <v>101</v>
      </c>
      <c r="B28" s="52">
        <v>0</v>
      </c>
      <c r="C28" s="52">
        <v>0</v>
      </c>
      <c r="D28" s="52">
        <v>0</v>
      </c>
      <c r="E28" s="52">
        <v>-384</v>
      </c>
      <c r="F28" s="52">
        <v>-170</v>
      </c>
      <c r="G28" s="52">
        <v>-512</v>
      </c>
      <c r="H28" s="52">
        <v>-34</v>
      </c>
      <c r="I28" s="52">
        <v>0</v>
      </c>
      <c r="J28" s="52">
        <v>0</v>
      </c>
      <c r="K28" s="52">
        <v>0</v>
      </c>
      <c r="L28" s="52">
        <v>0</v>
      </c>
    </row>
    <row r="29" spans="1:12" x14ac:dyDescent="0.25">
      <c r="A29" s="51" t="s">
        <v>102</v>
      </c>
      <c r="B29" s="52">
        <v>295</v>
      </c>
      <c r="C29" s="52">
        <v>-60</v>
      </c>
      <c r="D29" s="52">
        <v>260</v>
      </c>
      <c r="E29" s="52">
        <v>0</v>
      </c>
      <c r="F29" s="52">
        <v>992</v>
      </c>
      <c r="G29" s="53">
        <v>1100</v>
      </c>
      <c r="H29" s="52">
        <v>200</v>
      </c>
      <c r="I29" s="52">
        <v>248</v>
      </c>
      <c r="J29" s="52">
        <v>0</v>
      </c>
      <c r="K29" s="52">
        <v>0</v>
      </c>
      <c r="L29" s="52">
        <v>0</v>
      </c>
    </row>
    <row r="30" spans="1:12" x14ac:dyDescent="0.25">
      <c r="A30" s="51" t="s">
        <v>103</v>
      </c>
      <c r="B30" s="52">
        <v>-232</v>
      </c>
      <c r="C30" s="52">
        <v>0</v>
      </c>
      <c r="D30" s="52">
        <v>-155</v>
      </c>
      <c r="E30" s="52">
        <v>-695</v>
      </c>
      <c r="F30" s="52">
        <v>-562</v>
      </c>
      <c r="G30" s="53">
        <v>-1550</v>
      </c>
      <c r="H30" s="52">
        <v>-204</v>
      </c>
      <c r="I30" s="52">
        <v>-248</v>
      </c>
      <c r="J30" s="52">
        <v>0</v>
      </c>
      <c r="K30" s="52">
        <v>0</v>
      </c>
      <c r="L30" s="52">
        <v>0</v>
      </c>
    </row>
    <row r="31" spans="1:12" x14ac:dyDescent="0.25">
      <c r="A31" s="51" t="s">
        <v>104</v>
      </c>
      <c r="B31" s="52">
        <v>-62</v>
      </c>
      <c r="C31" s="52">
        <v>-93</v>
      </c>
      <c r="D31" s="52">
        <v>-120</v>
      </c>
      <c r="E31" s="52">
        <v>-80</v>
      </c>
      <c r="F31" s="52">
        <v>-51</v>
      </c>
      <c r="G31" s="52">
        <v>-98</v>
      </c>
      <c r="H31" s="52">
        <v>-44</v>
      </c>
      <c r="I31" s="52">
        <v>-54</v>
      </c>
      <c r="J31" s="52">
        <v>-67</v>
      </c>
      <c r="K31" s="52">
        <v>-58</v>
      </c>
      <c r="L31" s="52">
        <v>-69</v>
      </c>
    </row>
    <row r="32" spans="1:12" x14ac:dyDescent="0.25">
      <c r="A32" s="51" t="s">
        <v>105</v>
      </c>
      <c r="B32" s="52">
        <v>0</v>
      </c>
      <c r="C32" s="52">
        <v>0</v>
      </c>
      <c r="D32" s="52">
        <v>0</v>
      </c>
      <c r="E32" s="52">
        <v>0</v>
      </c>
      <c r="F32" s="52">
        <v>0</v>
      </c>
      <c r="G32" s="52">
        <v>-70</v>
      </c>
      <c r="H32" s="52">
        <v>-98</v>
      </c>
      <c r="I32" s="52">
        <v>-125</v>
      </c>
      <c r="J32" s="52">
        <v>-153</v>
      </c>
      <c r="K32" s="52">
        <v>-164</v>
      </c>
      <c r="L32" s="52">
        <v>-380</v>
      </c>
    </row>
    <row r="33" spans="1:12" x14ac:dyDescent="0.25">
      <c r="A33" s="51" t="s">
        <v>106</v>
      </c>
      <c r="B33" s="52">
        <v>0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1</v>
      </c>
      <c r="K33" s="52">
        <v>0</v>
      </c>
      <c r="L33" s="52">
        <v>0</v>
      </c>
    </row>
    <row r="34" spans="1:12" x14ac:dyDescent="0.25">
      <c r="A34" s="51" t="s">
        <v>107</v>
      </c>
      <c r="B34" s="52">
        <v>0</v>
      </c>
      <c r="C34" s="52">
        <v>0</v>
      </c>
      <c r="D34" s="52">
        <v>-50</v>
      </c>
      <c r="E34" s="52">
        <v>0</v>
      </c>
      <c r="F34" s="52">
        <v>0</v>
      </c>
      <c r="G34" s="53">
        <v>4077</v>
      </c>
      <c r="H34" s="52">
        <v>0</v>
      </c>
      <c r="I34" s="52">
        <v>0</v>
      </c>
      <c r="J34" s="52">
        <v>0</v>
      </c>
      <c r="K34" s="52">
        <v>0</v>
      </c>
      <c r="L34" s="52">
        <v>190</v>
      </c>
    </row>
    <row r="35" spans="1:12" x14ac:dyDescent="0.25">
      <c r="A35" s="123" t="s">
        <v>14</v>
      </c>
      <c r="B35" s="124">
        <v>-17</v>
      </c>
      <c r="C35" s="124">
        <v>-3</v>
      </c>
      <c r="D35" s="124">
        <v>-1</v>
      </c>
      <c r="E35" s="124">
        <v>34</v>
      </c>
      <c r="F35" s="124">
        <v>57</v>
      </c>
      <c r="G35" s="124">
        <v>-19</v>
      </c>
      <c r="H35" s="124">
        <v>86</v>
      </c>
      <c r="I35" s="124">
        <v>-96</v>
      </c>
      <c r="J35" s="124">
        <v>112</v>
      </c>
      <c r="K35" s="124">
        <v>130</v>
      </c>
      <c r="L35" s="124">
        <v>18</v>
      </c>
    </row>
  </sheetData>
  <mergeCells count="1">
    <mergeCell ref="A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B771-35CF-4BE6-AF5C-D3DE009BF2A0}">
  <dimension ref="A1:O37"/>
  <sheetViews>
    <sheetView workbookViewId="0">
      <selection activeCell="B39" sqref="B39"/>
    </sheetView>
  </sheetViews>
  <sheetFormatPr defaultRowHeight="15" x14ac:dyDescent="0.25"/>
  <cols>
    <col min="1" max="1" width="30.5703125" customWidth="1"/>
    <col min="2" max="2" width="10.42578125" bestFit="1" customWidth="1"/>
    <col min="8" max="9" width="9.42578125" bestFit="1" customWidth="1"/>
    <col min="11" max="11" width="8.5703125" bestFit="1" customWidth="1"/>
    <col min="12" max="12" width="8.5703125" customWidth="1"/>
    <col min="13" max="13" width="13" customWidth="1"/>
    <col min="14" max="15" width="10.42578125" bestFit="1" customWidth="1"/>
  </cols>
  <sheetData>
    <row r="1" spans="1:15" x14ac:dyDescent="0.25">
      <c r="A1" s="158" t="s">
        <v>136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5" x14ac:dyDescent="0.25">
      <c r="A2" s="114" t="s">
        <v>31</v>
      </c>
      <c r="B2" s="126">
        <f>'[1]Data Sheet'!B16</f>
        <v>42094</v>
      </c>
      <c r="C2" s="126">
        <f>'[1]Data Sheet'!C16</f>
        <v>42460</v>
      </c>
      <c r="D2" s="126">
        <f>'[1]Data Sheet'!D16</f>
        <v>42825</v>
      </c>
      <c r="E2" s="126">
        <f>'[1]Data Sheet'!E16</f>
        <v>43190</v>
      </c>
      <c r="F2" s="126">
        <f>'[1]Data Sheet'!F16</f>
        <v>43555</v>
      </c>
      <c r="G2" s="126">
        <f>'[1]Data Sheet'!G16</f>
        <v>43921</v>
      </c>
      <c r="H2" s="126">
        <f>'[1]Data Sheet'!H16</f>
        <v>44286</v>
      </c>
      <c r="I2" s="126">
        <f>'[1]Data Sheet'!I16</f>
        <v>44651</v>
      </c>
      <c r="J2" s="126">
        <f>'[1]Data Sheet'!J16</f>
        <v>45016</v>
      </c>
      <c r="K2" s="126">
        <f>'[1]Data Sheet'!K16</f>
        <v>45382</v>
      </c>
      <c r="L2" s="126">
        <v>45717</v>
      </c>
      <c r="M2" s="126" t="s">
        <v>108</v>
      </c>
      <c r="N2" s="126" t="s">
        <v>109</v>
      </c>
      <c r="O2" s="126" t="s">
        <v>110</v>
      </c>
    </row>
    <row r="3" spans="1:15" x14ac:dyDescent="0.25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</row>
    <row r="4" spans="1:15" x14ac:dyDescent="0.25">
      <c r="A4" t="s">
        <v>111</v>
      </c>
      <c r="C4" s="45">
        <f>IFERROR('Financial model'!C6,0)</f>
        <v>0.33163028332559219</v>
      </c>
      <c r="D4" s="45">
        <f>IFERROR('Financial model'!D6,0)</f>
        <v>0.3865829554702942</v>
      </c>
      <c r="E4" s="45">
        <f>IFERROR('Financial model'!E6,0)</f>
        <v>0.26790206272010741</v>
      </c>
      <c r="F4" s="45">
        <f>IFERROR('Financial model'!F6,0)</f>
        <v>0.32616890417300448</v>
      </c>
      <c r="G4" s="45">
        <f>IFERROR('Financial model'!G6,0)</f>
        <v>0.24320550541066166</v>
      </c>
      <c r="H4" s="45">
        <f>IFERROR('Financial model'!H6,0)</f>
        <v>-2.3786602486963515E-2</v>
      </c>
      <c r="I4" s="45">
        <f>IFERROR('Financial model'!I6,0)</f>
        <v>0.2774787360808646</v>
      </c>
      <c r="J4" s="45">
        <f>IFERROR('Financial model'!J6,0)</f>
        <v>0.38205210678674817</v>
      </c>
      <c r="K4" s="45">
        <f>IFERROR('Financial model'!K6,0)</f>
        <v>0.18539378141873031</v>
      </c>
      <c r="L4" s="45">
        <f>IFERROR('Financial model'!L6,0)</f>
        <v>0.16782502846821368</v>
      </c>
      <c r="N4" s="45">
        <f>IFERROR(AVERAGE(C4:K4),0)</f>
        <v>0.26406974809989325</v>
      </c>
      <c r="O4" s="45">
        <f>IFERROR(MEDIAN(C4:K4),0)</f>
        <v>0.2774787360808646</v>
      </c>
    </row>
    <row r="5" spans="1:15" x14ac:dyDescent="0.25">
      <c r="A5" t="s">
        <v>112</v>
      </c>
      <c r="C5" s="45">
        <f>IFERROR('Financial model'!C17/'Financial model'!B17-1,0)</f>
        <v>0.48223350253807107</v>
      </c>
      <c r="D5" s="45">
        <f>IFERROR('Financial model'!D17/'Financial model'!C17-1,0)</f>
        <v>0.48801369863013688</v>
      </c>
      <c r="E5" s="45">
        <f>IFERROR('Financial model'!E17/'Financial model'!D17-1,0)</f>
        <v>0.47525891829689293</v>
      </c>
      <c r="F5" s="45">
        <f>IFERROR('Financial model'!F17/'Financial model'!E17-1,0)</f>
        <v>0.14664586583463346</v>
      </c>
      <c r="G5" s="45">
        <f>IFERROR('Financial model'!G17/'Financial model'!F17-1,0)</f>
        <v>0.23401360544217686</v>
      </c>
      <c r="H5" s="45">
        <f>IFERROR('Financial model'!H17/'Financial model'!G17-1,0)</f>
        <v>-0.15931642778390298</v>
      </c>
      <c r="I5" s="45">
        <f>IFERROR('Financial model'!I17/'Financial model'!H17-1,0)</f>
        <v>0.38885245901639354</v>
      </c>
      <c r="J5" s="45">
        <f>IFERROR('Financial model'!J17/'Financial model'!I17-1,0)</f>
        <v>0.47686496694995273</v>
      </c>
      <c r="K5" s="45">
        <f>IFERROR('Financial model'!K17/'Financial model'!J17-1,0)</f>
        <v>0.1253196930946292</v>
      </c>
      <c r="L5" s="45">
        <f>IFERROR('Financial model'!L17/'Financial model'!K17-1,0)</f>
        <v>6.2784090909090873E-2</v>
      </c>
      <c r="N5" s="45">
        <f>IFERROR(AVERAGE(C5:K5),0)</f>
        <v>0.29532069800210931</v>
      </c>
      <c r="O5" s="45">
        <f>IFERROR(MEDIAN(C5:K5),0)</f>
        <v>0.38885245901639354</v>
      </c>
    </row>
    <row r="6" spans="1:15" x14ac:dyDescent="0.25">
      <c r="A6" t="s">
        <v>113</v>
      </c>
      <c r="C6" s="45">
        <f>IFERROR('Financial model'!C28/'Financial model'!B28-1,0)</f>
        <v>0.50785808394504084</v>
      </c>
      <c r="D6" s="45">
        <f>IFERROR('Financial model'!D28/'Financial model'!C28-1,0)</f>
        <v>0.49190201279450751</v>
      </c>
      <c r="E6" s="45">
        <f>IFERROR('Financial model'!E28/'Financial model'!D28-1,0)</f>
        <v>0.68699799196787148</v>
      </c>
      <c r="F6" s="45">
        <f>IFERROR('Financial model'!F28/'Financial model'!E28-1,0)</f>
        <v>0.11155334027674457</v>
      </c>
      <c r="G6" s="45">
        <f>IFERROR('Financial model'!G28/'Financial model'!F28-1,0)</f>
        <v>0.45986012113910912</v>
      </c>
      <c r="H6" s="45">
        <f>IFERROR('Financial model'!H28/'Financial model'!G28-1,0)</f>
        <v>-0.16147468958930267</v>
      </c>
      <c r="I6" s="45">
        <f>IFERROR('Financial model'!I28/'Financial model'!H28-1,0)</f>
        <v>0.35415793406353058</v>
      </c>
      <c r="J6" s="45">
        <f>IFERROR('Financial model'!J28/'Financial model'!I28-1,0)</f>
        <v>0.60662952196382425</v>
      </c>
      <c r="K6" s="45">
        <f>IFERROR('Financial model'!K28/'Financial model'!J28-1,0)</f>
        <v>5.8502751740255876E-2</v>
      </c>
      <c r="L6" s="45">
        <f>IFERROR('Financial model'!L28/'Financial model'!K28-1,0)</f>
        <v>7.518814842952426E-2</v>
      </c>
      <c r="N6" s="45">
        <f>IFERROR(AVERAGE(C6:K6),0)</f>
        <v>0.34622078536684231</v>
      </c>
      <c r="O6" s="45">
        <f>IFERROR(MEDIAN(C6:K6),0)</f>
        <v>0.45986012113910912</v>
      </c>
    </row>
    <row r="7" spans="1:15" x14ac:dyDescent="0.25">
      <c r="A7" t="s">
        <v>114</v>
      </c>
      <c r="C7" s="45">
        <f>IFERROR('Financial model'!C36/'Financial model'!B35-1,0)</f>
        <v>0</v>
      </c>
      <c r="D7" s="45">
        <f>IFERROR('Financial model'!D36/'Financial model'!C35-1,0)</f>
        <v>0</v>
      </c>
      <c r="E7" s="45">
        <f>IFERROR('Financial model'!E36/'Financial model'!D35-1,0)</f>
        <v>0</v>
      </c>
      <c r="F7" s="45">
        <f>IFERROR('Financial model'!F36/'Financial model'!E35-1,0)</f>
        <v>0</v>
      </c>
      <c r="G7" s="45">
        <f>IFERROR('Financial model'!G36/'Financial model'!F35-1,0)</f>
        <v>0</v>
      </c>
      <c r="H7" s="45">
        <f>IFERROR('Financial model'!H36/'Financial model'!G35-1,0)</f>
        <v>0</v>
      </c>
      <c r="I7" s="45">
        <f>IFERROR('Financial model'!I36/'Financial model'!H35-1,0)</f>
        <v>0</v>
      </c>
      <c r="J7" s="45">
        <f>IFERROR('Financial model'!J36/'Financial model'!I35-1,0)</f>
        <v>0</v>
      </c>
      <c r="K7" s="45">
        <f>IFERROR('Financial model'!K36/'Financial model'!J35-1,0)</f>
        <v>0</v>
      </c>
      <c r="L7" s="45">
        <f>IFERROR('Financial model'!L36/'Financial model'!K35-1,0)</f>
        <v>0</v>
      </c>
      <c r="N7" s="45">
        <f>IFERROR(AVERAGE(C7:K7),0)</f>
        <v>0</v>
      </c>
      <c r="O7" s="45">
        <f>IFERROR(MEDIAN(C7:K7),0)</f>
        <v>0</v>
      </c>
    </row>
    <row r="8" spans="1:15" x14ac:dyDescent="0.25">
      <c r="A8" s="120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</row>
    <row r="9" spans="1:15" x14ac:dyDescent="0.25">
      <c r="A9" t="s">
        <v>40</v>
      </c>
      <c r="B9" s="45">
        <f>IFERROR('Financial model'!B12,0)</f>
        <v>7.3695618516798261E-2</v>
      </c>
      <c r="C9" s="45">
        <f>IFERROR('Financial model'!C12,0)</f>
        <v>7.9293105452854326E-2</v>
      </c>
      <c r="D9" s="45">
        <f>IFERROR('Financial model'!D12,0)</f>
        <v>8.3598859634412215E-2</v>
      </c>
      <c r="E9" s="45">
        <f>IFERROR('Financial model'!E12,0)</f>
        <v>9.5297930031082598E-2</v>
      </c>
      <c r="F9" s="45">
        <f>IFERROR('Financial model'!F12,0)</f>
        <v>8.3877724031317005E-2</v>
      </c>
      <c r="G9" s="45">
        <f>IFERROR('Financial model'!G12,0)</f>
        <v>8.7765744083433614E-2</v>
      </c>
      <c r="H9" s="45">
        <f>IFERROR('Financial model'!H12,0)</f>
        <v>7.9672925997452432E-2</v>
      </c>
      <c r="I9" s="45">
        <f>IFERROR('Financial model'!I12,0)</f>
        <v>8.4142811193309741E-2</v>
      </c>
      <c r="J9" s="45">
        <f>IFERROR('Financial model'!J12,0)</f>
        <v>8.7669893874511268E-2</v>
      </c>
      <c r="K9" s="45">
        <f>IFERROR('Financial model'!K12,0)</f>
        <v>8.3460949464012252E-2</v>
      </c>
      <c r="L9" s="45">
        <f>IFERROR('Financial model'!L12,0)</f>
        <v>7.7519249520863448E-2</v>
      </c>
      <c r="N9" s="45">
        <f>IFERROR(AVERAGE(B9:K9),0)</f>
        <v>8.3847556227918382E-2</v>
      </c>
      <c r="O9" s="45">
        <f>IFERROR(MEDIAN(B9:K9),0)</f>
        <v>8.3738291832864603E-2</v>
      </c>
    </row>
    <row r="10" spans="1:15" x14ac:dyDescent="0.25">
      <c r="A10" t="s">
        <v>115</v>
      </c>
      <c r="B10" s="45">
        <f>IFERROR(('Financial model'!B11-'Financial model'!B14)/'Financial model'!B5,0)</f>
        <v>6.1000154822727977E-2</v>
      </c>
      <c r="C10" s="45">
        <f>IFERROR(('Financial model'!C11-'Financial model'!C14)/'Financial model'!C5,0)</f>
        <v>6.7899081502150918E-2</v>
      </c>
      <c r="D10" s="45">
        <f>IFERROR(('Financial model'!D11-'Financial model'!D14)/'Financial model'!D5,0)</f>
        <v>7.2866007043434516E-2</v>
      </c>
      <c r="E10" s="45">
        <f>IFERROR(('Financial model'!E11-'Financial model'!E14)/'Financial model'!E5,0)</f>
        <v>8.4782752463461411E-2</v>
      </c>
      <c r="F10" s="45">
        <f>IFERROR(('Financial model'!F11-'Financial model'!F14)/'Financial model'!F5,0)</f>
        <v>7.3305739789557678E-2</v>
      </c>
      <c r="G10" s="45">
        <f>IFERROR(('Financial model'!G11-'Financial model'!G14)/'Financial model'!G5,0)</f>
        <v>7.2763738467709588E-2</v>
      </c>
      <c r="H10" s="45">
        <f>IFERROR(('Financial model'!H11-'Financial model'!H14)/'Financial model'!H5,0)</f>
        <v>6.2661790689074251E-2</v>
      </c>
      <c r="I10" s="45">
        <f>IFERROR(('Financial model'!I11-'Financial model'!I14)/'Financial model'!I5,0)</f>
        <v>6.8124798970730135E-2</v>
      </c>
      <c r="J10" s="45">
        <f>IFERROR(('Financial model'!J11-'Financial model'!J14)/'Financial model'!J5,0)</f>
        <v>7.2798361571401973E-2</v>
      </c>
      <c r="K10" s="45">
        <f>IFERROR(('Financial model'!K11-'Financial model'!K14)/'Financial model'!K5,0)</f>
        <v>6.9109043075352414E-2</v>
      </c>
      <c r="L10" s="45">
        <f>IFERROR(('Financial model'!L11-'Financial model'!L14)/'Financial model'!L5,0)</f>
        <v>6.2892976026360917E-2</v>
      </c>
      <c r="N10" s="45">
        <f>IFERROR(AVERAGE(B10:K10),0)</f>
        <v>7.0531146839560077E-2</v>
      </c>
      <c r="O10" s="45">
        <f>IFERROR(MEDIAN(B10:K10),0)</f>
        <v>7.0936390771530994E-2</v>
      </c>
    </row>
    <row r="11" spans="1:15" x14ac:dyDescent="0.25">
      <c r="A11" t="s">
        <v>116</v>
      </c>
      <c r="B11" s="45">
        <f>IFERROR('Financial model'!B23,0)</f>
        <v>4.9852918408422355E-2</v>
      </c>
      <c r="C11" s="45">
        <f>IFERROR('Financial model'!C23,0)</f>
        <v>5.7318916405069177E-2</v>
      </c>
      <c r="D11" s="45">
        <f>IFERROR('Financial model'!D23,0)</f>
        <v>6.2636256917658895E-2</v>
      </c>
      <c r="E11" s="45">
        <f>IFERROR('Financial model'!E23,0)</f>
        <v>8.0814760928510018E-2</v>
      </c>
      <c r="F11" s="45">
        <f>IFERROR('Financial model'!F23,0)</f>
        <v>7.09619508302997E-2</v>
      </c>
      <c r="G11" s="45">
        <f>IFERROR('Financial model'!G23,0)</f>
        <v>6.9995988768551939E-2</v>
      </c>
      <c r="H11" s="45">
        <f>IFERROR('Financial model'!H23,0)</f>
        <v>6.0936023338948923E-2</v>
      </c>
      <c r="I11" s="45">
        <f>IFERROR('Financial model'!I23,0)</f>
        <v>6.638790607912512E-2</v>
      </c>
      <c r="J11" s="45">
        <f>IFERROR('Financial model'!J23,0)</f>
        <v>7.1239061627257488E-2</v>
      </c>
      <c r="K11" s="45">
        <f>IFERROR('Financial model'!K23,0)</f>
        <v>6.7970314524678999E-2</v>
      </c>
      <c r="L11" s="45">
        <f>IFERROR('Financial model'!L23,0)</f>
        <v>6.1732961231969335E-2</v>
      </c>
      <c r="N11" s="45">
        <f>IFERROR(AVERAGE(B11:K11),0)</f>
        <v>6.581140978285227E-2</v>
      </c>
      <c r="O11" s="45">
        <f>IFERROR(MEDIAN(B11:K11),0)</f>
        <v>6.7179110301902059E-2</v>
      </c>
    </row>
    <row r="12" spans="1:15" x14ac:dyDescent="0.25">
      <c r="A12" t="s">
        <v>117</v>
      </c>
      <c r="B12" s="45">
        <f>IFERROR('Financial model'!B29,0)</f>
        <v>3.2902926149558753E-2</v>
      </c>
      <c r="C12" s="45">
        <f>IFERROR('Financial model'!C29,0)</f>
        <v>3.725729566329497E-2</v>
      </c>
      <c r="D12" s="45">
        <f>IFERROR('Financial model'!D29,0)</f>
        <v>4.0087204427301695E-2</v>
      </c>
      <c r="E12" s="45">
        <f>IFERROR('Financial model'!E29,0)</f>
        <v>5.3337742212816612E-2</v>
      </c>
      <c r="F12" s="45">
        <f>IFERROR('Financial model'!F29,0)</f>
        <v>4.4706029023088817E-2</v>
      </c>
      <c r="G12" s="45">
        <f>IFERROR('Financial model'!G29,0)</f>
        <v>5.2496991576413958E-2</v>
      </c>
      <c r="H12" s="45">
        <f>IFERROR('Financial model'!H29,0)</f>
        <v>4.5092657270822206E-2</v>
      </c>
      <c r="I12" s="45">
        <f>IFERROR('Financial model'!I29,0)</f>
        <v>4.7799292376970087E-2</v>
      </c>
      <c r="J12" s="45">
        <f>IFERROR('Financial model'!J29,0)</f>
        <v>5.5566468069260841E-2</v>
      </c>
      <c r="K12" s="45">
        <f>IFERROR('Financial model'!K29,0)</f>
        <v>4.9618329603015675E-2</v>
      </c>
      <c r="L12" s="45">
        <f>IFERROR('Financial model'!L29,0)</f>
        <v>4.5682391311657307E-2</v>
      </c>
      <c r="N12" s="45">
        <f>IFERROR(AVERAGE(B12:K12),0)</f>
        <v>4.5886493637254368E-2</v>
      </c>
      <c r="O12" s="45">
        <f>IFERROR(MEDIAN(B12:K12),0)</f>
        <v>4.6445974823896147E-2</v>
      </c>
    </row>
    <row r="13" spans="1:15" x14ac:dyDescent="0.25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7"/>
    </row>
    <row r="14" spans="1:15" x14ac:dyDescent="0.25">
      <c r="A14" t="s">
        <v>42</v>
      </c>
      <c r="B14" s="45">
        <f>IFERROR('Financial model'!B15,0)</f>
        <v>1.269546369407029E-2</v>
      </c>
      <c r="C14" s="45">
        <f>IFERROR('Financial model'!C15,0)</f>
        <v>1.1394023950703406E-2</v>
      </c>
      <c r="D14" s="45">
        <f>IFERROR('Financial model'!D15,0)</f>
        <v>1.0732852590977695E-2</v>
      </c>
      <c r="E14" s="45">
        <f>IFERROR('Financial model'!E15,0)</f>
        <v>1.0515177567621188E-2</v>
      </c>
      <c r="F14" s="45">
        <f>IFERROR('Financial model'!F15,0)</f>
        <v>1.0571984241759338E-2</v>
      </c>
      <c r="G14" s="45">
        <f>IFERROR('Financial model'!G15,0)</f>
        <v>1.5002005615724028E-2</v>
      </c>
      <c r="H14" s="45">
        <f>IFERROR('Financial model'!H15,0)</f>
        <v>1.7011135308378191E-2</v>
      </c>
      <c r="I14" s="45">
        <f>IFERROR('Financial model'!I15,0)</f>
        <v>1.6018012222579609E-2</v>
      </c>
      <c r="J14" s="45">
        <f>IFERROR('Financial model'!J15,0)</f>
        <v>1.4871532303109291E-2</v>
      </c>
      <c r="K14" s="45">
        <f>IFERROR('Financial model'!K15,0)</f>
        <v>1.4351906388659835E-2</v>
      </c>
      <c r="L14" s="45">
        <f>IFERROR('Financial model'!L15,0)</f>
        <v>1.4626273494502538E-2</v>
      </c>
      <c r="N14" s="45">
        <f>IFERROR(AVERAGE(B14:K14),0)</f>
        <v>1.3316409388358286E-2</v>
      </c>
      <c r="O14" s="45">
        <f>IFERROR(MEDIAN(B14:K14),0)</f>
        <v>1.3523685041365061E-2</v>
      </c>
    </row>
    <row r="15" spans="1:15" x14ac:dyDescent="0.25">
      <c r="A15" t="s">
        <v>118</v>
      </c>
      <c r="B15" s="45">
        <f t="shared" ref="B15:L15" si="0">B10</f>
        <v>6.1000154822727977E-2</v>
      </c>
      <c r="C15" s="45">
        <f t="shared" si="0"/>
        <v>6.7899081502150918E-2</v>
      </c>
      <c r="D15" s="45">
        <f t="shared" si="0"/>
        <v>7.2866007043434516E-2</v>
      </c>
      <c r="E15" s="45">
        <f t="shared" si="0"/>
        <v>8.4782752463461411E-2</v>
      </c>
      <c r="F15" s="45">
        <f t="shared" si="0"/>
        <v>7.3305739789557678E-2</v>
      </c>
      <c r="G15" s="45">
        <f t="shared" si="0"/>
        <v>7.2763738467709588E-2</v>
      </c>
      <c r="H15" s="45">
        <f t="shared" si="0"/>
        <v>6.2661790689074251E-2</v>
      </c>
      <c r="I15" s="45">
        <f t="shared" si="0"/>
        <v>6.8124798970730135E-2</v>
      </c>
      <c r="J15" s="45">
        <f t="shared" si="0"/>
        <v>7.2798361571401973E-2</v>
      </c>
      <c r="K15" s="45">
        <f t="shared" si="0"/>
        <v>6.9109043075352414E-2</v>
      </c>
      <c r="L15" s="45">
        <f t="shared" si="0"/>
        <v>6.2892976026360917E-2</v>
      </c>
      <c r="N15" s="45">
        <f>IFERROR(AVERAGE(B15:K15),0)</f>
        <v>7.0531146839560077E-2</v>
      </c>
      <c r="O15" s="45">
        <f>IFERROR(MEDIAN(B15:K15),0)</f>
        <v>7.0936390771530994E-2</v>
      </c>
    </row>
    <row r="16" spans="1:15" x14ac:dyDescent="0.25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7"/>
      <c r="O16" s="127"/>
    </row>
    <row r="17" spans="1:15" x14ac:dyDescent="0.25">
      <c r="A17" t="s">
        <v>119</v>
      </c>
      <c r="B17" s="45">
        <v>0.21</v>
      </c>
      <c r="C17" s="45">
        <v>0.24</v>
      </c>
      <c r="D17" s="45">
        <v>0.21</v>
      </c>
      <c r="E17" s="45">
        <v>0.24</v>
      </c>
      <c r="F17" s="45">
        <v>0.26</v>
      </c>
      <c r="G17" s="45">
        <v>0.2</v>
      </c>
      <c r="H17" s="45">
        <v>0.13</v>
      </c>
      <c r="I17" s="45">
        <v>0.16</v>
      </c>
      <c r="J17" s="45">
        <v>0.2</v>
      </c>
      <c r="K17" s="45">
        <v>0.19</v>
      </c>
      <c r="L17" s="45">
        <v>0.18</v>
      </c>
      <c r="N17" s="45">
        <f>IFERROR(AVERAGE(B17:K17),0)</f>
        <v>0.20399999999999996</v>
      </c>
      <c r="O17" s="45">
        <f>IFERROR(MEDIAN(B17:K17),0)</f>
        <v>0.20500000000000002</v>
      </c>
    </row>
    <row r="18" spans="1:15" x14ac:dyDescent="0.25">
      <c r="A18" t="s">
        <v>120</v>
      </c>
      <c r="B18" s="45">
        <f>IFERROR('Financial model'!B39,0)</f>
        <v>1</v>
      </c>
      <c r="C18" s="45">
        <f>IFERROR('Financial model'!C39,0)</f>
        <v>1</v>
      </c>
      <c r="D18" s="45">
        <f>IFERROR('Financial model'!D39,0)</f>
        <v>1</v>
      </c>
      <c r="E18" s="45">
        <f>IFERROR('Financial model'!E39,0)</f>
        <v>1</v>
      </c>
      <c r="F18" s="45">
        <f>IFERROR('Financial model'!F39,0)</f>
        <v>1</v>
      </c>
      <c r="G18" s="45">
        <f>IFERROR('Financial model'!G39,0)</f>
        <v>1</v>
      </c>
      <c r="H18" s="45">
        <f>IFERROR('Financial model'!H39,0)</f>
        <v>1</v>
      </c>
      <c r="I18" s="45">
        <f>IFERROR('Financial model'!I39,0)</f>
        <v>1</v>
      </c>
      <c r="J18" s="45">
        <f>IFERROR('Financial model'!J39,0)</f>
        <v>1</v>
      </c>
      <c r="K18" s="45">
        <f>IFERROR('Financial model'!K39,0)</f>
        <v>1</v>
      </c>
      <c r="L18" s="45">
        <f>IFERROR('Financial model'!L39,0)</f>
        <v>1</v>
      </c>
      <c r="N18" s="45">
        <f>IFERROR(AVERAGE(B18:K18),0)</f>
        <v>1</v>
      </c>
      <c r="O18" s="45">
        <f>IFERROR(MEDIAN(B18:K18),0)</f>
        <v>1</v>
      </c>
    </row>
    <row r="19" spans="1:15" x14ac:dyDescent="0.25">
      <c r="A19" t="s">
        <v>121</v>
      </c>
      <c r="B19" s="45">
        <f>IFERROR('Financial model'!B28/SUM('Financial model'!B43:B44),0)</f>
        <v>0.17709999999999998</v>
      </c>
      <c r="C19" s="45">
        <f>IFERROR('Financial model'!C28/SUM('Financial model'!C43:C44),0)</f>
        <v>0.21068376068376071</v>
      </c>
      <c r="D19" s="45">
        <f>IFERROR('Financial model'!D28/SUM('Financial model'!D43:D44),0)</f>
        <v>0.12443519000520561</v>
      </c>
      <c r="E19" s="45">
        <f>IFERROR('Financial model'!E28/SUM('Financial model'!E43:E44),0)</f>
        <v>0.17273934461340759</v>
      </c>
      <c r="F19" s="45">
        <f>IFERROR('Financial model'!F28/SUM('Financial model'!F43:F44),0)</f>
        <v>0.16045999642026132</v>
      </c>
      <c r="G19" s="45">
        <f>IFERROR('Financial model'!G28/SUM('Financial model'!G43:G44),0)</f>
        <v>0.11811823104693141</v>
      </c>
      <c r="H19" s="45">
        <f>IFERROR('Financial model'!H28/SUM('Financial model'!H43:H44),0)</f>
        <v>9.007058437294814E-2</v>
      </c>
      <c r="I19" s="45">
        <f>IFERROR('Financial model'!I28/SUM('Financial model'!I43:I44),0)</f>
        <v>0.10864746307939757</v>
      </c>
      <c r="J19" s="45">
        <f>IFERROR('Financial model'!J28/SUM('Financial model'!J43:J44),0)</f>
        <v>0.14849981340962806</v>
      </c>
      <c r="K19" s="45">
        <f>IFERROR('Financial model'!K28/SUM('Financial model'!K43:K44),0)</f>
        <v>0.13516204941704996</v>
      </c>
      <c r="L19" s="45">
        <f>IFERROR('Financial model'!L28/SUM('Financial model'!L43:L44),0)</f>
        <v>0.12680978159417583</v>
      </c>
      <c r="N19" s="45">
        <f>IFERROR(AVERAGE(B19:K19),0)</f>
        <v>0.14459164330485905</v>
      </c>
      <c r="O19" s="45">
        <f>IFERROR(MEDIAN(B19:K19),0)</f>
        <v>0.14183093141333902</v>
      </c>
    </row>
    <row r="20" spans="1:15" x14ac:dyDescent="0.25">
      <c r="A20" t="s">
        <v>122</v>
      </c>
      <c r="B20" s="45">
        <f>IFERROR(B18*B19,0)</f>
        <v>0.17709999999999998</v>
      </c>
      <c r="C20" s="45">
        <f t="shared" ref="C20:L20" si="1">IFERROR(C18*C19,0)</f>
        <v>0.21068376068376071</v>
      </c>
      <c r="D20" s="45">
        <f t="shared" si="1"/>
        <v>0.12443519000520561</v>
      </c>
      <c r="E20" s="45">
        <f t="shared" si="1"/>
        <v>0.17273934461340759</v>
      </c>
      <c r="F20" s="45">
        <f t="shared" si="1"/>
        <v>0.16045999642026132</v>
      </c>
      <c r="G20" s="45">
        <f t="shared" si="1"/>
        <v>0.11811823104693141</v>
      </c>
      <c r="H20" s="45">
        <f t="shared" si="1"/>
        <v>9.007058437294814E-2</v>
      </c>
      <c r="I20" s="45">
        <f t="shared" si="1"/>
        <v>0.10864746307939757</v>
      </c>
      <c r="J20" s="45">
        <f t="shared" si="1"/>
        <v>0.14849981340962806</v>
      </c>
      <c r="K20" s="45">
        <f t="shared" si="1"/>
        <v>0.13516204941704996</v>
      </c>
      <c r="L20" s="45">
        <f t="shared" si="1"/>
        <v>0.12680978159417583</v>
      </c>
      <c r="N20" s="45">
        <f>IFERROR(AVERAGE(B20:K20),0)</f>
        <v>0.14459164330485905</v>
      </c>
      <c r="O20" s="45">
        <f>IFERROR(MEDIAN(B20:K20),0)</f>
        <v>0.14183093141333902</v>
      </c>
    </row>
    <row r="21" spans="1:15" x14ac:dyDescent="0.25">
      <c r="A21" t="s">
        <v>123</v>
      </c>
      <c r="B21" s="46">
        <f>'Financial model'!B17/'Financial model'!B19</f>
        <v>5.4722222222222223</v>
      </c>
      <c r="C21" s="46">
        <f>'Financial model'!C17/'Financial model'!C19</f>
        <v>6.4175824175824179</v>
      </c>
      <c r="D21" s="46">
        <f>'Financial model'!D17/'Financial model'!D19</f>
        <v>7.1229508196721314</v>
      </c>
      <c r="E21" s="46">
        <f>'Financial model'!E17/'Financial model'!E19</f>
        <v>21.366666666666667</v>
      </c>
      <c r="F21" s="46">
        <f>'Financial model'!F17/'Financial model'!F19</f>
        <v>31.276595744680851</v>
      </c>
      <c r="G21" s="46">
        <f>'Financial model'!G17/'Financial model'!G19</f>
        <v>26.289855072463769</v>
      </c>
      <c r="H21" s="46">
        <f>'Financial model'!H17/'Financial model'!H19</f>
        <v>36.30952380952381</v>
      </c>
      <c r="I21" s="46">
        <f>'Financial model'!I17/'Financial model'!I19</f>
        <v>39.222222222222221</v>
      </c>
      <c r="J21" s="46">
        <f>'Financial model'!J17/'Financial model'!J19</f>
        <v>46.686567164179102</v>
      </c>
      <c r="K21" s="46">
        <f>'Financial model'!K17/'Financial model'!K19</f>
        <v>60.689655172413794</v>
      </c>
      <c r="L21" s="46">
        <f>'Financial model'!L17/'Financial model'!L19</f>
        <v>54.217391304347828</v>
      </c>
      <c r="N21" s="46">
        <f>IFERROR(AVERAGE(B21:K21),0)</f>
        <v>28.085384131162698</v>
      </c>
      <c r="O21" s="46">
        <f>IFERROR(MEDIAN(B21:K21),0)</f>
        <v>28.78322540857231</v>
      </c>
    </row>
    <row r="22" spans="1:15" x14ac:dyDescent="0.2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7"/>
      <c r="O22" s="127"/>
    </row>
    <row r="23" spans="1:15" x14ac:dyDescent="0.25">
      <c r="A23" t="s">
        <v>124</v>
      </c>
      <c r="B23" s="46">
        <f>IFERROR('Financial model'!B5/'Financial model'!B55,0)</f>
        <v>922.71428571428567</v>
      </c>
      <c r="C23" s="46">
        <f>IFERROR('Financial model'!C5/'Financial model'!C55,0)</f>
        <v>1075.125</v>
      </c>
      <c r="D23" s="46">
        <f>IFERROR('Financial model'!D5/'Financial model'!D55,0)</f>
        <v>567.90476190476193</v>
      </c>
      <c r="E23" s="46">
        <f>IFERROR('Financial model'!E5/'Financial model'!E55,0)</f>
        <v>444.73529411764707</v>
      </c>
      <c r="F23" s="46">
        <f>IFERROR('Financial model'!F5/'Financial model'!F55,0)</f>
        <v>313.328125</v>
      </c>
      <c r="G23" s="46">
        <f>IFERROR('Financial model'!G5/'Financial model'!G55,0)</f>
        <v>1246.5</v>
      </c>
      <c r="H23" s="46">
        <f>IFERROR('Financial model'!H5/'Financial model'!H55,0)</f>
        <v>553.11363636363637</v>
      </c>
      <c r="I23" s="46">
        <f>IFERROR('Financial model'!I5/'Financial model'!I55,0)</f>
        <v>464.02985074626866</v>
      </c>
      <c r="J23" s="46">
        <f>IFERROR('Financial model'!J5/'Financial model'!J55,0)</f>
        <v>693.0322580645161</v>
      </c>
      <c r="K23" s="46">
        <f>IFERROR('Financial model'!K5/'Financial model'!K55,0)</f>
        <v>306.8313253012048</v>
      </c>
      <c r="L23" s="46">
        <f>IFERROR('Financial model'!L5/'Financial model'!L55,0)</f>
        <v>386.24675324675326</v>
      </c>
      <c r="N23" s="46">
        <f>IFERROR(AVERAGE(B23:K23),0)</f>
        <v>658.73145372123201</v>
      </c>
      <c r="O23" s="46">
        <f>IFERROR(MEDIAN(B23:K23),0)</f>
        <v>560.50919913419921</v>
      </c>
    </row>
    <row r="24" spans="1:15" x14ac:dyDescent="0.25">
      <c r="A24" t="s">
        <v>125</v>
      </c>
      <c r="B24" s="46">
        <f>IFERROR('Financial model'!B5/'Financial model'!B46,0)</f>
        <v>25.733067729083665</v>
      </c>
      <c r="C24" s="46">
        <f>IFERROR('Financial model'!C5/'Financial model'!C46,0)</f>
        <v>22.110539845758353</v>
      </c>
      <c r="D24" s="46">
        <f>IFERROR('Financial model'!D5/'Financial model'!D46,0)</f>
        <v>24.794178794178794</v>
      </c>
      <c r="E24" s="46">
        <f>IFERROR('Financial model'!E5/'Financial model'!E46,0)</f>
        <v>28.001851851851853</v>
      </c>
      <c r="F24" s="46">
        <f>IFERROR('Financial model'!F5/'Financial model'!F46,0)</f>
        <v>27.890125173852574</v>
      </c>
      <c r="G24" s="46">
        <f>IFERROR('Financial model'!G5/'Financial model'!G46,0)</f>
        <v>37.601809954751133</v>
      </c>
      <c r="H24" s="46">
        <f>IFERROR('Financial model'!H5/'Financial model'!H46,0)</f>
        <v>22.555143651529193</v>
      </c>
      <c r="I24" s="46">
        <f>IFERROR('Financial model'!I5/'Financial model'!I46,0)</f>
        <v>27.129144851657941</v>
      </c>
      <c r="J24" s="46">
        <f>IFERROR('Financial model'!J5/'Financial model'!J46,0)</f>
        <v>31.068691250903832</v>
      </c>
      <c r="K24" s="46">
        <f>IFERROR('Financial model'!K5/'Financial model'!K46,0)</f>
        <v>27.049389272437601</v>
      </c>
      <c r="L24" s="46">
        <f>IFERROR('Financial model'!L5/'Financial model'!L46,0)</f>
        <v>28.707528957528957</v>
      </c>
      <c r="N24" s="46">
        <f>IFERROR(AVERAGE(B24:K24),0)</f>
        <v>27.393394237600496</v>
      </c>
      <c r="O24" s="46">
        <f>IFERROR(MEDIAN(B24:K24),0)</f>
        <v>27.089267062047771</v>
      </c>
    </row>
    <row r="25" spans="1:15" x14ac:dyDescent="0.25">
      <c r="A25" t="s">
        <v>126</v>
      </c>
      <c r="B25" s="46">
        <f>IFERROR('Financial model'!B5/'Financial model'!B56,0)</f>
        <v>11.939001848428836</v>
      </c>
      <c r="C25" s="46">
        <f>IFERROR('Financial model'!C5/'Financial model'!C56,0)</f>
        <v>12.799107142857142</v>
      </c>
      <c r="D25" s="46">
        <f>IFERROR('Financial model'!D5/'Financial model'!D56,0)</f>
        <v>12.580168776371307</v>
      </c>
      <c r="E25" s="46">
        <f>IFERROR('Financial model'!E5/'Financial model'!E56,0)</f>
        <v>13.001719690455719</v>
      </c>
      <c r="F25" s="46">
        <f>IFERROR('Financial model'!F5/'Financial model'!F56,0)</f>
        <v>12.463020509633312</v>
      </c>
      <c r="G25" s="46">
        <f>IFERROR('Financial model'!G5/'Financial model'!G56,0)</f>
        <v>12.804314329738059</v>
      </c>
      <c r="H25" s="46">
        <f>IFERROR('Financial model'!H5/'Financial model'!H56,0)</f>
        <v>10.826067615658364</v>
      </c>
      <c r="I25" s="46">
        <f>IFERROR('Financial model'!I5/'Financial model'!I56,0)</f>
        <v>11.334305504921618</v>
      </c>
      <c r="J25" s="46">
        <f>IFERROR('Financial model'!J5/'Financial model'!J56,0)</f>
        <v>13.249460376194881</v>
      </c>
      <c r="K25" s="46">
        <f>IFERROR('Financial model'!K5/'Financial model'!K56,0)</f>
        <v>12.970206264323911</v>
      </c>
      <c r="L25" s="46">
        <f>IFERROR('Financial model'!L5/'Financial model'!L56,0)</f>
        <v>11.792624900872324</v>
      </c>
      <c r="N25" s="46">
        <f>IFERROR(AVERAGE(B25:K25),0)</f>
        <v>12.396737205858313</v>
      </c>
      <c r="O25" s="46">
        <f>IFERROR(MEDIAN(B25:K25),0)</f>
        <v>12.689637959614224</v>
      </c>
    </row>
    <row r="26" spans="1:15" x14ac:dyDescent="0.25">
      <c r="A26" t="s">
        <v>127</v>
      </c>
      <c r="B26" s="46">
        <f>IFERROR('Financial model'!B5/'Financial model'!B49,0)</f>
        <v>4.2270942408376966</v>
      </c>
      <c r="C26" s="46">
        <f>IFERROR('Financial model'!C5/'Financial model'!C49,0)</f>
        <v>4.107449856733524</v>
      </c>
      <c r="D26" s="46">
        <f>IFERROR('Financial model'!D5/'Financial model'!D49,0)</f>
        <v>4.6260667183863458</v>
      </c>
      <c r="E26" s="46">
        <f>IFERROR('Financial model'!E5/'Financial model'!E49,0)</f>
        <v>4.4473529411764705</v>
      </c>
      <c r="F26" s="46">
        <f>IFERROR('Financial model'!F5/'Financial model'!F49,0)</f>
        <v>4.5575000000000001</v>
      </c>
      <c r="G26" s="46">
        <f>IFERROR('Financial model'!G5/'Financial model'!G49,0)</f>
        <v>4.1913248150638873</v>
      </c>
      <c r="H26" s="46">
        <f>IFERROR('Financial model'!H5/'Financial model'!H49,0)</f>
        <v>3.4722499643315738</v>
      </c>
      <c r="I26" s="46">
        <f>IFERROR('Financial model'!I5/'Financial model'!I49,0)</f>
        <v>3.3574514038876888</v>
      </c>
      <c r="J26" s="46">
        <f>IFERROR('Financial model'!J5/'Financial model'!J49,0)</f>
        <v>3.7890652557319222</v>
      </c>
      <c r="K26" s="46">
        <f>IFERROR('Financial model'!K5/'Financial model'!K49,0)</f>
        <v>3.7967946328736488</v>
      </c>
      <c r="L26" s="46">
        <f>IFERROR('Financial model'!L5/'Financial model'!L49,0)</f>
        <v>3.6703689991361226</v>
      </c>
      <c r="N26" s="46">
        <f>IFERROR(AVERAGE(B26:K26),0)</f>
        <v>4.0572349829022754</v>
      </c>
      <c r="O26" s="46">
        <f>IFERROR(MEDIAN(B26:K26),0)</f>
        <v>4.1493873358987052</v>
      </c>
    </row>
    <row r="27" spans="1:15" x14ac:dyDescent="0.25">
      <c r="A27" t="s">
        <v>128</v>
      </c>
      <c r="B27" s="46">
        <f>IFERROR('Financial model'!B5/SUM('Financial model'!B43:B44),0)</f>
        <v>5.3825000000000003</v>
      </c>
      <c r="C27" s="46">
        <f>IFERROR('Financial model'!C5/SUM('Financial model'!C43:C44),0)</f>
        <v>5.6548323471400392</v>
      </c>
      <c r="D27" s="46">
        <f>IFERROR('Financial model'!D5/SUM('Financial model'!D43:D44),0)</f>
        <v>3.1041124414367518</v>
      </c>
      <c r="E27" s="46">
        <f>IFERROR('Financial model'!E5/SUM('Financial model'!E43:E44),0)</f>
        <v>3.2385949882201754</v>
      </c>
      <c r="F27" s="46">
        <f>IFERROR('Financial model'!F5/SUM('Financial model'!F43:F44),0)</f>
        <v>3.5892249865759798</v>
      </c>
      <c r="G27" s="46">
        <f>IFERROR('Financial model'!G5/SUM('Financial model'!G43:G44),0)</f>
        <v>2.25</v>
      </c>
      <c r="H27" s="46">
        <f>IFERROR('Financial model'!H5/SUM('Financial model'!H43:H44),0)</f>
        <v>1.9974556795797767</v>
      </c>
      <c r="I27" s="46">
        <f>IFERROR('Financial model'!I5/SUM('Financial model'!I43:I44),0)</f>
        <v>2.2729931276502411</v>
      </c>
      <c r="J27" s="46">
        <f>IFERROR('Financial model'!J5/SUM('Financial model'!J43:J44),0)</f>
        <v>2.6724717004602563</v>
      </c>
      <c r="K27" s="46">
        <f>IFERROR('Financial model'!K5/SUM('Financial model'!K43:K44),0)</f>
        <v>2.7240346561129534</v>
      </c>
      <c r="L27" s="46">
        <f>IFERROR('Financial model'!L5/SUM('Financial model'!L43:L44),0)</f>
        <v>2.7759006906850847</v>
      </c>
      <c r="N27" s="46">
        <f>IFERROR(AVERAGE(B27:K27),0)</f>
        <v>3.2886219927176179</v>
      </c>
      <c r="O27" s="46">
        <f>IFERROR(MEDIAN(B27:K27),0)</f>
        <v>2.9140735487748524</v>
      </c>
    </row>
    <row r="28" spans="1:15" x14ac:dyDescent="0.25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7"/>
      <c r="O28" s="127"/>
    </row>
    <row r="29" spans="1:15" x14ac:dyDescent="0.25">
      <c r="A29" t="s">
        <v>129</v>
      </c>
      <c r="B29" s="43">
        <f>IFERROR(365/B23,0)</f>
        <v>0.39557206997987304</v>
      </c>
      <c r="C29" s="43">
        <f t="shared" ref="C29:L31" si="2">IFERROR(365/C23,0)</f>
        <v>0.33949540751075458</v>
      </c>
      <c r="D29" s="43">
        <f t="shared" si="2"/>
        <v>0.64271339929565652</v>
      </c>
      <c r="E29" s="43">
        <f t="shared" si="2"/>
        <v>0.82071291581244621</v>
      </c>
      <c r="F29" s="43">
        <f t="shared" si="2"/>
        <v>1.1649129806014062</v>
      </c>
      <c r="G29" s="43">
        <f t="shared" si="2"/>
        <v>0.29281989570798234</v>
      </c>
      <c r="H29" s="43">
        <f t="shared" si="2"/>
        <v>0.65990056292887367</v>
      </c>
      <c r="I29" s="43">
        <f t="shared" si="2"/>
        <v>0.78658732711482793</v>
      </c>
      <c r="J29" s="43">
        <f t="shared" si="2"/>
        <v>0.52667101098491909</v>
      </c>
      <c r="K29" s="43">
        <f t="shared" si="2"/>
        <v>1.189578670436251</v>
      </c>
      <c r="L29" s="43">
        <f t="shared" si="2"/>
        <v>0.9449917622137789</v>
      </c>
      <c r="N29" s="43">
        <f>IFERROR(AVERAGE(B29:K29),0)</f>
        <v>0.681896424037299</v>
      </c>
      <c r="O29" s="43">
        <f>IFERROR(MEDIAN(B29:K29),0)</f>
        <v>0.65130698111226515</v>
      </c>
    </row>
    <row r="30" spans="1:15" x14ac:dyDescent="0.25">
      <c r="A30" t="s">
        <v>130</v>
      </c>
      <c r="B30" s="43">
        <f>IFERROR(365/B24,0)</f>
        <v>14.184084223564019</v>
      </c>
      <c r="C30" s="43">
        <f t="shared" si="2"/>
        <v>16.507964190210441</v>
      </c>
      <c r="D30" s="43">
        <f t="shared" si="2"/>
        <v>14.721197383867182</v>
      </c>
      <c r="E30" s="43">
        <f t="shared" si="2"/>
        <v>13.034852192315322</v>
      </c>
      <c r="F30" s="43">
        <f t="shared" si="2"/>
        <v>13.087069266443923</v>
      </c>
      <c r="G30" s="43">
        <f t="shared" si="2"/>
        <v>9.7069795427196137</v>
      </c>
      <c r="H30" s="43">
        <f t="shared" si="2"/>
        <v>16.182561531823971</v>
      </c>
      <c r="I30" s="43">
        <f t="shared" si="2"/>
        <v>13.454165326471534</v>
      </c>
      <c r="J30" s="43">
        <f t="shared" si="2"/>
        <v>11.748161422453919</v>
      </c>
      <c r="K30" s="43">
        <f t="shared" si="2"/>
        <v>13.493835159225664</v>
      </c>
      <c r="L30" s="43">
        <f t="shared" si="2"/>
        <v>12.714434618876298</v>
      </c>
      <c r="N30" s="43">
        <f>IFERROR(AVERAGE(B30:K30),0)</f>
        <v>13.612087023909558</v>
      </c>
      <c r="O30" s="43">
        <f>IFERROR(MEDIAN(B30:K30),0)</f>
        <v>13.4740002428486</v>
      </c>
    </row>
    <row r="31" spans="1:15" x14ac:dyDescent="0.25">
      <c r="A31" t="s">
        <v>131</v>
      </c>
      <c r="B31" s="43">
        <f>IFERROR(365/B25,0)</f>
        <v>30.572069979873046</v>
      </c>
      <c r="C31" s="43">
        <f t="shared" si="2"/>
        <v>28.517614230903384</v>
      </c>
      <c r="D31" s="43">
        <f t="shared" si="2"/>
        <v>29.013919168203927</v>
      </c>
      <c r="E31" s="43">
        <f t="shared" si="2"/>
        <v>28.073209443819852</v>
      </c>
      <c r="F31" s="43">
        <f t="shared" si="2"/>
        <v>29.286640402932232</v>
      </c>
      <c r="G31" s="43">
        <f t="shared" si="2"/>
        <v>28.506016847172081</v>
      </c>
      <c r="H31" s="43">
        <f t="shared" si="2"/>
        <v>33.714919669638817</v>
      </c>
      <c r="I31" s="43">
        <f t="shared" si="2"/>
        <v>32.203119974268255</v>
      </c>
      <c r="J31" s="43">
        <f t="shared" si="2"/>
        <v>27.548291752001489</v>
      </c>
      <c r="K31" s="43">
        <f t="shared" si="2"/>
        <v>28.141418306043114</v>
      </c>
      <c r="L31" s="43">
        <f t="shared" si="2"/>
        <v>30.95154836757338</v>
      </c>
      <c r="N31" s="43">
        <f>IFERROR(AVERAGE(B31:K31),0)</f>
        <v>29.55772197748562</v>
      </c>
      <c r="O31" s="43">
        <f>IFERROR(MEDIAN(B31:K31),0)</f>
        <v>28.765766699553655</v>
      </c>
    </row>
    <row r="32" spans="1:15" x14ac:dyDescent="0.25">
      <c r="A32" t="s">
        <v>132</v>
      </c>
      <c r="B32" s="43">
        <f>SUM(B29,B31)-B30</f>
        <v>16.783557826288899</v>
      </c>
      <c r="C32" s="43">
        <f t="shared" ref="C32:L32" si="3">SUM(C29,C31)-C30</f>
        <v>12.349145448203696</v>
      </c>
      <c r="D32" s="43">
        <f t="shared" si="3"/>
        <v>14.9354351836324</v>
      </c>
      <c r="E32" s="43">
        <f t="shared" si="3"/>
        <v>15.859070167316977</v>
      </c>
      <c r="F32" s="43">
        <f t="shared" si="3"/>
        <v>17.364484117089717</v>
      </c>
      <c r="G32" s="43">
        <f t="shared" si="3"/>
        <v>19.091857200160447</v>
      </c>
      <c r="H32" s="43">
        <f t="shared" si="3"/>
        <v>18.192258700743722</v>
      </c>
      <c r="I32" s="43">
        <f t="shared" si="3"/>
        <v>19.535541974911553</v>
      </c>
      <c r="J32" s="43">
        <f t="shared" si="3"/>
        <v>16.326801340532491</v>
      </c>
      <c r="K32" s="43">
        <f t="shared" si="3"/>
        <v>15.837161817253701</v>
      </c>
      <c r="L32" s="43">
        <f t="shared" si="3"/>
        <v>19.182105510910858</v>
      </c>
      <c r="N32" s="43">
        <f>IFERROR(AVERAGE(B32:K32),0)</f>
        <v>16.627531377613359</v>
      </c>
      <c r="O32" s="43">
        <f>IFERROR(MEDIAN(B32:K32),0)</f>
        <v>16.555179583410695</v>
      </c>
    </row>
    <row r="33" spans="1:15" x14ac:dyDescent="0.25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7"/>
      <c r="O33" s="127"/>
    </row>
    <row r="34" spans="1:15" x14ac:dyDescent="0.25">
      <c r="A34" t="s">
        <v>133</v>
      </c>
      <c r="B34" s="45">
        <f>IFERROR('Financial model'!B66/'Financial model'!B5,0)</f>
        <v>3.4370645610775664E-2</v>
      </c>
      <c r="C34" s="45">
        <f>IFERROR('Financial model'!C66/'Financial model'!C5,0)</f>
        <v>5.0342983374026276E-2</v>
      </c>
      <c r="D34" s="45">
        <f>IFERROR('Financial model'!D66/'Financial model'!D5,0)</f>
        <v>3.8151936944491031E-2</v>
      </c>
      <c r="E34" s="45">
        <f>IFERROR('Financial model'!E66/'Financial model'!E5,0)</f>
        <v>4.8277230341908603E-2</v>
      </c>
      <c r="F34" s="45">
        <f>IFERROR('Financial model'!F66/'Financial model'!F5,0)</f>
        <v>4.0243355108961251E-2</v>
      </c>
      <c r="G34" s="45">
        <f>IFERROR('Financial model'!G66/'Financial model'!G5,0)</f>
        <v>5.1343762535098272E-2</v>
      </c>
      <c r="H34" s="45">
        <f>IFERROR('Financial model'!H66/'Financial model'!H5,0)</f>
        <v>5.6498335867198095E-2</v>
      </c>
      <c r="I34" s="45">
        <f>IFERROR('Financial model'!I66/'Financial model'!I5,0)</f>
        <v>4.4129945320038597E-2</v>
      </c>
      <c r="J34" s="45">
        <f>IFERROR('Financial model'!J66/'Financial model'!J5,0)</f>
        <v>6.1208341091044498E-2</v>
      </c>
      <c r="K34" s="45">
        <f>IFERROR('Financial model'!K66/'Financial model'!K5,0)</f>
        <v>5.3912906899124355E-2</v>
      </c>
      <c r="L34" s="45">
        <f>IFERROR('Financial model'!L66/'Financial model'!L5,0)</f>
        <v>4.1407484617195116E-2</v>
      </c>
      <c r="N34" s="45">
        <f>IFERROR(AVERAGE(B34:K34),0)</f>
        <v>4.7847944309266671E-2</v>
      </c>
      <c r="O34" s="45">
        <f>IFERROR(MEDIAN(B34:K34),0)</f>
        <v>4.931010685796744E-2</v>
      </c>
    </row>
    <row r="35" spans="1:15" x14ac:dyDescent="0.25">
      <c r="A35" t="s">
        <v>134</v>
      </c>
      <c r="B35" s="45">
        <f>IFERROR('Financial model'!B66/'Financial model'!B60,0)</f>
        <v>9.4267515923566886E-2</v>
      </c>
      <c r="C35" s="45">
        <f>IFERROR('Financial model'!C66/'Financial model'!C60,0)</f>
        <v>0.13958736299161831</v>
      </c>
      <c r="D35" s="45">
        <f>IFERROR('Financial model'!D66/'Financial model'!D60,0)</f>
        <v>7.8178694158075601E-2</v>
      </c>
      <c r="E35" s="45">
        <f>IFERROR('Financial model'!E66/'Financial model'!E60,0)</f>
        <v>0.12924929178470254</v>
      </c>
      <c r="F35" s="45">
        <f>IFERROR('Financial model'!F66/'Financial model'!F60,0)</f>
        <v>0.11518698258635456</v>
      </c>
      <c r="G35" s="45">
        <f>IFERROR('Financial model'!G66/'Financial model'!G60,0)</f>
        <v>0.10599536270288175</v>
      </c>
      <c r="H35" s="45">
        <f>IFERROR('Financial model'!H66/'Financial model'!H60,0)</f>
        <v>0.10068834212067955</v>
      </c>
      <c r="I35" s="45">
        <f>IFERROR('Financial model'!I66/'Financial model'!I60,0)</f>
        <v>8.8682050287634928E-2</v>
      </c>
      <c r="J35" s="45">
        <f>IFERROR('Financial model'!J66/'Financial model'!J60,0)</f>
        <v>0.14527176314626603</v>
      </c>
      <c r="K35" s="45">
        <f>IFERROR('Financial model'!K66/'Financial model'!K60,0)</f>
        <v>0.12969347754215274</v>
      </c>
      <c r="L35" s="45">
        <f>IFERROR('Financial model'!L66/'Financial model'!L60,0)</f>
        <v>0.10127467105263158</v>
      </c>
      <c r="N35" s="45">
        <f>IFERROR(AVERAGE(B35:K35),0)</f>
        <v>0.11268008432439328</v>
      </c>
      <c r="O35" s="45">
        <f>IFERROR(MEDIAN(B35:K35),0)</f>
        <v>0.11059117264461815</v>
      </c>
    </row>
    <row r="36" spans="1:15" x14ac:dyDescent="0.25">
      <c r="A36" t="s">
        <v>135</v>
      </c>
      <c r="B36" s="45">
        <f>IFERROR('Financial model'!B66/'Financial model'!B45,0)</f>
        <v>0.24557522123893805</v>
      </c>
      <c r="C36" s="45">
        <f>IFERROR('Financial model'!C66/'Financial model'!C45,0)</f>
        <v>0.36325503355704697</v>
      </c>
      <c r="D36" s="45">
        <f>IFERROR('Financial model'!D66/'Financial model'!D45,0)</f>
        <v>0.30394121576486305</v>
      </c>
      <c r="E36" s="45">
        <f>IFERROR('Financial model'!E66/'Financial model'!E45,0)</f>
        <v>1.6628701594533029</v>
      </c>
      <c r="F36" s="45">
        <f>IFERROR('Financial model'!F66/'Financial model'!F45,0)</f>
        <v>1.1528571428571428</v>
      </c>
      <c r="G36" s="45">
        <f>IFERROR('Financial model'!G66/'Financial model'!G45,0)</f>
        <v>3.8438438438438438</v>
      </c>
      <c r="H36" s="45">
        <f>IFERROR('Financial model'!H66/'Financial model'!H45,0)</f>
        <v>3.4987277353689565</v>
      </c>
      <c r="I36" s="45">
        <f>IFERROR('Financial model'!I66/'Financial model'!I45,0)</f>
        <v>2.1205564142194744</v>
      </c>
      <c r="J36" s="45">
        <f>IFERROR('Financial model'!J66/'Financial model'!J45,0)</f>
        <v>4.0902021772939348</v>
      </c>
      <c r="K36" s="45">
        <f>IFERROR('Financial model'!K66/'Financial model'!K45,0)</f>
        <v>4.6385135135135132</v>
      </c>
      <c r="L36" s="45">
        <f>IFERROR('Financial model'!L66/'Financial model'!L45,0)</f>
        <v>3.0036585365853656</v>
      </c>
      <c r="N36" s="45">
        <f>IFERROR(AVERAGE(B36:K36),0)</f>
        <v>2.1920342457111017</v>
      </c>
      <c r="O36" s="45">
        <f>IFERROR(MEDIAN(B36:K36),0)</f>
        <v>1.8917132868363886</v>
      </c>
    </row>
    <row r="37" spans="1:15" x14ac:dyDescent="0.2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</row>
  </sheetData>
  <mergeCells count="1">
    <mergeCell ref="A1:O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B744AB26-61D9-4686-87EC-DC59F8FB18E9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Analysis'!B9:K9</xm:f>
              <xm:sqref>M9</xm:sqref>
            </x14:sparkline>
            <x14:sparkline>
              <xm:f>'Ratio Analysis'!B10:K10</xm:f>
              <xm:sqref>M10</xm:sqref>
            </x14:sparkline>
            <x14:sparkline>
              <xm:f>'Ratio Analysis'!B11:K11</xm:f>
              <xm:sqref>M11</xm:sqref>
            </x14:sparkline>
            <x14:sparkline>
              <xm:f>'Ratio Analysis'!B12:K12</xm:f>
              <xm:sqref>M12</xm:sqref>
            </x14:sparkline>
            <x14:sparkline>
              <xm:f>'Ratio Analysis'!B13:K13</xm:f>
              <xm:sqref>M13</xm:sqref>
            </x14:sparkline>
            <x14:sparkline>
              <xm:f>'Ratio Analysis'!B14:K14</xm:f>
              <xm:sqref>M14</xm:sqref>
            </x14:sparkline>
            <x14:sparkline>
              <xm:f>'Ratio Analysis'!B15:K15</xm:f>
              <xm:sqref>M15</xm:sqref>
            </x14:sparkline>
            <x14:sparkline>
              <xm:f>'Ratio Analysis'!B16:K16</xm:f>
              <xm:sqref>M16</xm:sqref>
            </x14:sparkline>
            <x14:sparkline>
              <xm:f>'Ratio Analysis'!B17:K17</xm:f>
              <xm:sqref>M17</xm:sqref>
            </x14:sparkline>
            <x14:sparkline>
              <xm:f>'Ratio Analysis'!B18:K18</xm:f>
              <xm:sqref>M18</xm:sqref>
            </x14:sparkline>
            <x14:sparkline>
              <xm:f>'Ratio Analysis'!B19:K19</xm:f>
              <xm:sqref>M19</xm:sqref>
            </x14:sparkline>
            <x14:sparkline>
              <xm:f>'Ratio Analysis'!B20:K20</xm:f>
              <xm:sqref>M20</xm:sqref>
            </x14:sparkline>
            <x14:sparkline>
              <xm:f>'Ratio Analysis'!B21:K21</xm:f>
              <xm:sqref>M21</xm:sqref>
            </x14:sparkline>
            <x14:sparkline>
              <xm:f>'Ratio Analysis'!B22:K22</xm:f>
              <xm:sqref>M22</xm:sqref>
            </x14:sparkline>
            <x14:sparkline>
              <xm:f>'Ratio Analysis'!B23:K23</xm:f>
              <xm:sqref>M23</xm:sqref>
            </x14:sparkline>
            <x14:sparkline>
              <xm:f>'Ratio Analysis'!B24:K24</xm:f>
              <xm:sqref>M24</xm:sqref>
            </x14:sparkline>
            <x14:sparkline>
              <xm:f>'Ratio Analysis'!B25:K25</xm:f>
              <xm:sqref>M25</xm:sqref>
            </x14:sparkline>
            <x14:sparkline>
              <xm:f>'Ratio Analysis'!B26:K26</xm:f>
              <xm:sqref>M26</xm:sqref>
            </x14:sparkline>
            <x14:sparkline>
              <xm:f>'Ratio Analysis'!B27:K27</xm:f>
              <xm:sqref>M27</xm:sqref>
            </x14:sparkline>
            <x14:sparkline>
              <xm:f>'Ratio Analysis'!B28:K28</xm:f>
              <xm:sqref>M28</xm:sqref>
            </x14:sparkline>
            <x14:sparkline>
              <xm:f>'Ratio Analysis'!B29:K29</xm:f>
              <xm:sqref>M29</xm:sqref>
            </x14:sparkline>
            <x14:sparkline>
              <xm:f>'Ratio Analysis'!B30:K30</xm:f>
              <xm:sqref>M30</xm:sqref>
            </x14:sparkline>
            <x14:sparkline>
              <xm:f>'Ratio Analysis'!B31:K31</xm:f>
              <xm:sqref>M31</xm:sqref>
            </x14:sparkline>
            <x14:sparkline>
              <xm:f>'Ratio Analysis'!B32:K32</xm:f>
              <xm:sqref>M32</xm:sqref>
            </x14:sparkline>
            <x14:sparkline>
              <xm:f>'Ratio Analysis'!B33:K33</xm:f>
              <xm:sqref>M33</xm:sqref>
            </x14:sparkline>
            <x14:sparkline>
              <xm:f>'Ratio Analysis'!B34:K34</xm:f>
              <xm:sqref>M34</xm:sqref>
            </x14:sparkline>
            <x14:sparkline>
              <xm:f>'Ratio Analysis'!B35:K35</xm:f>
              <xm:sqref>M35</xm:sqref>
            </x14:sparkline>
            <x14:sparkline>
              <xm:f>'Ratio Analysis'!B36:K36</xm:f>
              <xm:sqref>M36</xm:sqref>
            </x14:sparkline>
          </x14:sparklines>
        </x14:sparklineGroup>
        <x14:sparklineGroup displayEmptyCellsAs="gap" markers="1" xr2:uid="{3739FBBE-DC36-48E0-BAA8-5CC4F02F7229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Analysis'!C4:K4</xm:f>
              <xm:sqref>M4</xm:sqref>
            </x14:sparkline>
            <x14:sparkline>
              <xm:f>'Ratio Analysis'!C5:K5</xm:f>
              <xm:sqref>M5</xm:sqref>
            </x14:sparkline>
            <x14:sparkline>
              <xm:f>'Ratio Analysis'!C6:K6</xm:f>
              <xm:sqref>M6</xm:sqref>
            </x14:sparkline>
            <x14:sparkline>
              <xm:f>'Ratio Analysis'!C7:K7</xm:f>
              <xm:sqref>M7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6305-1412-43D2-9DD0-D5B2F5950342}">
  <dimension ref="A1:I8"/>
  <sheetViews>
    <sheetView zoomScale="57" zoomScaleNormal="55" workbookViewId="0">
      <selection activeCell="I3" sqref="I3"/>
    </sheetView>
  </sheetViews>
  <sheetFormatPr defaultRowHeight="15" x14ac:dyDescent="0.25"/>
  <cols>
    <col min="2" max="2" width="17.7109375" bestFit="1" customWidth="1"/>
    <col min="3" max="3" width="25.28515625" bestFit="1" customWidth="1"/>
    <col min="4" max="4" width="27.140625" bestFit="1" customWidth="1"/>
    <col min="5" max="5" width="16.85546875" bestFit="1" customWidth="1"/>
    <col min="6" max="6" width="18" bestFit="1" customWidth="1"/>
    <col min="7" max="7" width="15" bestFit="1" customWidth="1"/>
    <col min="8" max="8" width="11.7109375" bestFit="1" customWidth="1"/>
  </cols>
  <sheetData>
    <row r="1" spans="1:9" ht="15.75" x14ac:dyDescent="0.25">
      <c r="A1" s="154" t="s">
        <v>241</v>
      </c>
      <c r="B1" s="166"/>
      <c r="C1" s="166"/>
      <c r="D1" s="166"/>
      <c r="E1" s="166"/>
      <c r="F1" s="166"/>
      <c r="G1" s="166"/>
      <c r="H1" s="166"/>
      <c r="I1" s="170"/>
    </row>
    <row r="2" spans="1:9" x14ac:dyDescent="0.25">
      <c r="A2" s="166"/>
      <c r="B2" s="166"/>
      <c r="C2" s="166"/>
      <c r="D2" s="166"/>
      <c r="E2" s="166"/>
      <c r="F2" s="166"/>
      <c r="G2" s="166"/>
      <c r="H2" s="166"/>
      <c r="I2" s="171" t="s">
        <v>237</v>
      </c>
    </row>
    <row r="3" spans="1:9" ht="19.5" customHeight="1" thickBot="1" x14ac:dyDescent="0.3">
      <c r="A3" s="167" t="s">
        <v>234</v>
      </c>
      <c r="B3" s="168" t="s">
        <v>142</v>
      </c>
      <c r="C3" s="169" t="s">
        <v>238</v>
      </c>
      <c r="D3" s="169" t="s">
        <v>239</v>
      </c>
      <c r="E3" s="169" t="s">
        <v>240</v>
      </c>
      <c r="F3" s="169" t="s">
        <v>131</v>
      </c>
      <c r="G3" s="169" t="s">
        <v>129</v>
      </c>
      <c r="H3" s="169" t="s">
        <v>242</v>
      </c>
      <c r="I3" s="172">
        <v>2022</v>
      </c>
    </row>
    <row r="4" spans="1:9" x14ac:dyDescent="0.25">
      <c r="A4" s="173">
        <v>1</v>
      </c>
      <c r="B4" s="174" t="s">
        <v>235</v>
      </c>
      <c r="C4" s="175" cm="1">
        <f t="array" ref="C4">_xlfn.IFS($I$3=2021,24,$I$3=2022,24,$I$3=2023,22,$I$3=2024,26,$I$3=2025,25)</f>
        <v>24</v>
      </c>
      <c r="D4" s="176" cm="1">
        <f t="array" ref="D4">_xlfn.IFS($I$3=2021,30,$I$3=2022,31,$I$3=2023,26,$I$3=2024,26,$I$3=2025,30)</f>
        <v>31</v>
      </c>
      <c r="E4" s="176" cm="1">
        <f t="array" ref="E4">_xlfn.IFS($I$3=2021,10,$I$3=2022,8,$I$3=2023,8,$I$3=2024,8,$I$3=2025,8)</f>
        <v>8</v>
      </c>
      <c r="F4" s="176" cm="1">
        <f t="array" ref="F4">_xlfn.IFS($I$3=2021,40,$I$3=2022,38,$I$3=2023,33,$I$3=2024,33,$I$3=2025,36)</f>
        <v>38</v>
      </c>
      <c r="G4" s="176" cm="1">
        <f t="array" ref="G4">_xlfn.IFS($I$3=2021,1,$I$3=2022,1,$I$3=2023,1,$I$3=2024,1,$I$3=2025,1)</f>
        <v>1</v>
      </c>
      <c r="H4" s="176" cm="1">
        <f t="array" ref="H4">_xlfn.IFS($I$3=2020,20%,$I$3=2021,13%,$I$3=2022,16%,$I$3=2023,20%,$I$3=2024,19%,$I$3=2025,18%)</f>
        <v>0.16</v>
      </c>
    </row>
    <row r="5" spans="1:9" ht="15" customHeight="1" x14ac:dyDescent="0.25">
      <c r="A5" s="177">
        <v>2</v>
      </c>
      <c r="B5" s="174" t="s">
        <v>175</v>
      </c>
      <c r="C5" s="52" cm="1">
        <f t="array" ref="C5">_xlfn.IFS($I$3=2021,-50,$I$3=2022,-7,$I$3=2023,7,$I$3=2024,20,$I$3=2025,28)</f>
        <v>-7</v>
      </c>
      <c r="D5" s="52" cm="1">
        <f t="array" ref="D5">_xlfn.IFS($I$3=2021,-34,$I$3=2022,-22,$I$3=2023,0,$I$3=2024,15,$I$3=2025,20)</f>
        <v>-22</v>
      </c>
      <c r="E5" s="52" cm="1">
        <f t="array" ref="E5">_xlfn.IFS($I$3=2021,144,$I$3=2022,133,$I$3=2023,99,$I$3=2024,69,$I$3=2025,70)</f>
        <v>133</v>
      </c>
      <c r="F5" s="52" cm="1">
        <f t="array" ref="F5">_xlfn.IFS($I$3=2021,110,$I$3=2022,111,$I$3=2023,98,$I$3=2024,83,$I$3=2025,88)</f>
        <v>111</v>
      </c>
      <c r="G5" s="52" cm="1">
        <f t="array" ref="G5">_xlfn.IFS($I$3=2021,0,$I$3=2022,0,$I$3=2023,0,$I$3=2024,1,$I$3=2025,2)</f>
        <v>0</v>
      </c>
      <c r="H5" s="52" cm="1">
        <f t="array" ref="H5">_xlfn.IFS($I$3=2021,7%,$I$3=2022,8%,$I$3=2023,9%,$I$3=2024,11%,$I$3=2025,13%)</f>
        <v>0.08</v>
      </c>
    </row>
    <row r="6" spans="1:9" ht="22.5" customHeight="1" x14ac:dyDescent="0.25">
      <c r="A6" s="177">
        <v>3</v>
      </c>
      <c r="B6" s="174" t="s">
        <v>176</v>
      </c>
      <c r="C6" s="52" cm="1">
        <f t="array" ref="C6">_xlfn.IFS($I$3=2021,106,$I$3=2022,89,$I$3=2023,71,$I$3=2024,40,$I$3=2025,40)</f>
        <v>89</v>
      </c>
      <c r="D6" s="52" cm="1">
        <f t="array" ref="D6">_xlfn.IFS($I$3=2021,119,$I$3=2022,126,$I$3=2023,87,$I$3=2024,36,$I$3=2025,39)</f>
        <v>126</v>
      </c>
      <c r="E6" s="52" cm="1">
        <f t="array" ref="E6">_xlfn.IFS($I$3=2021,97,$I$3=2022,97,$I$3=2023,112,$I$3=2024,127,$I$3=2025,131)</f>
        <v>97</v>
      </c>
      <c r="F6" s="52" cm="1">
        <f t="array" ref="F6">_xlfn.IFS($I$3=2021,216,$I$3=2022,224,$I$3=2023,199,$I$3=2024,163,$I$3=2025,169)</f>
        <v>224</v>
      </c>
      <c r="G6" s="52" cm="1">
        <f t="array" ref="G6">_xlfn.IFS($I$3=2021,0,$I$3=2022,0,$I$3=2023,0,$I$3=2024,0,$I$3=2025,0)</f>
        <v>0</v>
      </c>
      <c r="H6" s="52" cm="1">
        <f t="array" ref="H6">_xlfn.IFS($I$3=2021,4%,$I$3=2022,5%,$I$3=2023,5%,$I$3=2024,1%,$I$3=2025,8%)</f>
        <v>0.05</v>
      </c>
    </row>
    <row r="7" spans="1:9" x14ac:dyDescent="0.25">
      <c r="A7" s="177">
        <v>4</v>
      </c>
      <c r="B7" s="174" t="s">
        <v>177</v>
      </c>
      <c r="C7" s="52" cm="1">
        <f t="array" ref="C7">_xlfn.IFS($I$3=2021,81,$I$3=2022,70,$I$3=2023,76,$I$3=2024,78,$I$3=2025,81)</f>
        <v>70</v>
      </c>
      <c r="D7" s="52" cm="1">
        <f t="array" ref="D7">_xlfn.IFS($I$3=2021,73,$I$3=2022,66,$I$3=2023,67,$I$3=2024,73,$I$3=2025,79)</f>
        <v>66</v>
      </c>
      <c r="E7" s="52" cm="1">
        <f t="array" ref="E7">_xlfn.IFS($I$3=2021,1,$I$3=2022,3,$I$3=2023,2,$I$3=2024,3,$I$3=2025,6)</f>
        <v>3</v>
      </c>
      <c r="F7" s="52" cm="1">
        <f t="array" ref="F7">_xlfn.IFS($I$3=2021,63,$I$3=2022,60,$I$3=2023,60,$I$3=2024,66,$I$3=2025,76)</f>
        <v>60</v>
      </c>
      <c r="G7" s="52" cm="1">
        <f t="array" ref="G7">_xlfn.IFS($I$3=2021,11,$I$3=2022,10,$I$3=2023,9,$I$3=2024,11,$I$3=2025,9)</f>
        <v>10</v>
      </c>
      <c r="H7" s="52" cm="1">
        <f t="array" ref="H7">_xlfn.IFS($I$3=2021,11%,$I$3=2022,14%,$I$3=2023,12%,$I$3=2024,13%,$I$3=2025,10%)</f>
        <v>0.14000000000000001</v>
      </c>
    </row>
    <row r="8" spans="1:9" ht="21" customHeight="1" x14ac:dyDescent="0.25">
      <c r="A8" s="177">
        <v>5</v>
      </c>
      <c r="B8" s="174" t="s">
        <v>236</v>
      </c>
      <c r="C8" s="52" cm="1">
        <f t="array" ref="C8">_xlfn.IFS($I$3=2021,-37,$I$3=2022,-40,$I$3=2023,-16,$I$3=2024,-4,$I$3=2025,7)</f>
        <v>-40</v>
      </c>
      <c r="D8" s="52" cm="1">
        <f t="array" ref="D8">_xlfn.IFS($I$3=2021,-94,$I$3=2022,-101,$I$3=2023,-49,$I$3=2024,-34,$I$3=2025,-25)</f>
        <v>-101</v>
      </c>
      <c r="E8" s="52" cm="1">
        <f t="array" ref="E8">_xlfn.IFS($I$3=2021,391,$I$3=2022,349,$I$3=2023,287,$I$3=2024,283,$I$3=2025,303)</f>
        <v>349</v>
      </c>
      <c r="F8" s="52" cm="1">
        <f t="array" ref="F8">_xlfn.IFS($I$3=2021,290,$I$3=2022,244,$I$3=2023,235,$I$3=2024,242,$I$3=2025,273)</f>
        <v>244</v>
      </c>
      <c r="G8" s="52" cm="1">
        <f t="array" ref="G8">_xlfn.IFS($I$3=2021,6,$I$3=2022,5,$I$3=2023,3,$I$3=2024,7,$I$3=2025,5)</f>
        <v>5</v>
      </c>
      <c r="H8" s="52" cm="1">
        <f t="array" ref="H8">_xlfn.IFS($I$3=2021,-5%,$I$3=2022,4%,$I$3=2023,15%,$I$3=2024,12%,$I$3=2025,8%)</f>
        <v>0.04</v>
      </c>
    </row>
  </sheetData>
  <mergeCells count="1">
    <mergeCell ref="A1:H2"/>
  </mergeCells>
  <dataValidations count="1">
    <dataValidation type="list" allowBlank="1" showInputMessage="1" showErrorMessage="1" sqref="I3" xr:uid="{3975BAFC-8673-429F-9D88-6B37579E96B8}">
      <formula1>"2021,2022,2023,2024,2025"</formula1>
    </dataValidation>
  </dataValidations>
  <hyperlinks>
    <hyperlink ref="B4" r:id="rId1" display="https://www.screener.in/company/DMART/consolidated/" xr:uid="{01EBC65B-2246-4034-B63A-A0036DFBAB84}"/>
    <hyperlink ref="B5" r:id="rId2" display="https://www.screener.in/company/VMM/consolidated/" xr:uid="{404075B9-4DCA-4F06-8A1E-D283A785057A}"/>
    <hyperlink ref="B6" r:id="rId3" display="https://www.screener.in/company/VMART/" xr:uid="{0ED7D17B-FDF6-4BF6-BB8D-C19C651FA1D1}"/>
    <hyperlink ref="B7" r:id="rId4" display="https://www.screener.in/company/EMIL/consolidated/" xr:uid="{511E5712-A949-4065-AE3F-23A71D5F2ED9}"/>
    <hyperlink ref="B8" r:id="rId5" display="https://www.screener.in/company/SHOPERSTOP/consolidated/" xr:uid="{CE67E414-E5E6-49D7-932C-4859029FC773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B37-C5A9-4CF8-8A10-FE9A2F0061C2}">
  <dimension ref="A1:N36"/>
  <sheetViews>
    <sheetView zoomScale="80" zoomScaleNormal="80" workbookViewId="0">
      <selection activeCell="G31" sqref="G31:J31"/>
    </sheetView>
  </sheetViews>
  <sheetFormatPr defaultRowHeight="15" x14ac:dyDescent="0.25"/>
  <cols>
    <col min="2" max="2" width="24.85546875" customWidth="1"/>
    <col min="3" max="3" width="10.28515625" bestFit="1" customWidth="1"/>
    <col min="4" max="4" width="15.7109375" customWidth="1"/>
    <col min="5" max="5" width="17.7109375" customWidth="1"/>
    <col min="6" max="6" width="10.42578125" bestFit="1" customWidth="1"/>
    <col min="7" max="7" width="30.140625" customWidth="1"/>
    <col min="9" max="9" width="13.85546875" customWidth="1"/>
    <col min="10" max="10" width="15" customWidth="1"/>
  </cols>
  <sheetData>
    <row r="1" spans="1:11" ht="15.75" x14ac:dyDescent="0.25">
      <c r="A1" s="161" t="s">
        <v>181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x14ac:dyDescent="0.25">
      <c r="A2" s="115"/>
      <c r="B2" s="128" t="s">
        <v>180</v>
      </c>
      <c r="C2" s="159" t="s">
        <v>30</v>
      </c>
      <c r="D2" s="159"/>
      <c r="E2" s="115"/>
      <c r="F2" s="115"/>
      <c r="G2" s="129"/>
      <c r="H2" s="129"/>
      <c r="I2" s="130" t="s">
        <v>138</v>
      </c>
      <c r="J2" s="129"/>
      <c r="K2" s="115"/>
    </row>
    <row r="3" spans="1:11" x14ac:dyDescent="0.25">
      <c r="A3" s="120"/>
      <c r="B3" s="131"/>
      <c r="C3" s="131"/>
      <c r="D3" s="131"/>
      <c r="E3" s="131"/>
      <c r="F3" s="132"/>
      <c r="G3" s="132" t="s">
        <v>139</v>
      </c>
      <c r="H3" s="132" t="s">
        <v>139</v>
      </c>
      <c r="I3" s="132" t="s">
        <v>140</v>
      </c>
      <c r="J3" s="132" t="s">
        <v>141</v>
      </c>
      <c r="K3" s="120"/>
    </row>
    <row r="4" spans="1:11" ht="17.25" x14ac:dyDescent="0.25">
      <c r="A4" s="120"/>
      <c r="B4" s="133" t="s">
        <v>142</v>
      </c>
      <c r="C4" s="133"/>
      <c r="D4" s="134" t="s">
        <v>143</v>
      </c>
      <c r="E4" s="134" t="s">
        <v>144</v>
      </c>
      <c r="F4" s="134" t="s">
        <v>145</v>
      </c>
      <c r="G4" s="134" t="s">
        <v>146</v>
      </c>
      <c r="H4" s="134" t="s">
        <v>147</v>
      </c>
      <c r="I4" s="134" t="s">
        <v>182</v>
      </c>
      <c r="J4" s="134" t="s">
        <v>182</v>
      </c>
      <c r="K4" s="120"/>
    </row>
    <row r="5" spans="1:11" x14ac:dyDescent="0.25">
      <c r="B5" s="60"/>
      <c r="C5" s="60"/>
      <c r="D5" s="60"/>
      <c r="E5" s="60"/>
      <c r="F5" s="60"/>
      <c r="G5" s="60"/>
      <c r="H5" s="60"/>
      <c r="I5" s="60"/>
      <c r="J5" s="60"/>
    </row>
    <row r="6" spans="1:11" x14ac:dyDescent="0.25">
      <c r="B6" s="59" t="s">
        <v>174</v>
      </c>
      <c r="C6" s="84"/>
      <c r="D6" s="70">
        <f>'Financial model'!L45</f>
        <v>820</v>
      </c>
      <c r="E6" s="85">
        <f>'Financial model'!L43</f>
        <v>651</v>
      </c>
      <c r="F6" s="86">
        <v>0.3</v>
      </c>
      <c r="G6" s="62">
        <f>D6/E6</f>
        <v>1.2596006144393241</v>
      </c>
      <c r="H6" s="62">
        <f>D6/(E6+D6)</f>
        <v>0.55744391570360297</v>
      </c>
      <c r="I6" s="70">
        <v>1.1000000000000001</v>
      </c>
      <c r="J6" s="62">
        <f>I6/(1+(1-F6)*G6)</f>
        <v>0.58457142857142863</v>
      </c>
    </row>
    <row r="7" spans="1:11" x14ac:dyDescent="0.25">
      <c r="B7" s="59" t="s">
        <v>175</v>
      </c>
      <c r="C7" s="84"/>
      <c r="D7" s="85">
        <v>1729.38</v>
      </c>
      <c r="E7" s="85">
        <v>4597.43</v>
      </c>
      <c r="F7" s="86">
        <v>0.3</v>
      </c>
      <c r="G7" s="62">
        <f t="shared" ref="G7:G10" si="0">D7/E7</f>
        <v>0.37616233417365791</v>
      </c>
      <c r="H7" s="62">
        <f t="shared" ref="H7:H10" si="1">D7/(E7+D7)</f>
        <v>0.27334154178804171</v>
      </c>
      <c r="I7" s="70">
        <v>1.2</v>
      </c>
      <c r="J7" s="62">
        <f t="shared" ref="J7:J10" si="2">I7/(1+(1-F7)*G7)</f>
        <v>0.94988288559427381</v>
      </c>
    </row>
    <row r="8" spans="1:11" x14ac:dyDescent="0.25">
      <c r="B8" s="59" t="s">
        <v>176</v>
      </c>
      <c r="C8" s="84"/>
      <c r="D8" s="85">
        <v>782.51</v>
      </c>
      <c r="E8" s="85">
        <v>19.8</v>
      </c>
      <c r="F8" s="86">
        <v>0.3</v>
      </c>
      <c r="G8" s="62">
        <f t="shared" si="0"/>
        <v>39.520707070707068</v>
      </c>
      <c r="H8" s="62">
        <f t="shared" si="1"/>
        <v>0.97532125986214813</v>
      </c>
      <c r="I8" s="70">
        <v>1</v>
      </c>
      <c r="J8" s="62">
        <f t="shared" si="2"/>
        <v>3.488636383658382E-2</v>
      </c>
    </row>
    <row r="9" spans="1:11" x14ac:dyDescent="0.25">
      <c r="B9" s="59" t="s">
        <v>177</v>
      </c>
      <c r="C9" s="84"/>
      <c r="D9" s="85">
        <v>1976.45</v>
      </c>
      <c r="E9" s="85">
        <v>384.75</v>
      </c>
      <c r="F9" s="86">
        <v>0.3</v>
      </c>
      <c r="G9" s="62">
        <f t="shared" si="0"/>
        <v>5.1369720597790778</v>
      </c>
      <c r="H9" s="62">
        <f t="shared" si="1"/>
        <v>0.8370531932915467</v>
      </c>
      <c r="I9" s="70">
        <v>0.9</v>
      </c>
      <c r="J9" s="62">
        <f t="shared" si="2"/>
        <v>0.1958275484726554</v>
      </c>
    </row>
    <row r="10" spans="1:11" x14ac:dyDescent="0.25">
      <c r="B10" s="59" t="s">
        <v>178</v>
      </c>
      <c r="C10" s="84"/>
      <c r="D10" s="85">
        <v>3314.09</v>
      </c>
      <c r="E10" s="85">
        <v>55.03</v>
      </c>
      <c r="F10" s="86">
        <v>0.3</v>
      </c>
      <c r="G10" s="62">
        <f t="shared" si="0"/>
        <v>60.223332727603129</v>
      </c>
      <c r="H10" s="62">
        <f t="shared" si="1"/>
        <v>0.983666357980719</v>
      </c>
      <c r="I10" s="70">
        <v>0.8</v>
      </c>
      <c r="J10" s="62">
        <f t="shared" si="2"/>
        <v>1.8537256204805858E-2</v>
      </c>
    </row>
    <row r="11" spans="1:11" x14ac:dyDescent="0.25">
      <c r="B11" s="59"/>
      <c r="C11" s="59"/>
      <c r="D11" s="59"/>
      <c r="E11" s="59"/>
      <c r="F11" s="63"/>
      <c r="G11" s="59"/>
      <c r="H11" s="59"/>
      <c r="I11" s="59"/>
      <c r="J11" s="59"/>
    </row>
    <row r="12" spans="1:11" x14ac:dyDescent="0.25">
      <c r="B12" s="59"/>
      <c r="C12" s="59"/>
      <c r="D12" s="59"/>
      <c r="E12" s="64" t="s">
        <v>32</v>
      </c>
      <c r="F12" s="65">
        <f>AVERAGE(F6:F10)</f>
        <v>0.3</v>
      </c>
      <c r="G12" s="65">
        <f>AVERAGE(G6:G10)</f>
        <v>21.303354961340453</v>
      </c>
      <c r="H12" s="65">
        <f>AVERAGE(H6:H10)</f>
        <v>0.72536525372521177</v>
      </c>
      <c r="I12" s="66">
        <f>AVERAGE(I6:I10)</f>
        <v>1</v>
      </c>
      <c r="J12" s="66">
        <f>AVERAGE(J6:J10)</f>
        <v>0.35674109653594954</v>
      </c>
    </row>
    <row r="13" spans="1:11" x14ac:dyDescent="0.25">
      <c r="B13" s="59"/>
      <c r="C13" s="59"/>
      <c r="D13" s="59"/>
      <c r="E13" s="67" t="s">
        <v>110</v>
      </c>
      <c r="F13" s="68">
        <f>MEDIAN(F6:F10)</f>
        <v>0.3</v>
      </c>
      <c r="G13" s="68">
        <f>MEDIAN(G6:G10)</f>
        <v>5.1369720597790778</v>
      </c>
      <c r="H13" s="68">
        <f>MEDIAN(H6:H10)</f>
        <v>0.8370531932915467</v>
      </c>
      <c r="I13" s="69">
        <f>MEDIAN(I7:I10)</f>
        <v>0.95</v>
      </c>
      <c r="J13" s="69">
        <f>MEDIAN(J7:J10)</f>
        <v>0.11535695615461962</v>
      </c>
    </row>
    <row r="14" spans="1:11" x14ac:dyDescent="0.25">
      <c r="B14" s="59"/>
      <c r="C14" s="59"/>
      <c r="D14" s="59"/>
      <c r="E14" s="59"/>
      <c r="F14" s="59"/>
      <c r="G14" s="70"/>
      <c r="H14" s="59"/>
      <c r="I14" s="59"/>
      <c r="J14" s="59"/>
    </row>
    <row r="15" spans="1:11" x14ac:dyDescent="0.25">
      <c r="B15" s="59"/>
      <c r="C15" s="59"/>
      <c r="D15" s="59"/>
      <c r="E15" s="59"/>
      <c r="F15" s="59"/>
      <c r="G15" s="70"/>
      <c r="H15" s="59"/>
      <c r="I15" s="59"/>
      <c r="J15" s="59"/>
    </row>
    <row r="16" spans="1:11" x14ac:dyDescent="0.25">
      <c r="B16" s="135" t="s">
        <v>148</v>
      </c>
      <c r="C16" s="136"/>
      <c r="D16" s="136"/>
      <c r="E16" s="136"/>
      <c r="F16" s="59"/>
      <c r="G16" s="135" t="s">
        <v>149</v>
      </c>
      <c r="H16" s="136"/>
      <c r="I16" s="136"/>
      <c r="J16" s="136"/>
    </row>
    <row r="17" spans="2:14" x14ac:dyDescent="0.25">
      <c r="B17" s="70"/>
      <c r="C17" s="59"/>
      <c r="D17" s="59"/>
      <c r="E17" s="59"/>
      <c r="F17" s="59"/>
      <c r="G17" s="70"/>
      <c r="H17" s="59"/>
      <c r="I17" s="59"/>
      <c r="J17" s="59"/>
    </row>
    <row r="18" spans="2:14" x14ac:dyDescent="0.25">
      <c r="B18" s="59" t="s">
        <v>150</v>
      </c>
      <c r="C18" s="59"/>
      <c r="D18" s="59"/>
      <c r="E18" s="63">
        <v>9.8000000000000004E-2</v>
      </c>
      <c r="F18" s="59"/>
      <c r="G18" s="59" t="s">
        <v>151</v>
      </c>
      <c r="H18" s="59"/>
      <c r="I18" s="59"/>
      <c r="J18" s="71">
        <v>6.3E-2</v>
      </c>
    </row>
    <row r="19" spans="2:14" x14ac:dyDescent="0.25">
      <c r="B19" s="59" t="s">
        <v>152</v>
      </c>
      <c r="C19" s="59"/>
      <c r="D19" s="59"/>
      <c r="E19" s="63">
        <v>0.3</v>
      </c>
      <c r="F19" s="59"/>
      <c r="G19" s="59" t="s">
        <v>153</v>
      </c>
      <c r="H19" s="59"/>
      <c r="I19" s="59"/>
      <c r="J19" s="71">
        <v>6.8000000000000005E-2</v>
      </c>
      <c r="K19" s="160" t="s">
        <v>154</v>
      </c>
      <c r="L19" s="160"/>
      <c r="M19" s="160"/>
    </row>
    <row r="20" spans="2:14" ht="17.25" x14ac:dyDescent="0.25">
      <c r="B20" s="72" t="s">
        <v>155</v>
      </c>
      <c r="C20" s="72"/>
      <c r="D20" s="72"/>
      <c r="E20" s="73">
        <f>E18*(1-E19)</f>
        <v>6.8599999999999994E-2</v>
      </c>
      <c r="F20" s="59"/>
      <c r="G20" s="59" t="s">
        <v>156</v>
      </c>
      <c r="H20" s="59"/>
      <c r="I20" s="59"/>
      <c r="J20" s="62">
        <f>J29</f>
        <v>0.60093942857142868</v>
      </c>
    </row>
    <row r="21" spans="2:14" x14ac:dyDescent="0.25">
      <c r="B21" s="59"/>
      <c r="C21" s="59"/>
      <c r="D21" s="59"/>
      <c r="E21" s="59"/>
      <c r="F21" s="59"/>
      <c r="G21" s="72" t="s">
        <v>149</v>
      </c>
      <c r="H21" s="72"/>
      <c r="I21" s="72"/>
      <c r="J21" s="73">
        <f>J18+J19*J20</f>
        <v>0.10386388114285716</v>
      </c>
    </row>
    <row r="22" spans="2:14" x14ac:dyDescent="0.25">
      <c r="B22" s="59"/>
      <c r="C22" s="59"/>
      <c r="D22" s="59"/>
      <c r="E22" s="59"/>
      <c r="F22" s="59"/>
      <c r="G22" s="59"/>
      <c r="H22" s="59"/>
      <c r="I22" s="59"/>
      <c r="J22" s="59"/>
      <c r="N22" s="38"/>
    </row>
    <row r="23" spans="2:14" x14ac:dyDescent="0.25">
      <c r="B23" s="59"/>
      <c r="C23" s="59"/>
      <c r="D23" s="59"/>
      <c r="E23" s="59"/>
      <c r="F23" s="59"/>
      <c r="G23" s="59"/>
      <c r="H23" s="59"/>
      <c r="I23" s="59"/>
      <c r="J23" s="59"/>
    </row>
    <row r="24" spans="2:14" x14ac:dyDescent="0.25">
      <c r="B24" s="135" t="s">
        <v>157</v>
      </c>
      <c r="C24" s="136"/>
      <c r="D24" s="136"/>
      <c r="E24" s="136"/>
      <c r="F24" s="59"/>
      <c r="G24" s="135" t="s">
        <v>158</v>
      </c>
      <c r="H24" s="136"/>
      <c r="I24" s="136"/>
      <c r="J24" s="136"/>
    </row>
    <row r="25" spans="2:14" x14ac:dyDescent="0.25">
      <c r="B25" s="59"/>
      <c r="C25" s="59"/>
      <c r="D25" s="59"/>
      <c r="E25" s="59"/>
      <c r="F25" s="59"/>
      <c r="G25" s="58"/>
      <c r="H25" s="59"/>
      <c r="I25" s="59"/>
      <c r="J25" s="59"/>
    </row>
    <row r="26" spans="2:14" x14ac:dyDescent="0.25">
      <c r="B26" s="59"/>
      <c r="C26" s="59"/>
      <c r="D26" s="74" t="s">
        <v>159</v>
      </c>
      <c r="E26" s="74" t="s">
        <v>160</v>
      </c>
      <c r="F26" s="59"/>
      <c r="G26" s="70" t="s">
        <v>179</v>
      </c>
      <c r="H26" s="59"/>
      <c r="I26" s="59"/>
      <c r="J26" s="70">
        <f>J6</f>
        <v>0.58457142857142863</v>
      </c>
    </row>
    <row r="27" spans="2:14" x14ac:dyDescent="0.25">
      <c r="B27" s="59" t="s">
        <v>143</v>
      </c>
      <c r="C27" s="61">
        <f>D6</f>
        <v>820</v>
      </c>
      <c r="D27" s="63">
        <f>C27/C29</f>
        <v>2.9903760944958845E-3</v>
      </c>
      <c r="E27" s="71">
        <f>L28</f>
        <v>3.8461538461538464E-2</v>
      </c>
      <c r="F27" s="59"/>
      <c r="G27" s="59" t="s">
        <v>161</v>
      </c>
      <c r="H27" s="59"/>
      <c r="I27" s="59"/>
      <c r="J27" s="63">
        <f>E31</f>
        <v>0.04</v>
      </c>
      <c r="L27">
        <f>0.04*E6</f>
        <v>26.04</v>
      </c>
    </row>
    <row r="28" spans="2:14" x14ac:dyDescent="0.25">
      <c r="B28" s="59" t="s">
        <v>162</v>
      </c>
      <c r="C28" s="61">
        <v>273393</v>
      </c>
      <c r="D28" s="63">
        <f>C28/C29</f>
        <v>0.99700962390550407</v>
      </c>
      <c r="E28" s="63">
        <f>E29-E27</f>
        <v>0.96153846153846156</v>
      </c>
      <c r="F28" s="59"/>
      <c r="G28" s="59" t="s">
        <v>152</v>
      </c>
      <c r="H28" s="59"/>
      <c r="I28" s="59"/>
      <c r="J28" s="63">
        <v>0.3</v>
      </c>
      <c r="L28">
        <f>L27/(L27+E6)</f>
        <v>3.8461538461538464E-2</v>
      </c>
    </row>
    <row r="29" spans="2:14" x14ac:dyDescent="0.25">
      <c r="B29" s="59" t="s">
        <v>163</v>
      </c>
      <c r="C29" s="75">
        <f>SUM(C27:C28)</f>
        <v>274213</v>
      </c>
      <c r="D29" s="76">
        <f>100%</f>
        <v>1</v>
      </c>
      <c r="E29" s="76">
        <f>D29</f>
        <v>1</v>
      </c>
      <c r="F29" s="59"/>
      <c r="G29" s="72" t="s">
        <v>164</v>
      </c>
      <c r="H29" s="72"/>
      <c r="I29" s="72"/>
      <c r="J29" s="77">
        <f>J26*(1+(1-J28)*J27)</f>
        <v>0.60093942857142868</v>
      </c>
    </row>
    <row r="30" spans="2:14" x14ac:dyDescent="0.25">
      <c r="B30" s="59"/>
      <c r="C30" s="59"/>
      <c r="D30" s="59"/>
      <c r="E30" s="59"/>
      <c r="F30" s="59"/>
      <c r="G30" s="59"/>
      <c r="H30" s="59"/>
      <c r="I30" s="59"/>
      <c r="J30" s="59"/>
    </row>
    <row r="31" spans="2:14" x14ac:dyDescent="0.25">
      <c r="B31" s="59" t="s">
        <v>165</v>
      </c>
      <c r="C31" s="59"/>
      <c r="D31" s="62">
        <f>D27/D28</f>
        <v>2.9993452648751067E-3</v>
      </c>
      <c r="E31" s="78">
        <f>E27/E28</f>
        <v>0.04</v>
      </c>
      <c r="F31" s="59"/>
      <c r="G31" s="135" t="s">
        <v>166</v>
      </c>
      <c r="H31" s="136"/>
      <c r="I31" s="136"/>
      <c r="J31" s="136"/>
    </row>
    <row r="32" spans="2:14" x14ac:dyDescent="0.25">
      <c r="B32" s="59"/>
      <c r="C32" s="59"/>
      <c r="D32" s="59"/>
      <c r="E32" s="59"/>
      <c r="F32" s="59"/>
      <c r="G32" s="70"/>
      <c r="H32" s="59"/>
      <c r="I32" s="59"/>
      <c r="J32" s="59"/>
    </row>
    <row r="33" spans="2:10" x14ac:dyDescent="0.25">
      <c r="B33" s="79" t="s">
        <v>167</v>
      </c>
      <c r="C33" s="59"/>
      <c r="D33" s="59"/>
      <c r="E33" s="80"/>
      <c r="F33" s="59"/>
      <c r="G33" s="59"/>
      <c r="H33" s="59"/>
      <c r="I33" s="81" t="s">
        <v>168</v>
      </c>
      <c r="J33" s="82" t="s">
        <v>169</v>
      </c>
    </row>
    <row r="34" spans="2:10" x14ac:dyDescent="0.25">
      <c r="B34" s="83" t="s">
        <v>170</v>
      </c>
      <c r="C34" s="60"/>
      <c r="D34" s="60"/>
      <c r="E34" s="59"/>
      <c r="F34" s="59"/>
      <c r="G34" s="59" t="s">
        <v>171</v>
      </c>
      <c r="H34" s="59"/>
      <c r="I34" s="63">
        <f>E20</f>
        <v>6.8599999999999994E-2</v>
      </c>
      <c r="J34" s="63">
        <f>E27</f>
        <v>3.8461538461538464E-2</v>
      </c>
    </row>
    <row r="35" spans="2:10" x14ac:dyDescent="0.25">
      <c r="B35" s="83" t="s">
        <v>172</v>
      </c>
      <c r="C35" s="60"/>
      <c r="D35" s="60"/>
      <c r="E35" s="70"/>
      <c r="F35" s="59"/>
      <c r="G35" s="59" t="s">
        <v>8</v>
      </c>
      <c r="H35" s="59"/>
      <c r="I35" s="63">
        <f>J21</f>
        <v>0.10386388114285716</v>
      </c>
      <c r="J35" s="63">
        <f>E28</f>
        <v>0.96153846153846156</v>
      </c>
    </row>
    <row r="36" spans="2:10" x14ac:dyDescent="0.25">
      <c r="B36" s="83" t="s">
        <v>173</v>
      </c>
      <c r="C36" s="60"/>
      <c r="D36" s="60"/>
      <c r="E36" s="59"/>
      <c r="F36" s="59"/>
      <c r="G36" s="72" t="s">
        <v>166</v>
      </c>
      <c r="H36" s="72"/>
      <c r="I36" s="76"/>
      <c r="J36" s="73">
        <f>SUMPRODUCT(I34:I35,J34:J35)</f>
        <v>0.10250757802197803</v>
      </c>
    </row>
  </sheetData>
  <mergeCells count="3">
    <mergeCell ref="C2:D2"/>
    <mergeCell ref="K19:M19"/>
    <mergeCell ref="A1:K1"/>
  </mergeCells>
  <pageMargins left="0.7" right="0.7" top="0.75" bottom="0.75" header="0.3" footer="0.3"/>
  <ignoredErrors>
    <ignoredError sqref="I1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5BE4-D28C-4DD9-BAA5-D2CFA66F0218}">
  <dimension ref="A1:T44"/>
  <sheetViews>
    <sheetView tabSelected="1" zoomScale="71" zoomScaleNormal="96" workbookViewId="0">
      <selection activeCell="L34" sqref="L34"/>
    </sheetView>
  </sheetViews>
  <sheetFormatPr defaultRowHeight="15" x14ac:dyDescent="0.25"/>
  <cols>
    <col min="1" max="1" width="19.85546875" customWidth="1"/>
    <col min="3" max="3" width="20" customWidth="1"/>
    <col min="4" max="4" width="10" customWidth="1"/>
    <col min="5" max="5" width="12.42578125" customWidth="1"/>
    <col min="7" max="7" width="16.28515625" customWidth="1"/>
    <col min="8" max="8" width="11.28515625" customWidth="1"/>
    <col min="14" max="14" width="16.7109375" customWidth="1"/>
    <col min="15" max="15" width="12.28515625" customWidth="1"/>
    <col min="16" max="16" width="10.7109375" bestFit="1" customWidth="1"/>
    <col min="17" max="19" width="12.28515625" bestFit="1" customWidth="1"/>
    <col min="20" max="20" width="10.28515625" bestFit="1" customWidth="1"/>
  </cols>
  <sheetData>
    <row r="1" spans="1:20" ht="21" x14ac:dyDescent="0.35">
      <c r="A1" s="137" t="s">
        <v>183</v>
      </c>
      <c r="B1" s="115"/>
      <c r="C1" s="115"/>
      <c r="D1" s="162" t="s">
        <v>29</v>
      </c>
      <c r="E1" s="156"/>
      <c r="F1" s="156"/>
      <c r="G1" s="156"/>
      <c r="H1" s="156"/>
      <c r="I1" s="156"/>
      <c r="J1" s="156"/>
      <c r="K1" s="115"/>
      <c r="L1" s="115"/>
      <c r="M1" s="115"/>
      <c r="N1" s="115"/>
      <c r="O1" s="115"/>
      <c r="P1" s="115"/>
      <c r="Q1" s="115"/>
      <c r="R1" s="115"/>
      <c r="S1" s="115"/>
      <c r="T1" s="115"/>
    </row>
    <row r="2" spans="1:20" x14ac:dyDescent="0.25">
      <c r="A2" s="138" t="s">
        <v>184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</row>
    <row r="3" spans="1:20" x14ac:dyDescent="0.25">
      <c r="A3" s="139" t="s">
        <v>185</v>
      </c>
      <c r="B3" s="140"/>
      <c r="C3" s="140"/>
      <c r="D3" s="141" t="s">
        <v>186</v>
      </c>
      <c r="E3" s="141" t="s">
        <v>187</v>
      </c>
      <c r="F3" s="141" t="s">
        <v>188</v>
      </c>
      <c r="G3" s="141" t="s">
        <v>189</v>
      </c>
      <c r="H3" s="141" t="s">
        <v>190</v>
      </c>
      <c r="I3" s="120" t="s">
        <v>191</v>
      </c>
      <c r="J3" s="120" t="s">
        <v>192</v>
      </c>
      <c r="K3" s="120" t="s">
        <v>193</v>
      </c>
      <c r="L3" s="120" t="s">
        <v>194</v>
      </c>
      <c r="M3" s="120" t="s">
        <v>195</v>
      </c>
      <c r="N3" s="142">
        <v>45717</v>
      </c>
      <c r="O3" s="142">
        <v>46082</v>
      </c>
      <c r="P3" s="142">
        <v>46447</v>
      </c>
      <c r="Q3" s="142">
        <v>46813</v>
      </c>
      <c r="R3" s="142">
        <v>47178</v>
      </c>
      <c r="S3" s="142">
        <v>11018</v>
      </c>
      <c r="T3" s="142">
        <v>11383</v>
      </c>
    </row>
    <row r="5" spans="1:20" x14ac:dyDescent="0.25">
      <c r="A5" t="s">
        <v>196</v>
      </c>
      <c r="D5" s="42">
        <f>Data!B7</f>
        <v>6459</v>
      </c>
      <c r="E5" s="42">
        <f>Data!C7</f>
        <v>8601</v>
      </c>
      <c r="F5" s="42">
        <f>Data!D7</f>
        <v>11926</v>
      </c>
      <c r="G5" s="42">
        <f>Data!E7</f>
        <v>15121</v>
      </c>
      <c r="H5" s="42">
        <f>Data!F7</f>
        <v>20053</v>
      </c>
      <c r="I5" s="42">
        <f>Data!G7</f>
        <v>24930</v>
      </c>
      <c r="J5" s="42">
        <f>Data!H7</f>
        <v>24337</v>
      </c>
      <c r="K5" s="42">
        <f>Data!I7</f>
        <v>31090</v>
      </c>
      <c r="L5" s="42">
        <f>Data!J7</f>
        <v>42968</v>
      </c>
      <c r="M5" s="42">
        <f>Data!K7</f>
        <v>50934</v>
      </c>
      <c r="N5" s="42">
        <f>Data!L7</f>
        <v>59482</v>
      </c>
      <c r="O5" s="42">
        <f>'Financial model'!N5</f>
        <v>75189.396756477858</v>
      </c>
      <c r="P5" s="42">
        <f>'Financial model'!O5</f>
        <v>95044.64181774389</v>
      </c>
      <c r="Q5" s="42">
        <f>'Financial model'!P5</f>
        <v>120143.05644080008</v>
      </c>
      <c r="R5" s="42">
        <f>'Financial model'!Q5</f>
        <v>151869.20309107343</v>
      </c>
      <c r="S5" s="42">
        <f>'Financial model'!R5</f>
        <v>191973.26529546472</v>
      </c>
      <c r="T5" s="42">
        <f>'Financial model'!S5</f>
        <v>242667.59710395208</v>
      </c>
    </row>
    <row r="7" spans="1:20" x14ac:dyDescent="0.25">
      <c r="A7" t="s">
        <v>197</v>
      </c>
    </row>
    <row r="8" spans="1:20" x14ac:dyDescent="0.25">
      <c r="A8" s="87" t="s">
        <v>198</v>
      </c>
      <c r="D8" s="42">
        <f>Data!B8</f>
        <v>5983</v>
      </c>
      <c r="E8" s="42">
        <f>Data!C8</f>
        <v>7919</v>
      </c>
      <c r="F8" s="42">
        <f>Data!D8</f>
        <v>10929</v>
      </c>
      <c r="G8" s="42">
        <f>Data!E8</f>
        <v>13680</v>
      </c>
      <c r="H8" s="42">
        <f>Data!F8</f>
        <v>18371</v>
      </c>
      <c r="I8" s="42">
        <f>Data!G8</f>
        <v>22742</v>
      </c>
      <c r="J8" s="42">
        <f>Data!H8</f>
        <v>22398</v>
      </c>
      <c r="K8" s="42">
        <f>Data!I8</f>
        <v>28474</v>
      </c>
      <c r="L8" s="42">
        <f>Data!J8</f>
        <v>39201</v>
      </c>
      <c r="M8" s="42">
        <f>Data!K8</f>
        <v>46683</v>
      </c>
      <c r="N8" s="42">
        <f>Data!L8</f>
        <v>54871</v>
      </c>
      <c r="O8" s="43">
        <f>'Financial model'!N8</f>
        <v>68800.136465039323</v>
      </c>
      <c r="P8" s="43">
        <f>'Financial model'!O8</f>
        <v>86968.171170600544</v>
      </c>
      <c r="Q8" s="43">
        <f>'Financial model'!P8</f>
        <v>109933.8342243294</v>
      </c>
      <c r="R8" s="43">
        <f>'Financial model'!Q8</f>
        <v>138964.03413560352</v>
      </c>
      <c r="S8" s="43">
        <f>'Financial model'!R8</f>
        <v>175660.23162473729</v>
      </c>
      <c r="T8" s="43">
        <f>'Financial model'!S8</f>
        <v>222046.78474105059</v>
      </c>
    </row>
    <row r="10" spans="1:20" ht="15.75" thickBot="1" x14ac:dyDescent="0.3">
      <c r="A10" s="88" t="s">
        <v>199</v>
      </c>
      <c r="B10" s="88"/>
      <c r="C10" s="88"/>
      <c r="D10" s="89">
        <f>D5-D8</f>
        <v>476</v>
      </c>
      <c r="E10" s="89">
        <f t="shared" ref="E10:T10" si="0">E5-E8</f>
        <v>682</v>
      </c>
      <c r="F10" s="89">
        <f t="shared" si="0"/>
        <v>997</v>
      </c>
      <c r="G10" s="89">
        <f t="shared" si="0"/>
        <v>1441</v>
      </c>
      <c r="H10" s="89">
        <f t="shared" si="0"/>
        <v>1682</v>
      </c>
      <c r="I10" s="89">
        <f t="shared" si="0"/>
        <v>2188</v>
      </c>
      <c r="J10" s="89">
        <f t="shared" si="0"/>
        <v>1939</v>
      </c>
      <c r="K10" s="89">
        <f t="shared" si="0"/>
        <v>2616</v>
      </c>
      <c r="L10" s="89">
        <f t="shared" si="0"/>
        <v>3767</v>
      </c>
      <c r="M10" s="89">
        <f t="shared" si="0"/>
        <v>4251</v>
      </c>
      <c r="N10" s="89">
        <f t="shared" si="0"/>
        <v>4611</v>
      </c>
      <c r="O10" s="89">
        <f t="shared" si="0"/>
        <v>6389.2602914385352</v>
      </c>
      <c r="P10" s="89">
        <f t="shared" si="0"/>
        <v>8076.4706471433456</v>
      </c>
      <c r="Q10" s="89">
        <f t="shared" si="0"/>
        <v>10209.222216470676</v>
      </c>
      <c r="R10" s="89">
        <f t="shared" si="0"/>
        <v>12905.168955469911</v>
      </c>
      <c r="S10" s="89">
        <f t="shared" si="0"/>
        <v>16313.033670727425</v>
      </c>
      <c r="T10" s="89">
        <f t="shared" si="0"/>
        <v>20620.812362901488</v>
      </c>
    </row>
    <row r="12" spans="1:20" x14ac:dyDescent="0.25">
      <c r="A12" s="139" t="s">
        <v>200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20"/>
      <c r="O12" s="120"/>
      <c r="P12" s="120"/>
      <c r="Q12" s="120"/>
      <c r="R12" s="120"/>
      <c r="S12" s="120"/>
      <c r="T12" s="120"/>
    </row>
    <row r="13" spans="1:20" ht="15.75" thickBot="1" x14ac:dyDescent="0.3"/>
    <row r="14" spans="1:20" ht="15.75" thickBot="1" x14ac:dyDescent="0.3">
      <c r="A14" s="90" t="s">
        <v>201</v>
      </c>
      <c r="B14" s="91">
        <f>WACC!J21</f>
        <v>0.10386388114285716</v>
      </c>
    </row>
    <row r="16" spans="1:20" x14ac:dyDescent="0.25">
      <c r="A16" s="139" t="s">
        <v>202</v>
      </c>
      <c r="B16" s="140"/>
      <c r="C16" s="140"/>
      <c r="D16" s="141" t="s">
        <v>186</v>
      </c>
      <c r="E16" s="141" t="s">
        <v>187</v>
      </c>
      <c r="F16" s="141" t="s">
        <v>188</v>
      </c>
      <c r="G16" s="141" t="s">
        <v>189</v>
      </c>
      <c r="H16" s="141" t="s">
        <v>190</v>
      </c>
      <c r="I16" s="120" t="s">
        <v>191</v>
      </c>
      <c r="J16" s="120" t="s">
        <v>192</v>
      </c>
      <c r="K16" s="120" t="s">
        <v>193</v>
      </c>
      <c r="L16" s="120" t="s">
        <v>194</v>
      </c>
      <c r="M16" s="120" t="s">
        <v>195</v>
      </c>
      <c r="N16" s="142">
        <v>45717</v>
      </c>
      <c r="O16" s="142">
        <v>46082</v>
      </c>
      <c r="P16" s="142">
        <v>46447</v>
      </c>
      <c r="Q16" s="142">
        <v>46813</v>
      </c>
      <c r="R16" s="142">
        <v>47178</v>
      </c>
      <c r="S16" s="142">
        <v>11018</v>
      </c>
      <c r="T16" s="142">
        <v>11383</v>
      </c>
    </row>
    <row r="17" spans="1:20" x14ac:dyDescent="0.25">
      <c r="D17" s="92">
        <v>1</v>
      </c>
      <c r="E17" s="92">
        <f>D17+1</f>
        <v>2</v>
      </c>
      <c r="F17" s="92">
        <f t="shared" ref="F17:H17" si="1">E17+1</f>
        <v>3</v>
      </c>
      <c r="G17" s="92">
        <f t="shared" si="1"/>
        <v>4</v>
      </c>
      <c r="H17" s="92">
        <f t="shared" si="1"/>
        <v>5</v>
      </c>
      <c r="I17" s="92">
        <v>6</v>
      </c>
      <c r="J17" s="92">
        <f>I17+1</f>
        <v>7</v>
      </c>
      <c r="K17" s="92">
        <f t="shared" ref="K17:M17" si="2">J17+1</f>
        <v>8</v>
      </c>
      <c r="L17" s="92">
        <f t="shared" si="2"/>
        <v>9</v>
      </c>
      <c r="M17" s="92">
        <f t="shared" si="2"/>
        <v>10</v>
      </c>
      <c r="N17" s="93">
        <f>M17+1</f>
        <v>11</v>
      </c>
      <c r="O17" s="93">
        <f t="shared" ref="O17:T17" si="3">N17+1</f>
        <v>12</v>
      </c>
      <c r="P17" s="93">
        <f t="shared" si="3"/>
        <v>13</v>
      </c>
      <c r="Q17" s="93">
        <f t="shared" si="3"/>
        <v>14</v>
      </c>
      <c r="R17" s="93">
        <f t="shared" si="3"/>
        <v>15</v>
      </c>
      <c r="S17" s="93">
        <f t="shared" si="3"/>
        <v>16</v>
      </c>
      <c r="T17" s="93">
        <f t="shared" si="3"/>
        <v>17</v>
      </c>
    </row>
    <row r="18" spans="1:20" x14ac:dyDescent="0.25">
      <c r="B18" s="11"/>
    </row>
    <row r="19" spans="1:20" x14ac:dyDescent="0.25">
      <c r="A19" t="s">
        <v>203</v>
      </c>
      <c r="B19" s="94"/>
      <c r="D19" s="95">
        <f>1/((1+$B14)^D17)</f>
        <v>0.90590879644026001</v>
      </c>
      <c r="E19" s="95">
        <f>1/((1+$B14)^E17)</f>
        <v>0.82067074746784052</v>
      </c>
      <c r="F19" s="95">
        <f>1/((1+$B14)^F17)</f>
        <v>0.74345284911232001</v>
      </c>
      <c r="G19" s="95">
        <f>1/((1+$B14)^G17)</f>
        <v>0.67350047574942418</v>
      </c>
      <c r="H19" s="95">
        <f>1/((1+$B14)^H17)</f>
        <v>0.61013000538810336</v>
      </c>
      <c r="I19" s="95">
        <f t="shared" ref="I19:L19" si="4">1/((1+$B14)^I17)</f>
        <v>0.55272213885322619</v>
      </c>
      <c r="J19" s="95">
        <f t="shared" si="4"/>
        <v>0.50071584757441245</v>
      </c>
      <c r="K19" s="95">
        <f t="shared" si="4"/>
        <v>0.45360289083470062</v>
      </c>
      <c r="L19" s="95">
        <f t="shared" si="4"/>
        <v>0.41092284889788638</v>
      </c>
      <c r="M19" s="95">
        <f>1/((1+$B14)^M17)</f>
        <v>0.37225862347488708</v>
      </c>
      <c r="N19" s="95">
        <f t="shared" ref="N19:T19" si="5">1/((1+$B14)^N17)</f>
        <v>0.33723236155664288</v>
      </c>
      <c r="O19" s="95">
        <f t="shared" si="5"/>
        <v>0.30550176277848501</v>
      </c>
      <c r="P19" s="95">
        <f t="shared" si="5"/>
        <v>0.27675673422903518</v>
      </c>
      <c r="Q19" s="95">
        <f t="shared" si="5"/>
        <v>0.25071636001216219</v>
      </c>
      <c r="R19" s="95">
        <f t="shared" si="5"/>
        <v>0.22712615594650082</v>
      </c>
      <c r="S19" s="95">
        <f t="shared" si="5"/>
        <v>0.20575558257359733</v>
      </c>
      <c r="T19" s="95">
        <f t="shared" si="5"/>
        <v>0.18639579217011212</v>
      </c>
    </row>
    <row r="21" spans="1:20" ht="15.75" thickBot="1" x14ac:dyDescent="0.3">
      <c r="A21" s="96" t="s">
        <v>204</v>
      </c>
      <c r="B21" s="96"/>
      <c r="C21" s="96"/>
      <c r="D21" s="97">
        <f>D10*D19</f>
        <v>431.21258710556378</v>
      </c>
      <c r="E21" s="97">
        <f>E10*E19</f>
        <v>559.69744977306721</v>
      </c>
      <c r="F21" s="97">
        <f>F10*F19</f>
        <v>741.2224905649831</v>
      </c>
      <c r="G21" s="97">
        <f>G10*G19</f>
        <v>970.51418555492023</v>
      </c>
      <c r="H21" s="97">
        <f>H10*H19</f>
        <v>1026.2386690627898</v>
      </c>
      <c r="I21" s="98">
        <f t="shared" ref="I21:T21" si="6">I10*I19</f>
        <v>1209.3560398108589</v>
      </c>
      <c r="J21" s="98">
        <f t="shared" si="6"/>
        <v>970.88802844678571</v>
      </c>
      <c r="K21" s="98">
        <f t="shared" si="6"/>
        <v>1186.6251624235767</v>
      </c>
      <c r="L21" s="98">
        <f t="shared" si="6"/>
        <v>1547.9463717983381</v>
      </c>
      <c r="M21" s="98">
        <f t="shared" si="6"/>
        <v>1582.4714083917449</v>
      </c>
      <c r="N21" s="98">
        <f t="shared" si="6"/>
        <v>1554.9784191376802</v>
      </c>
      <c r="O21" s="98">
        <f t="shared" si="6"/>
        <v>1951.9302818850495</v>
      </c>
      <c r="P21" s="98">
        <f t="shared" si="6"/>
        <v>2235.2176404000547</v>
      </c>
      <c r="Q21" s="98">
        <f t="shared" si="6"/>
        <v>2559.6190326688265</v>
      </c>
      <c r="R21" s="98">
        <f t="shared" si="6"/>
        <v>2931.1014166960003</v>
      </c>
      <c r="S21" s="98">
        <f t="shared" si="6"/>
        <v>3356.4977464632302</v>
      </c>
      <c r="T21" s="98">
        <f t="shared" si="6"/>
        <v>3843.6326555742644</v>
      </c>
    </row>
    <row r="23" spans="1:20" x14ac:dyDescent="0.25">
      <c r="A23" s="139" t="s">
        <v>205</v>
      </c>
      <c r="B23" s="140"/>
      <c r="C23" s="140"/>
      <c r="D23" s="140"/>
      <c r="E23" s="140"/>
      <c r="F23" s="140"/>
      <c r="G23" s="140"/>
      <c r="H23" s="140"/>
      <c r="I23" s="139"/>
      <c r="J23" s="139"/>
      <c r="K23" s="139"/>
      <c r="L23" s="139"/>
      <c r="M23" s="139"/>
    </row>
    <row r="25" spans="1:20" ht="15.75" thickBot="1" x14ac:dyDescent="0.3">
      <c r="A25" t="s">
        <v>201</v>
      </c>
      <c r="H25" s="94">
        <f>B14</f>
        <v>0.10386388114285716</v>
      </c>
      <c r="O25" s="16"/>
    </row>
    <row r="26" spans="1:20" ht="15.75" thickBot="1" x14ac:dyDescent="0.3">
      <c r="A26" t="s">
        <v>206</v>
      </c>
      <c r="H26" s="91">
        <v>0.04</v>
      </c>
      <c r="O26" s="178" t="s">
        <v>231</v>
      </c>
      <c r="P26" s="179"/>
      <c r="Q26" s="179"/>
      <c r="R26" s="179"/>
      <c r="S26" s="179"/>
      <c r="T26" s="180"/>
    </row>
    <row r="27" spans="1:20" x14ac:dyDescent="0.25">
      <c r="H27" s="99"/>
      <c r="O27" s="181"/>
      <c r="P27" s="182"/>
      <c r="Q27" s="182"/>
      <c r="R27" s="182"/>
      <c r="S27" s="182"/>
      <c r="T27" s="183"/>
    </row>
    <row r="28" spans="1:20" x14ac:dyDescent="0.25">
      <c r="A28" s="90" t="s">
        <v>207</v>
      </c>
      <c r="H28" s="100">
        <f>(S10*(1+H26))/(H25-H26)</f>
        <v>265651.80057889468</v>
      </c>
      <c r="O28" s="181"/>
      <c r="P28" s="182"/>
      <c r="Q28" s="184" t="s">
        <v>232</v>
      </c>
      <c r="R28" s="184"/>
      <c r="S28" s="184"/>
      <c r="T28" s="185"/>
    </row>
    <row r="29" spans="1:20" x14ac:dyDescent="0.25">
      <c r="O29" s="181"/>
      <c r="P29" s="186">
        <f>'DCF &amp; Senstivity Analysis'!D40</f>
        <v>278.21136205970151</v>
      </c>
      <c r="Q29" s="187">
        <v>0.03</v>
      </c>
      <c r="R29" s="187">
        <v>0.04</v>
      </c>
      <c r="S29" s="187">
        <v>0.05</v>
      </c>
      <c r="T29" s="188">
        <v>0.06</v>
      </c>
    </row>
    <row r="30" spans="1:20" x14ac:dyDescent="0.25">
      <c r="A30" s="139" t="s">
        <v>208</v>
      </c>
      <c r="B30" s="140"/>
      <c r="C30" s="140"/>
      <c r="D30" s="140"/>
      <c r="E30" s="140"/>
      <c r="F30" s="140"/>
      <c r="G30" s="140"/>
      <c r="H30" s="140"/>
      <c r="I30" s="139"/>
      <c r="J30" s="139"/>
      <c r="K30" s="139"/>
      <c r="L30" s="139"/>
      <c r="M30" s="139"/>
      <c r="O30" s="189" t="s">
        <v>233</v>
      </c>
      <c r="P30" s="187">
        <v>0.09</v>
      </c>
      <c r="Q30" s="186">
        <f t="dataTable" ref="Q30:T33" dt2D="1" dtr="1" r1="H26" r2="B14"/>
        <v>314.21044865738207</v>
      </c>
      <c r="R30" s="186">
        <v>373.41112649816239</v>
      </c>
      <c r="S30" s="186">
        <v>462.21214325933295</v>
      </c>
      <c r="T30" s="190">
        <v>610.21383786128365</v>
      </c>
    </row>
    <row r="31" spans="1:20" x14ac:dyDescent="0.25">
      <c r="O31" s="189"/>
      <c r="P31" s="187">
        <v>0.1</v>
      </c>
      <c r="Q31" s="186">
        <v>259.56295932586477</v>
      </c>
      <c r="R31" s="186">
        <v>300.33231941035353</v>
      </c>
      <c r="S31" s="186">
        <v>357.40942352863789</v>
      </c>
      <c r="T31" s="190">
        <v>443.02507970606422</v>
      </c>
    </row>
    <row r="32" spans="1:20" ht="15.75" thickBot="1" x14ac:dyDescent="0.3">
      <c r="C32" s="101" t="s">
        <v>209</v>
      </c>
      <c r="E32" s="101" t="s">
        <v>210</v>
      </c>
      <c r="G32" s="101" t="s">
        <v>211</v>
      </c>
      <c r="O32" s="189"/>
      <c r="P32" s="187">
        <v>0.11</v>
      </c>
      <c r="Q32" s="186">
        <v>218.62023330756287</v>
      </c>
      <c r="R32" s="186">
        <v>248.11017974211262</v>
      </c>
      <c r="S32" s="186">
        <v>287.43010832151236</v>
      </c>
      <c r="T32" s="190">
        <v>342.47800833267195</v>
      </c>
    </row>
    <row r="33" spans="1:20" ht="15.75" thickBot="1" x14ac:dyDescent="0.3">
      <c r="A33" s="94"/>
      <c r="C33" s="102">
        <f>SUM(O21:T21)</f>
        <v>16877.998773687425</v>
      </c>
      <c r="D33" s="103" t="s">
        <v>212</v>
      </c>
      <c r="E33" s="102">
        <f>H19*H28</f>
        <v>162082.13451856037</v>
      </c>
      <c r="F33" s="103" t="s">
        <v>213</v>
      </c>
      <c r="G33" s="109">
        <f>C33+E33</f>
        <v>178960.1332922478</v>
      </c>
      <c r="O33" s="191"/>
      <c r="P33" s="192">
        <v>0.12</v>
      </c>
      <c r="Q33" s="193">
        <v>186.8893474202508</v>
      </c>
      <c r="R33" s="193">
        <v>209.01771305079825</v>
      </c>
      <c r="S33" s="193">
        <v>237.46846886150212</v>
      </c>
      <c r="T33" s="194">
        <v>275.40280994244057</v>
      </c>
    </row>
    <row r="36" spans="1:20" x14ac:dyDescent="0.25">
      <c r="C36" s="104" t="s">
        <v>214</v>
      </c>
      <c r="D36" s="105">
        <f>G33+'Financial model'!L46</f>
        <v>181032.1332922478</v>
      </c>
    </row>
    <row r="37" spans="1:20" x14ac:dyDescent="0.25">
      <c r="C37" s="104"/>
      <c r="D37" s="104"/>
    </row>
    <row r="38" spans="1:20" x14ac:dyDescent="0.25">
      <c r="C38" s="104" t="s">
        <v>215</v>
      </c>
      <c r="D38" s="104">
        <v>650.70000000000005</v>
      </c>
    </row>
    <row r="39" spans="1:20" x14ac:dyDescent="0.25">
      <c r="C39" s="104"/>
      <c r="D39" s="104"/>
    </row>
    <row r="40" spans="1:20" x14ac:dyDescent="0.25">
      <c r="C40" s="106" t="s">
        <v>216</v>
      </c>
      <c r="D40" s="143">
        <f>D36/D38</f>
        <v>278.21136205970151</v>
      </c>
      <c r="E40" s="163" t="s">
        <v>217</v>
      </c>
      <c r="F40" s="164"/>
      <c r="G40" s="164"/>
      <c r="H40" s="165"/>
    </row>
    <row r="41" spans="1:20" x14ac:dyDescent="0.25">
      <c r="C41" s="104"/>
      <c r="D41" s="104"/>
    </row>
    <row r="42" spans="1:20" x14ac:dyDescent="0.25">
      <c r="C42" s="104" t="s">
        <v>218</v>
      </c>
      <c r="D42" s="104">
        <v>4203</v>
      </c>
    </row>
    <row r="44" spans="1:20" x14ac:dyDescent="0.25">
      <c r="D44" s="108"/>
      <c r="E44" s="107"/>
    </row>
  </sheetData>
  <mergeCells count="5">
    <mergeCell ref="D1:J1"/>
    <mergeCell ref="E40:H40"/>
    <mergeCell ref="Q28:T28"/>
    <mergeCell ref="O30:O33"/>
    <mergeCell ref="O26:T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Financial model</vt:lpstr>
      <vt:lpstr>Scenario case</vt:lpstr>
      <vt:lpstr>Cash Flow Data</vt:lpstr>
      <vt:lpstr>Ratio Analysis</vt:lpstr>
      <vt:lpstr>Peer Comparison</vt:lpstr>
      <vt:lpstr>WACC</vt:lpstr>
      <vt:lpstr>DCF &amp; Senstivity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saraiya</dc:creator>
  <cp:lastModifiedBy>sakshi saraiya</cp:lastModifiedBy>
  <dcterms:created xsi:type="dcterms:W3CDTF">2025-06-19T07:44:29Z</dcterms:created>
  <dcterms:modified xsi:type="dcterms:W3CDTF">2025-06-21T10:46:09Z</dcterms:modified>
</cp:coreProperties>
</file>