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Autumn1" sheetId="2" r:id="rId4"/>
    <sheet state="visible" name="GreenlandIceSheet" sheetId="3" r:id="rId5"/>
    <sheet state="visible" name="Pumpkin1" sheetId="4" r:id="rId6"/>
    <sheet state="visible" name="P5Tamil" sheetId="5" r:id="rId7"/>
    <sheet state="visible" name="Skills" sheetId="6" r:id="rId8"/>
    <sheet state="visible" name="P2GlobalWarming" sheetId="7" r:id="rId9"/>
  </sheets>
  <definedNames/>
  <calcPr/>
</workbook>
</file>

<file path=xl/sharedStrings.xml><?xml version="1.0" encoding="utf-8"?>
<sst xmlns="http://schemas.openxmlformats.org/spreadsheetml/2006/main" count="260" uniqueCount="109">
  <si>
    <t>Image</t>
  </si>
  <si>
    <t>SSIM</t>
  </si>
  <si>
    <t>PSNR</t>
  </si>
  <si>
    <t>ERR</t>
  </si>
  <si>
    <t>Host_img_size</t>
  </si>
  <si>
    <t>Secret_image_size</t>
  </si>
  <si>
    <t>time</t>
  </si>
  <si>
    <t>Autumn1_Workflow.png</t>
  </si>
  <si>
    <t>(1920, 1200)</t>
  </si>
  <si>
    <t>(508, 364)</t>
  </si>
  <si>
    <t>Autumn1_skills.png</t>
  </si>
  <si>
    <t>(583, 225)</t>
  </si>
  <si>
    <t>GreenlandIceSheet_States.png</t>
  </si>
  <si>
    <t>(2048, 1152)</t>
  </si>
  <si>
    <t>(1718, 481)</t>
  </si>
  <si>
    <t>RainyLondon_States.png</t>
  </si>
  <si>
    <t>(3840, 2160)</t>
  </si>
  <si>
    <t>RainyLondon_Workflow.png</t>
  </si>
  <si>
    <t>Pumpkin1_Level.png</t>
  </si>
  <si>
    <t>(2121, 1414)</t>
  </si>
  <si>
    <t>(1830, 914)</t>
  </si>
  <si>
    <t>Kids_Level.png</t>
  </si>
  <si>
    <t>(3760, 1728)</t>
  </si>
  <si>
    <t>RainyLondon_P4Europe.png</t>
  </si>
  <si>
    <t>(1626, 832)</t>
  </si>
  <si>
    <t>RainyLondon_Sensore.png</t>
  </si>
  <si>
    <t>(516, 576)</t>
  </si>
  <si>
    <t>Autumn3_P1ChildLabour.png</t>
  </si>
  <si>
    <t>(2560, 1440)</t>
  </si>
  <si>
    <t>(1735, 927)</t>
  </si>
  <si>
    <t>RainyLondon_rule.png</t>
  </si>
  <si>
    <t>(1028, 170)</t>
  </si>
  <si>
    <t>Kids_skills.png</t>
  </si>
  <si>
    <t>Pumpkin1_Sensore.png</t>
  </si>
  <si>
    <t>GreelanIceCap_P1ChildLabour.png</t>
  </si>
  <si>
    <t>GreenlandIceSheet_P4Europe.png</t>
  </si>
  <si>
    <t>GreenlandIceSheet_skills.png</t>
  </si>
  <si>
    <t>GreenlandIceSheet_P2GlobalWarming.png</t>
  </si>
  <si>
    <t>(1755, 881)</t>
  </si>
  <si>
    <t>FamilyRunningMAsk_Sensore.png</t>
  </si>
  <si>
    <t>(1080, 1080)</t>
  </si>
  <si>
    <t>Kids_Sensore.png</t>
  </si>
  <si>
    <t>FamilyRunningMAsk_Workflow.png</t>
  </si>
  <si>
    <t>Pumpkin1_P3Interlaken.png</t>
  </si>
  <si>
    <t>(1739, 899)</t>
  </si>
  <si>
    <t>GreenlandIceSheet_Level.png</t>
  </si>
  <si>
    <t>GreelanIceCap_P4Europe.png</t>
  </si>
  <si>
    <t>Pumpkin1_P2GlobalWarming.png</t>
  </si>
  <si>
    <t>Kids_P5Tamil.png</t>
  </si>
  <si>
    <t>(1702, 934)</t>
  </si>
  <si>
    <t>Pumpkin1_Workflow.png</t>
  </si>
  <si>
    <t>Kids_P1ChildLabour.png</t>
  </si>
  <si>
    <t>RainyLondon_skills.png</t>
  </si>
  <si>
    <t>dog_Workflow.png</t>
  </si>
  <si>
    <t>(800, 534)</t>
  </si>
  <si>
    <t>FamilyRunningMAsk_rule.png</t>
  </si>
  <si>
    <t>FamilyRunningMAsk_skills.png</t>
  </si>
  <si>
    <t>RainyLondon_P1ChildLabour.png</t>
  </si>
  <si>
    <t>Autumn3_skills.png</t>
  </si>
  <si>
    <t>GreelanIceCap_States.png</t>
  </si>
  <si>
    <t>Autumn1_P3Interlaken.png</t>
  </si>
  <si>
    <t>GreenlandIceSheet_P5Tamil.png</t>
  </si>
  <si>
    <t>Kids_Workflow.png</t>
  </si>
  <si>
    <t>Autumn1_rule.png</t>
  </si>
  <si>
    <t>Autumn3_P5Tamil.png</t>
  </si>
  <si>
    <t>Autumn1_P5Tamil.png</t>
  </si>
  <si>
    <t>Pumpkin1_P1ChildLabour.png</t>
  </si>
  <si>
    <t>GreelanIceCap_Level.png</t>
  </si>
  <si>
    <t>Autumn3_Workflow.png</t>
  </si>
  <si>
    <t>RainyLondon_P2GlobalWarming.png</t>
  </si>
  <si>
    <t>Autumn3_P3Interlaken.png</t>
  </si>
  <si>
    <t>GreelanIceCap_Sensore.png</t>
  </si>
  <si>
    <t>Pumpkin1_skills.png</t>
  </si>
  <si>
    <t>GreenlandIceSheet_P1ChildLabour.png</t>
  </si>
  <si>
    <t>RainyLondon_P5Tamil.png</t>
  </si>
  <si>
    <t>GreelanIceCap_P2GlobalWarming.png</t>
  </si>
  <si>
    <t>dog_skills.png</t>
  </si>
  <si>
    <t>Kids_P2GlobalWarming.png</t>
  </si>
  <si>
    <t>Pumpkin1_States.png</t>
  </si>
  <si>
    <t>GreenlandIceSheet_rule.png</t>
  </si>
  <si>
    <t>GreelanIceCap_P3Interlaken.png</t>
  </si>
  <si>
    <t>GreenlandIceSheet_Sensore.png</t>
  </si>
  <si>
    <t>GreenlandIceSheet_Workflow.png</t>
  </si>
  <si>
    <t>Autumn1_P1ChildLabour.png</t>
  </si>
  <si>
    <t>Pumpkin1_P4Europe.png</t>
  </si>
  <si>
    <t>Autumn3_States.png</t>
  </si>
  <si>
    <t>Autumn1_P2GlobalWarming.png</t>
  </si>
  <si>
    <t>GreelanIceCap_P5Tamil.png</t>
  </si>
  <si>
    <t>Kids_rule.png</t>
  </si>
  <si>
    <t>Autumn1_P4Europe.png</t>
  </si>
  <si>
    <t>Autumn3_P2GlobalWarming.png</t>
  </si>
  <si>
    <t>Autumn3_rule.png</t>
  </si>
  <si>
    <t>GreelanIceCap_skills.png</t>
  </si>
  <si>
    <t>Autumn3_P4Europe.png</t>
  </si>
  <si>
    <t>Autumn3_Level.png</t>
  </si>
  <si>
    <t>RainyLondon_Level.png</t>
  </si>
  <si>
    <t>Pumpkin1_P5Tamil.png</t>
  </si>
  <si>
    <t>GreelanIceCap_rule.png</t>
  </si>
  <si>
    <t>Autumn1_States.png</t>
  </si>
  <si>
    <t>Autumn1_Level.png</t>
  </si>
  <si>
    <t>RainyLondon_P3Interlaken.png</t>
  </si>
  <si>
    <t>Autumn1_Sensore.png</t>
  </si>
  <si>
    <t>GreenlandIceSheet_P3Interlaken.png</t>
  </si>
  <si>
    <t>Autumn3_Sensore.png</t>
  </si>
  <si>
    <t>Pumpkin1_rule.png</t>
  </si>
  <si>
    <t>GreelanIceCap_Workflow.png</t>
  </si>
  <si>
    <t>Kids_P4Europe.png</t>
  </si>
  <si>
    <t>Kids_States.png</t>
  </si>
  <si>
    <t>Kids_P3Interlaken.png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</si>
</sst>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1</v>
      </c>
      <c r="K1" s="1" t="s">
        <v>2</v>
      </c>
      <c r="L1" s="1" t="s">
        <v>3</v>
      </c>
      <c r="M1" s="1" t="s">
        <v>6</v>
      </c>
    </row>
    <row r="2">
      <c r="A2" s="1" t="s">
        <v>7</v>
      </c>
      <c r="B2" s="1">
        <f t="shared" ref="B2:D2" si="1">ROUND(J2, 4)</f>
        <v>0.9923</v>
      </c>
      <c r="C2" s="1">
        <f t="shared" si="1"/>
        <v>41.6377</v>
      </c>
      <c r="D2" s="1">
        <f t="shared" si="1"/>
        <v>13.3793</v>
      </c>
      <c r="E2" s="1" t="s">
        <v>8</v>
      </c>
      <c r="F2" s="1" t="s">
        <v>9</v>
      </c>
      <c r="G2" s="1">
        <f t="shared" ref="G2:G84" si="3">ROUND(M2, 4)</f>
        <v>3.7236</v>
      </c>
      <c r="J2" s="1">
        <v>0.992303332916063</v>
      </c>
      <c r="K2" s="1">
        <v>41.6376826877073</v>
      </c>
      <c r="L2" s="1">
        <v>13.3792986111111</v>
      </c>
      <c r="M2" s="1">
        <v>3.72357630729675</v>
      </c>
    </row>
    <row r="3">
      <c r="A3" s="1" t="s">
        <v>10</v>
      </c>
      <c r="B3" s="1">
        <f t="shared" ref="B3:D3" si="2">ROUND(J3, 4)</f>
        <v>0.9925</v>
      </c>
      <c r="C3" s="1">
        <f t="shared" si="2"/>
        <v>41.6761</v>
      </c>
      <c r="D3" s="1">
        <f t="shared" si="2"/>
        <v>13.2614</v>
      </c>
      <c r="E3" s="1" t="s">
        <v>8</v>
      </c>
      <c r="F3" s="1" t="s">
        <v>11</v>
      </c>
      <c r="G3" s="1">
        <f t="shared" si="3"/>
        <v>3.6295</v>
      </c>
      <c r="J3" s="1">
        <v>0.992493226250144</v>
      </c>
      <c r="K3" s="1">
        <v>41.6761072847296</v>
      </c>
      <c r="L3" s="1">
        <v>13.2614461805555</v>
      </c>
      <c r="M3" s="1">
        <v>3.62950205802917</v>
      </c>
    </row>
    <row r="4">
      <c r="A4" s="1" t="s">
        <v>12</v>
      </c>
      <c r="B4" s="1">
        <f t="shared" ref="B4:D4" si="4">ROUND(J4, 4)</f>
        <v>0.9894</v>
      </c>
      <c r="C4" s="1">
        <f t="shared" si="4"/>
        <v>46.5934</v>
      </c>
      <c r="D4" s="1">
        <f t="shared" si="4"/>
        <v>4.2743</v>
      </c>
      <c r="E4" s="1" t="s">
        <v>13</v>
      </c>
      <c r="F4" s="1" t="s">
        <v>14</v>
      </c>
      <c r="G4" s="1">
        <f t="shared" si="3"/>
        <v>4.3635</v>
      </c>
      <c r="J4" s="1">
        <v>0.989442775042696</v>
      </c>
      <c r="K4" s="1">
        <v>46.593412183874</v>
      </c>
      <c r="L4" s="1">
        <v>4.27425469292534</v>
      </c>
      <c r="M4" s="1">
        <v>4.36354398727417</v>
      </c>
    </row>
    <row r="5">
      <c r="A5" s="1" t="s">
        <v>15</v>
      </c>
      <c r="B5" s="1">
        <f t="shared" ref="B5:D5" si="5">ROUND(J5, 4)</f>
        <v>0.9949</v>
      </c>
      <c r="C5" s="1">
        <f t="shared" si="5"/>
        <v>48.1051</v>
      </c>
      <c r="D5" s="1">
        <f t="shared" si="5"/>
        <v>3.0178</v>
      </c>
      <c r="E5" s="1" t="s">
        <v>16</v>
      </c>
      <c r="F5" s="1" t="s">
        <v>14</v>
      </c>
      <c r="G5" s="1">
        <f t="shared" si="3"/>
        <v>13.302</v>
      </c>
      <c r="J5" s="1">
        <v>0.994929468513234</v>
      </c>
      <c r="K5" s="1">
        <v>48.1051425531542</v>
      </c>
      <c r="L5" s="1">
        <v>3.0177785011574</v>
      </c>
      <c r="M5" s="1">
        <v>13.3019766807556</v>
      </c>
    </row>
    <row r="6">
      <c r="A6" s="1" t="s">
        <v>17</v>
      </c>
      <c r="B6" s="1">
        <f t="shared" ref="B6:D6" si="6">ROUND(J6, 4)</f>
        <v>0.9965</v>
      </c>
      <c r="C6" s="1">
        <f t="shared" si="6"/>
        <v>50.0101</v>
      </c>
      <c r="D6" s="1">
        <f t="shared" si="6"/>
        <v>1.9462</v>
      </c>
      <c r="E6" s="1" t="s">
        <v>16</v>
      </c>
      <c r="F6" s="1" t="s">
        <v>9</v>
      </c>
      <c r="G6" s="1">
        <f t="shared" si="3"/>
        <v>12.1279</v>
      </c>
      <c r="J6" s="1">
        <v>0.996498539137432</v>
      </c>
      <c r="K6" s="1">
        <v>50.0100659502834</v>
      </c>
      <c r="L6" s="1">
        <v>1.9462338445216</v>
      </c>
      <c r="M6" s="1">
        <v>12.1278536319732</v>
      </c>
    </row>
    <row r="7">
      <c r="A7" s="1" t="s">
        <v>18</v>
      </c>
      <c r="B7" s="1">
        <f t="shared" ref="B7:D7" si="7">ROUND(J7, 4)</f>
        <v>0.9791</v>
      </c>
      <c r="C7" s="1">
        <f t="shared" si="7"/>
        <v>42.4196</v>
      </c>
      <c r="D7" s="1">
        <f t="shared" si="7"/>
        <v>11.1749</v>
      </c>
      <c r="E7" s="1" t="s">
        <v>19</v>
      </c>
      <c r="F7" s="1" t="s">
        <v>20</v>
      </c>
      <c r="G7" s="1">
        <f t="shared" si="3"/>
        <v>5.3916</v>
      </c>
      <c r="J7" s="1">
        <v>0.97905230043573</v>
      </c>
      <c r="K7" s="1">
        <v>42.4195701819157</v>
      </c>
      <c r="L7" s="1">
        <v>11.1749244938638</v>
      </c>
      <c r="M7" s="1">
        <v>5.39160847663879</v>
      </c>
    </row>
    <row r="8">
      <c r="A8" s="1" t="s">
        <v>21</v>
      </c>
      <c r="B8" s="1">
        <f t="shared" ref="B8:D8" si="8">ROUND(J8, 4)</f>
        <v>0.9859</v>
      </c>
      <c r="C8" s="1">
        <f t="shared" si="8"/>
        <v>44.3494</v>
      </c>
      <c r="D8" s="1">
        <f t="shared" si="8"/>
        <v>7.1658</v>
      </c>
      <c r="E8" s="1" t="s">
        <v>22</v>
      </c>
      <c r="F8" s="1" t="s">
        <v>20</v>
      </c>
      <c r="G8" s="1">
        <f t="shared" si="3"/>
        <v>10.561</v>
      </c>
      <c r="J8" s="1">
        <v>0.985922095712785</v>
      </c>
      <c r="K8" s="1">
        <v>44.3493600032609</v>
      </c>
      <c r="L8" s="1">
        <v>7.16581538736209</v>
      </c>
      <c r="M8" s="1">
        <v>10.561006784439</v>
      </c>
    </row>
    <row r="9">
      <c r="A9" s="1" t="s">
        <v>23</v>
      </c>
      <c r="B9" s="1">
        <f t="shared" ref="B9:D9" si="9">ROUND(J9, 4)</f>
        <v>0.992</v>
      </c>
      <c r="C9" s="1">
        <f t="shared" si="9"/>
        <v>46.1265</v>
      </c>
      <c r="D9" s="1">
        <f t="shared" si="9"/>
        <v>4.7594</v>
      </c>
      <c r="E9" s="1" t="s">
        <v>16</v>
      </c>
      <c r="F9" s="1" t="s">
        <v>24</v>
      </c>
      <c r="G9" s="1">
        <f t="shared" si="3"/>
        <v>12.688</v>
      </c>
      <c r="J9" s="1">
        <v>0.99197478273213</v>
      </c>
      <c r="K9" s="1">
        <v>46.1264634390603</v>
      </c>
      <c r="L9" s="1">
        <v>4.75943359375</v>
      </c>
      <c r="M9" s="1">
        <v>12.6879577636718</v>
      </c>
    </row>
    <row r="10">
      <c r="A10" s="1" t="s">
        <v>25</v>
      </c>
      <c r="B10" s="1">
        <f t="shared" ref="B10:D10" si="10">ROUND(J10, 4)</f>
        <v>0.9964</v>
      </c>
      <c r="C10" s="1">
        <f t="shared" si="10"/>
        <v>49.9093</v>
      </c>
      <c r="D10" s="1">
        <f t="shared" si="10"/>
        <v>1.9919</v>
      </c>
      <c r="E10" s="1" t="s">
        <v>16</v>
      </c>
      <c r="F10" s="1" t="s">
        <v>26</v>
      </c>
      <c r="G10" s="1">
        <f t="shared" si="3"/>
        <v>12.3409</v>
      </c>
      <c r="J10" s="1">
        <v>0.99637576735336</v>
      </c>
      <c r="K10" s="1">
        <v>49.9093443516597</v>
      </c>
      <c r="L10" s="1">
        <v>1.99189838927469</v>
      </c>
      <c r="M10" s="1">
        <v>12.3408756256103</v>
      </c>
    </row>
    <row r="11">
      <c r="A11" s="1" t="s">
        <v>27</v>
      </c>
      <c r="B11" s="1">
        <f t="shared" ref="B11:D11" si="11">ROUND(J11, 4)</f>
        <v>0.9893</v>
      </c>
      <c r="C11" s="1">
        <f t="shared" si="11"/>
        <v>39.7061</v>
      </c>
      <c r="D11" s="1">
        <f t="shared" si="11"/>
        <v>20.8731</v>
      </c>
      <c r="E11" s="1" t="s">
        <v>28</v>
      </c>
      <c r="F11" s="1" t="s">
        <v>29</v>
      </c>
      <c r="G11" s="1">
        <f t="shared" si="3"/>
        <v>7.0926</v>
      </c>
      <c r="J11" s="1">
        <v>0.989330957418356</v>
      </c>
      <c r="K11" s="1">
        <v>39.7061483589465</v>
      </c>
      <c r="L11" s="1">
        <v>20.8730916341145</v>
      </c>
      <c r="M11" s="1">
        <v>7.09260487556457</v>
      </c>
    </row>
    <row r="12">
      <c r="A12" s="1" t="s">
        <v>30</v>
      </c>
      <c r="B12" s="1">
        <f t="shared" ref="B12:D12" si="12">ROUND(J12, 4)</f>
        <v>0.9966</v>
      </c>
      <c r="C12" s="1">
        <f t="shared" si="12"/>
        <v>50.187</v>
      </c>
      <c r="D12" s="1">
        <f t="shared" si="12"/>
        <v>1.8685</v>
      </c>
      <c r="E12" s="1" t="s">
        <v>16</v>
      </c>
      <c r="F12" s="1" t="s">
        <v>31</v>
      </c>
      <c r="G12" s="1">
        <f t="shared" si="3"/>
        <v>12.1001</v>
      </c>
      <c r="J12" s="1">
        <v>0.996586791594244</v>
      </c>
      <c r="K12" s="1">
        <v>50.1870297619942</v>
      </c>
      <c r="L12" s="1">
        <v>1.86852382330246</v>
      </c>
      <c r="M12" s="1">
        <v>12.1001307964324</v>
      </c>
    </row>
    <row r="13">
      <c r="A13" s="1" t="s">
        <v>32</v>
      </c>
      <c r="B13" s="1">
        <f t="shared" ref="B13:D13" si="13">ROUND(J13, 4)</f>
        <v>0.9946</v>
      </c>
      <c r="C13" s="1">
        <f t="shared" si="13"/>
        <v>48.1156</v>
      </c>
      <c r="D13" s="1">
        <f t="shared" si="13"/>
        <v>3.0105</v>
      </c>
      <c r="E13" s="1" t="s">
        <v>22</v>
      </c>
      <c r="F13" s="1" t="s">
        <v>11</v>
      </c>
      <c r="G13" s="1">
        <f t="shared" si="3"/>
        <v>9.8454</v>
      </c>
      <c r="J13" s="1">
        <v>0.994563968843646</v>
      </c>
      <c r="K13" s="1">
        <v>48.1155786492216</v>
      </c>
      <c r="L13" s="1">
        <v>3.01053548561859</v>
      </c>
      <c r="M13" s="1">
        <v>9.845383644104</v>
      </c>
    </row>
    <row r="14">
      <c r="A14" s="1" t="s">
        <v>33</v>
      </c>
      <c r="B14" s="1">
        <f t="shared" ref="B14:D14" si="14">ROUND(J14, 4)</f>
        <v>0.9924</v>
      </c>
      <c r="C14" s="1">
        <f t="shared" si="14"/>
        <v>46.0125</v>
      </c>
      <c r="D14" s="1">
        <f t="shared" si="14"/>
        <v>4.886</v>
      </c>
      <c r="E14" s="1" t="s">
        <v>19</v>
      </c>
      <c r="F14" s="1" t="s">
        <v>26</v>
      </c>
      <c r="G14" s="1">
        <f t="shared" si="3"/>
        <v>4.5775</v>
      </c>
      <c r="J14" s="1">
        <v>0.992415738745803</v>
      </c>
      <c r="K14" s="1">
        <v>46.0124611638821</v>
      </c>
      <c r="L14" s="1">
        <v>4.88602291225283</v>
      </c>
      <c r="M14" s="1">
        <v>4.57745623588562</v>
      </c>
    </row>
    <row r="15">
      <c r="A15" s="1" t="s">
        <v>34</v>
      </c>
      <c r="B15" s="1">
        <f t="shared" ref="B15:D15" si="15">ROUND(J15, 4)</f>
        <v>0.9792</v>
      </c>
      <c r="C15" s="1">
        <f t="shared" si="15"/>
        <v>42.907</v>
      </c>
      <c r="D15" s="1">
        <f t="shared" si="15"/>
        <v>9.9885</v>
      </c>
      <c r="E15" s="1" t="s">
        <v>28</v>
      </c>
      <c r="F15" s="1" t="s">
        <v>29</v>
      </c>
      <c r="G15" s="1">
        <f t="shared" si="3"/>
        <v>6.6942</v>
      </c>
      <c r="J15" s="1">
        <v>0.979185327154223</v>
      </c>
      <c r="K15" s="1">
        <v>42.9070124020618</v>
      </c>
      <c r="L15" s="1">
        <v>9.9885023328993</v>
      </c>
      <c r="M15" s="1">
        <v>6.69420146942138</v>
      </c>
    </row>
    <row r="16">
      <c r="A16" s="1" t="s">
        <v>35</v>
      </c>
      <c r="B16" s="1">
        <f t="shared" ref="B16:D16" si="16">ROUND(J16, 4)</f>
        <v>0.9809</v>
      </c>
      <c r="C16" s="1">
        <f t="shared" si="16"/>
        <v>43.0496</v>
      </c>
      <c r="D16" s="1">
        <f t="shared" si="16"/>
        <v>9.6659</v>
      </c>
      <c r="E16" s="1" t="s">
        <v>13</v>
      </c>
      <c r="F16" s="1" t="s">
        <v>24</v>
      </c>
      <c r="G16" s="1">
        <f t="shared" si="3"/>
        <v>4.6742</v>
      </c>
      <c r="J16" s="1">
        <v>0.98089355349096</v>
      </c>
      <c r="K16" s="1">
        <v>43.0495707455654</v>
      </c>
      <c r="L16" s="1">
        <v>9.66594992743598</v>
      </c>
      <c r="M16" s="1">
        <v>4.67423939704895</v>
      </c>
    </row>
    <row r="17">
      <c r="A17" s="1" t="s">
        <v>36</v>
      </c>
      <c r="B17" s="1">
        <f t="shared" ref="B17:D17" si="17">ROUND(J17, 4)</f>
        <v>0.9979</v>
      </c>
      <c r="C17" s="1">
        <f t="shared" si="17"/>
        <v>54.4108</v>
      </c>
      <c r="D17" s="1">
        <f t="shared" si="17"/>
        <v>0.7065</v>
      </c>
      <c r="E17" s="1" t="s">
        <v>13</v>
      </c>
      <c r="F17" s="1" t="s">
        <v>11</v>
      </c>
      <c r="G17" s="1">
        <f t="shared" si="3"/>
        <v>3.933</v>
      </c>
      <c r="J17" s="1">
        <v>0.997926029980491</v>
      </c>
      <c r="K17" s="1">
        <v>54.4108361939363</v>
      </c>
      <c r="L17" s="1">
        <v>0.706509484185112</v>
      </c>
      <c r="M17" s="1">
        <v>3.93303275108337</v>
      </c>
    </row>
    <row r="18">
      <c r="A18" s="1" t="s">
        <v>37</v>
      </c>
      <c r="B18" s="1">
        <f t="shared" ref="B18:D18" si="18">ROUND(J18, 4)</f>
        <v>0.9838</v>
      </c>
      <c r="C18" s="1">
        <f t="shared" si="18"/>
        <v>43.3461</v>
      </c>
      <c r="D18" s="1">
        <f t="shared" si="18"/>
        <v>9.0281</v>
      </c>
      <c r="E18" s="1" t="s">
        <v>13</v>
      </c>
      <c r="F18" s="1" t="s">
        <v>38</v>
      </c>
      <c r="G18" s="1">
        <f t="shared" si="3"/>
        <v>4.8666</v>
      </c>
      <c r="J18" s="1">
        <v>0.983790604632348</v>
      </c>
      <c r="K18" s="1">
        <v>43.3460727767737</v>
      </c>
      <c r="L18" s="1">
        <v>9.02805794609917</v>
      </c>
      <c r="M18" s="1">
        <v>4.86663579940795</v>
      </c>
    </row>
    <row r="19">
      <c r="A19" s="1" t="s">
        <v>39</v>
      </c>
      <c r="B19" s="1">
        <f t="shared" ref="B19:D19" si="19">ROUND(J19, 4)</f>
        <v>0.9902</v>
      </c>
      <c r="C19" s="1">
        <f t="shared" si="19"/>
        <v>44.0313</v>
      </c>
      <c r="D19" s="1">
        <f t="shared" si="19"/>
        <v>7.7103</v>
      </c>
      <c r="E19" s="1" t="s">
        <v>40</v>
      </c>
      <c r="F19" s="1" t="s">
        <v>26</v>
      </c>
      <c r="G19" s="1">
        <f t="shared" si="3"/>
        <v>2.0467</v>
      </c>
      <c r="J19" s="1">
        <v>0.990151599012731</v>
      </c>
      <c r="K19" s="1">
        <v>44.0312975589342</v>
      </c>
      <c r="L19" s="1">
        <v>7.71031035665295</v>
      </c>
      <c r="M19" s="1">
        <v>2.04667258262634</v>
      </c>
    </row>
    <row r="20">
      <c r="A20" s="1" t="s">
        <v>41</v>
      </c>
      <c r="B20" s="1">
        <f t="shared" ref="B20:D20" si="20">ROUND(J20, 4)</f>
        <v>0.9945</v>
      </c>
      <c r="C20" s="1">
        <f t="shared" si="20"/>
        <v>47.9925</v>
      </c>
      <c r="D20" s="1">
        <f t="shared" si="20"/>
        <v>3.0971</v>
      </c>
      <c r="E20" s="1" t="s">
        <v>22</v>
      </c>
      <c r="F20" s="1" t="s">
        <v>26</v>
      </c>
      <c r="G20" s="1">
        <f t="shared" si="3"/>
        <v>9.6544</v>
      </c>
      <c r="J20" s="1">
        <v>0.994474965639811</v>
      </c>
      <c r="K20" s="1">
        <v>47.9925171582785</v>
      </c>
      <c r="L20" s="1">
        <v>3.09706200132978</v>
      </c>
      <c r="M20" s="1">
        <v>9.65442085266113</v>
      </c>
    </row>
    <row r="21">
      <c r="A21" s="1" t="s">
        <v>42</v>
      </c>
      <c r="B21" s="1">
        <f t="shared" ref="B21:D21" si="21">ROUND(J21, 4)</f>
        <v>0.991</v>
      </c>
      <c r="C21" s="1">
        <f t="shared" si="21"/>
        <v>44.2189</v>
      </c>
      <c r="D21" s="1">
        <f t="shared" si="21"/>
        <v>7.3844</v>
      </c>
      <c r="E21" s="1" t="s">
        <v>40</v>
      </c>
      <c r="F21" s="1" t="s">
        <v>9</v>
      </c>
      <c r="G21" s="1">
        <f t="shared" si="3"/>
        <v>2.0739</v>
      </c>
      <c r="J21" s="1">
        <v>0.99101703174477</v>
      </c>
      <c r="K21" s="1">
        <v>44.2188807396454</v>
      </c>
      <c r="L21" s="1">
        <v>7.38437157064471</v>
      </c>
      <c r="M21" s="1">
        <v>2.07392573356628</v>
      </c>
    </row>
    <row r="22">
      <c r="A22" s="1" t="s">
        <v>43</v>
      </c>
      <c r="B22" s="1">
        <f t="shared" ref="B22:D22" si="22">ROUND(J22, 4)</f>
        <v>0.9718</v>
      </c>
      <c r="C22" s="1">
        <f t="shared" si="22"/>
        <v>41.2198</v>
      </c>
      <c r="D22" s="1">
        <f t="shared" si="22"/>
        <v>14.7306</v>
      </c>
      <c r="E22" s="1" t="s">
        <v>19</v>
      </c>
      <c r="F22" s="1" t="s">
        <v>44</v>
      </c>
      <c r="G22" s="1">
        <f t="shared" si="3"/>
        <v>5.6833</v>
      </c>
      <c r="J22" s="1">
        <v>0.97179333724768</v>
      </c>
      <c r="K22" s="1">
        <v>41.219807766047</v>
      </c>
      <c r="L22" s="1">
        <v>14.7306136453208</v>
      </c>
      <c r="M22" s="1">
        <v>5.6833472251892</v>
      </c>
    </row>
    <row r="23">
      <c r="A23" s="1" t="s">
        <v>45</v>
      </c>
      <c r="B23" s="1">
        <f t="shared" ref="B23:D23" si="23">ROUND(J23, 4)</f>
        <v>0.988</v>
      </c>
      <c r="C23" s="1">
        <f t="shared" si="23"/>
        <v>45.0643</v>
      </c>
      <c r="D23" s="1">
        <f t="shared" si="23"/>
        <v>6.0782</v>
      </c>
      <c r="E23" s="1" t="s">
        <v>13</v>
      </c>
      <c r="F23" s="1" t="s">
        <v>20</v>
      </c>
      <c r="G23" s="1">
        <f t="shared" si="3"/>
        <v>4.877</v>
      </c>
      <c r="J23" s="1">
        <v>0.988039730355871</v>
      </c>
      <c r="K23" s="1">
        <v>45.0642914143444</v>
      </c>
      <c r="L23" s="1">
        <v>6.07816484239366</v>
      </c>
      <c r="M23" s="1">
        <v>4.87696242332458</v>
      </c>
    </row>
    <row r="24">
      <c r="A24" s="1" t="s">
        <v>46</v>
      </c>
      <c r="B24" s="1">
        <f t="shared" ref="B24:D24" si="24">ROUND(J24, 4)</f>
        <v>0.9813</v>
      </c>
      <c r="C24" s="1">
        <f t="shared" si="24"/>
        <v>43.5055</v>
      </c>
      <c r="D24" s="1">
        <f t="shared" si="24"/>
        <v>8.7027</v>
      </c>
      <c r="E24" s="1" t="s">
        <v>28</v>
      </c>
      <c r="F24" s="1" t="s">
        <v>24</v>
      </c>
      <c r="G24" s="1">
        <f t="shared" si="3"/>
        <v>6.7414</v>
      </c>
      <c r="J24" s="1">
        <v>0.981333268290772</v>
      </c>
      <c r="K24" s="1">
        <v>43.5054632059409</v>
      </c>
      <c r="L24" s="1">
        <v>8.70272569444444</v>
      </c>
      <c r="M24" s="1">
        <v>6.74137449264526</v>
      </c>
    </row>
    <row r="25">
      <c r="A25" s="1" t="s">
        <v>47</v>
      </c>
      <c r="B25" s="1">
        <f t="shared" ref="B25:D25" si="25">ROUND(J25, 4)</f>
        <v>0.9724</v>
      </c>
      <c r="C25" s="1">
        <f t="shared" si="25"/>
        <v>41.2945</v>
      </c>
      <c r="D25" s="1">
        <f t="shared" si="25"/>
        <v>14.4795</v>
      </c>
      <c r="E25" s="1" t="s">
        <v>19</v>
      </c>
      <c r="F25" s="1" t="s">
        <v>38</v>
      </c>
      <c r="G25" s="1">
        <f t="shared" si="3"/>
        <v>5.4067</v>
      </c>
      <c r="J25" s="1">
        <v>0.972434288362645</v>
      </c>
      <c r="K25" s="1">
        <v>41.294467459516</v>
      </c>
      <c r="L25" s="1">
        <v>14.4795434888002</v>
      </c>
      <c r="M25" s="1">
        <v>5.40674686431884</v>
      </c>
    </row>
    <row r="26">
      <c r="A26" s="1" t="s">
        <v>48</v>
      </c>
      <c r="B26" s="1">
        <f t="shared" ref="B26:D26" si="26">ROUND(J26, 4)</f>
        <v>0.9756</v>
      </c>
      <c r="C26" s="1">
        <f t="shared" si="26"/>
        <v>42.157</v>
      </c>
      <c r="D26" s="1">
        <f t="shared" si="26"/>
        <v>11.8714</v>
      </c>
      <c r="E26" s="1" t="s">
        <v>22</v>
      </c>
      <c r="F26" s="1" t="s">
        <v>49</v>
      </c>
      <c r="G26" s="1">
        <f t="shared" si="3"/>
        <v>10.6989</v>
      </c>
      <c r="J26" s="1">
        <v>0.975589450782037</v>
      </c>
      <c r="K26" s="1">
        <v>42.1570038533106</v>
      </c>
      <c r="L26" s="1">
        <v>11.8713806392829</v>
      </c>
      <c r="M26" s="1">
        <v>10.6989164352417</v>
      </c>
    </row>
    <row r="27">
      <c r="A27" s="1" t="s">
        <v>50</v>
      </c>
      <c r="B27" s="1">
        <f t="shared" ref="B27:D27" si="27">ROUND(J27, 4)</f>
        <v>0.9926</v>
      </c>
      <c r="C27" s="1">
        <f t="shared" si="27"/>
        <v>46.097</v>
      </c>
      <c r="D27" s="1">
        <f t="shared" si="27"/>
        <v>4.7919</v>
      </c>
      <c r="E27" s="1" t="s">
        <v>19</v>
      </c>
      <c r="F27" s="1" t="s">
        <v>9</v>
      </c>
      <c r="G27" s="1">
        <f t="shared" si="3"/>
        <v>4.4604</v>
      </c>
      <c r="J27" s="1">
        <v>0.992601901814685</v>
      </c>
      <c r="K27" s="1">
        <v>46.0969799534777</v>
      </c>
      <c r="L27" s="1">
        <v>4.79185447338429</v>
      </c>
      <c r="M27" s="1">
        <v>4.46036553382873</v>
      </c>
    </row>
    <row r="28">
      <c r="A28" s="1" t="s">
        <v>51</v>
      </c>
      <c r="B28" s="1">
        <f t="shared" ref="B28:D28" si="28">ROUND(J28, 4)</f>
        <v>0.9754</v>
      </c>
      <c r="C28" s="1">
        <f t="shared" si="28"/>
        <v>42.1401</v>
      </c>
      <c r="D28" s="1">
        <f t="shared" si="28"/>
        <v>11.9177</v>
      </c>
      <c r="E28" s="1" t="s">
        <v>22</v>
      </c>
      <c r="F28" s="1" t="s">
        <v>29</v>
      </c>
      <c r="G28" s="1">
        <f t="shared" si="3"/>
        <v>10.5079</v>
      </c>
      <c r="J28" s="1">
        <v>0.975355226876907</v>
      </c>
      <c r="K28" s="1">
        <v>42.1400982771739</v>
      </c>
      <c r="L28" s="1">
        <v>11.9176818607171</v>
      </c>
      <c r="M28" s="1">
        <v>10.5078601837158</v>
      </c>
    </row>
    <row r="29">
      <c r="A29" s="1" t="s">
        <v>52</v>
      </c>
      <c r="B29" s="1">
        <f t="shared" ref="B29:D29" si="29">ROUND(J29, 4)</f>
        <v>0.9966</v>
      </c>
      <c r="C29" s="1">
        <f t="shared" si="29"/>
        <v>50.0955</v>
      </c>
      <c r="D29" s="1">
        <f t="shared" si="29"/>
        <v>1.9083</v>
      </c>
      <c r="E29" s="1" t="s">
        <v>16</v>
      </c>
      <c r="F29" s="1" t="s">
        <v>11</v>
      </c>
      <c r="G29" s="1">
        <f t="shared" si="3"/>
        <v>12.1191</v>
      </c>
      <c r="J29" s="1">
        <v>0.99659925566023</v>
      </c>
      <c r="K29" s="1">
        <v>50.0954567817144</v>
      </c>
      <c r="L29" s="1">
        <v>1.90834080825617</v>
      </c>
      <c r="M29" s="1">
        <v>12.1191036701202</v>
      </c>
    </row>
    <row r="30">
      <c r="A30" s="1" t="s">
        <v>53</v>
      </c>
      <c r="B30" s="1">
        <f t="shared" ref="B30:D30" si="30">ROUND(J30, 4)</f>
        <v>0.9872</v>
      </c>
      <c r="C30" s="1">
        <f t="shared" si="30"/>
        <v>44.0046</v>
      </c>
      <c r="D30" s="1">
        <f t="shared" si="30"/>
        <v>7.7578</v>
      </c>
      <c r="E30" s="1" t="s">
        <v>54</v>
      </c>
      <c r="F30" s="1" t="s">
        <v>9</v>
      </c>
      <c r="G30" s="1">
        <f t="shared" si="3"/>
        <v>0.8328</v>
      </c>
      <c r="J30" s="1">
        <v>0.987220121298065</v>
      </c>
      <c r="K30" s="1">
        <v>44.0046174704701</v>
      </c>
      <c r="L30" s="1">
        <v>7.75782303370786</v>
      </c>
      <c r="M30" s="1">
        <v>0.832780838012695</v>
      </c>
    </row>
    <row r="31">
      <c r="A31" s="1" t="s">
        <v>55</v>
      </c>
      <c r="B31" s="1">
        <f t="shared" ref="B31:D31" si="31">ROUND(J31, 4)</f>
        <v>0.9919</v>
      </c>
      <c r="C31" s="1">
        <f t="shared" si="31"/>
        <v>44.5473</v>
      </c>
      <c r="D31" s="1">
        <f t="shared" si="31"/>
        <v>6.8466</v>
      </c>
      <c r="E31" s="1" t="s">
        <v>40</v>
      </c>
      <c r="F31" s="1" t="s">
        <v>31</v>
      </c>
      <c r="G31" s="1">
        <f t="shared" si="3"/>
        <v>2.0271</v>
      </c>
      <c r="J31" s="1">
        <v>0.99194557164824</v>
      </c>
      <c r="K31" s="1">
        <v>44.5472966395284</v>
      </c>
      <c r="L31" s="1">
        <v>6.84655264060356</v>
      </c>
      <c r="M31" s="1">
        <v>2.02710461616516</v>
      </c>
    </row>
    <row r="32">
      <c r="A32" s="1" t="s">
        <v>56</v>
      </c>
      <c r="B32" s="1">
        <f t="shared" ref="B32:D32" si="32">ROUND(J32, 4)</f>
        <v>0.9913</v>
      </c>
      <c r="C32" s="1">
        <f t="shared" si="32"/>
        <v>44.3752</v>
      </c>
      <c r="D32" s="1">
        <f t="shared" si="32"/>
        <v>7.1234</v>
      </c>
      <c r="E32" s="1" t="s">
        <v>40</v>
      </c>
      <c r="F32" s="1" t="s">
        <v>11</v>
      </c>
      <c r="G32" s="1">
        <f t="shared" si="3"/>
        <v>2.0372</v>
      </c>
      <c r="J32" s="1">
        <v>0.991254293482539</v>
      </c>
      <c r="K32" s="1">
        <v>44.3751573464481</v>
      </c>
      <c r="L32" s="1">
        <v>7.12337620027434</v>
      </c>
      <c r="M32" s="1">
        <v>2.03716278076171</v>
      </c>
    </row>
    <row r="33">
      <c r="A33" s="1" t="s">
        <v>57</v>
      </c>
      <c r="B33" s="1">
        <f t="shared" ref="B33:D33" si="33">ROUND(J33, 4)</f>
        <v>0.9905</v>
      </c>
      <c r="C33" s="1">
        <f t="shared" si="33"/>
        <v>45.5898</v>
      </c>
      <c r="D33" s="1">
        <f t="shared" si="33"/>
        <v>5.3854</v>
      </c>
      <c r="E33" s="1" t="s">
        <v>16</v>
      </c>
      <c r="F33" s="1" t="s">
        <v>29</v>
      </c>
      <c r="G33" s="1">
        <f t="shared" si="3"/>
        <v>13.3065</v>
      </c>
      <c r="J33" s="1">
        <v>0.990494678464382</v>
      </c>
      <c r="K33" s="1">
        <v>45.5898132355711</v>
      </c>
      <c r="L33" s="1">
        <v>5.38542884355709</v>
      </c>
      <c r="M33" s="1">
        <v>13.3065049648284</v>
      </c>
    </row>
    <row r="34">
      <c r="A34" s="1" t="s">
        <v>58</v>
      </c>
      <c r="B34" s="1">
        <f t="shared" ref="B34:D34" si="34">ROUND(J34, 4)</f>
        <v>0.995</v>
      </c>
      <c r="C34" s="1">
        <f t="shared" si="34"/>
        <v>41.7036</v>
      </c>
      <c r="D34" s="1">
        <f t="shared" si="34"/>
        <v>13.1776</v>
      </c>
      <c r="E34" s="1" t="s">
        <v>28</v>
      </c>
      <c r="F34" s="1" t="s">
        <v>11</v>
      </c>
      <c r="G34" s="1">
        <f t="shared" si="3"/>
        <v>6.071</v>
      </c>
      <c r="J34" s="1">
        <v>0.994963229518307</v>
      </c>
      <c r="K34" s="1">
        <v>41.7036376300168</v>
      </c>
      <c r="L34" s="1">
        <v>13.177646484375</v>
      </c>
      <c r="M34" s="1">
        <v>6.07098174095153</v>
      </c>
    </row>
    <row r="35">
      <c r="A35" s="1" t="s">
        <v>59</v>
      </c>
      <c r="B35" s="1">
        <f t="shared" ref="B35:D35" si="35">ROUND(J35, 4)</f>
        <v>0.9881</v>
      </c>
      <c r="C35" s="1">
        <f t="shared" si="35"/>
        <v>46</v>
      </c>
      <c r="D35" s="1">
        <f t="shared" si="35"/>
        <v>4.9001</v>
      </c>
      <c r="E35" s="1" t="s">
        <v>28</v>
      </c>
      <c r="F35" s="1" t="s">
        <v>14</v>
      </c>
      <c r="G35" s="1">
        <f t="shared" si="3"/>
        <v>6.4391</v>
      </c>
      <c r="J35" s="1">
        <v>0.988123904093573</v>
      </c>
      <c r="K35" s="1">
        <v>45.9999603874092</v>
      </c>
      <c r="L35" s="1">
        <v>4.90010715060763</v>
      </c>
      <c r="M35" s="1">
        <v>6.43905162811279</v>
      </c>
    </row>
    <row r="36">
      <c r="A36" s="1" t="s">
        <v>60</v>
      </c>
      <c r="B36" s="1">
        <f t="shared" ref="B36:D36" si="36">ROUND(J36, 4)</f>
        <v>0.986</v>
      </c>
      <c r="C36" s="1">
        <f t="shared" si="36"/>
        <v>39.2792</v>
      </c>
      <c r="D36" s="1">
        <f t="shared" si="36"/>
        <v>23.0295</v>
      </c>
      <c r="E36" s="1" t="s">
        <v>8</v>
      </c>
      <c r="F36" s="1" t="s">
        <v>44</v>
      </c>
      <c r="G36" s="1">
        <f t="shared" si="3"/>
        <v>4.4438</v>
      </c>
      <c r="J36" s="1">
        <v>0.986024151775066</v>
      </c>
      <c r="K36" s="1">
        <v>39.279172539411</v>
      </c>
      <c r="L36" s="1">
        <v>23.0294921875</v>
      </c>
      <c r="M36" s="1">
        <v>4.44379901885986</v>
      </c>
    </row>
    <row r="37">
      <c r="A37" s="1" t="s">
        <v>61</v>
      </c>
      <c r="B37" s="1">
        <f t="shared" ref="B37:D37" si="37">ROUND(J37, 4)</f>
        <v>0.9776</v>
      </c>
      <c r="C37" s="1">
        <f t="shared" si="37"/>
        <v>42.2547</v>
      </c>
      <c r="D37" s="1">
        <f t="shared" si="37"/>
        <v>11.6072</v>
      </c>
      <c r="E37" s="1" t="s">
        <v>13</v>
      </c>
      <c r="F37" s="1" t="s">
        <v>49</v>
      </c>
      <c r="G37" s="1">
        <f t="shared" si="3"/>
        <v>4.7873</v>
      </c>
      <c r="J37" s="1">
        <v>0.977565877341957</v>
      </c>
      <c r="K37" s="1">
        <v>42.2547274487108</v>
      </c>
      <c r="L37" s="1">
        <v>11.6072374979654</v>
      </c>
      <c r="M37" s="1">
        <v>4.78730392456054</v>
      </c>
    </row>
    <row r="38">
      <c r="A38" s="1" t="s">
        <v>62</v>
      </c>
      <c r="B38" s="1">
        <f t="shared" ref="B38:D38" si="38">ROUND(J38, 4)</f>
        <v>0.9943</v>
      </c>
      <c r="C38" s="1">
        <f t="shared" si="38"/>
        <v>47.927</v>
      </c>
      <c r="D38" s="1">
        <f t="shared" si="38"/>
        <v>3.1441</v>
      </c>
      <c r="E38" s="1" t="s">
        <v>22</v>
      </c>
      <c r="F38" s="1" t="s">
        <v>9</v>
      </c>
      <c r="G38" s="1">
        <f t="shared" si="3"/>
        <v>9.8065</v>
      </c>
      <c r="J38" s="1">
        <v>0.994282149793429</v>
      </c>
      <c r="K38" s="1">
        <v>47.9270007869579</v>
      </c>
      <c r="L38" s="1">
        <v>3.14413754678881</v>
      </c>
      <c r="M38" s="1">
        <v>9.8065345287323</v>
      </c>
    </row>
    <row r="39">
      <c r="A39" s="1" t="s">
        <v>63</v>
      </c>
      <c r="B39" s="1">
        <f t="shared" ref="B39:D39" si="39">ROUND(J39, 4)</f>
        <v>0.9926</v>
      </c>
      <c r="C39" s="1">
        <f t="shared" si="39"/>
        <v>41.7264</v>
      </c>
      <c r="D39" s="1">
        <f t="shared" si="39"/>
        <v>13.1086</v>
      </c>
      <c r="E39" s="1" t="s">
        <v>8</v>
      </c>
      <c r="F39" s="1" t="s">
        <v>31</v>
      </c>
      <c r="G39" s="1">
        <f t="shared" si="3"/>
        <v>3.6733</v>
      </c>
      <c r="J39" s="1">
        <v>0.992565813576868</v>
      </c>
      <c r="K39" s="1">
        <v>41.7264400133588</v>
      </c>
      <c r="L39" s="1">
        <v>13.1086393229166</v>
      </c>
      <c r="M39" s="1">
        <v>3.67325186729431</v>
      </c>
    </row>
    <row r="40">
      <c r="A40" s="1" t="s">
        <v>64</v>
      </c>
      <c r="B40" s="1">
        <f t="shared" ref="B40:D40" si="40">ROUND(J40, 4)</f>
        <v>0.9892</v>
      </c>
      <c r="C40" s="1">
        <f t="shared" si="40"/>
        <v>39.6973</v>
      </c>
      <c r="D40" s="1">
        <f t="shared" si="40"/>
        <v>20.9156</v>
      </c>
      <c r="E40" s="1" t="s">
        <v>28</v>
      </c>
      <c r="F40" s="1" t="s">
        <v>49</v>
      </c>
      <c r="G40" s="1">
        <f t="shared" si="3"/>
        <v>6.8968</v>
      </c>
      <c r="J40" s="1">
        <v>0.989210469974333</v>
      </c>
      <c r="K40" s="1">
        <v>39.6973112939226</v>
      </c>
      <c r="L40" s="1">
        <v>20.9156076388888</v>
      </c>
      <c r="M40" s="1">
        <v>6.89682531356811</v>
      </c>
    </row>
    <row r="41">
      <c r="A41" s="1" t="s">
        <v>65</v>
      </c>
      <c r="B41" s="1">
        <f t="shared" ref="B41:D41" si="41">ROUND(J41, 4)</f>
        <v>0.9847</v>
      </c>
      <c r="C41" s="1">
        <f t="shared" si="41"/>
        <v>38.8544</v>
      </c>
      <c r="D41" s="1">
        <f t="shared" si="41"/>
        <v>25.3956</v>
      </c>
      <c r="E41" s="1" t="s">
        <v>8</v>
      </c>
      <c r="F41" s="1" t="s">
        <v>49</v>
      </c>
      <c r="G41" s="1">
        <f t="shared" si="3"/>
        <v>4.5953</v>
      </c>
      <c r="J41" s="1">
        <v>0.984745187974452</v>
      </c>
      <c r="K41" s="1">
        <v>38.8544360075647</v>
      </c>
      <c r="L41" s="1">
        <v>25.3955729166666</v>
      </c>
      <c r="M41" s="1">
        <v>4.59530162811279</v>
      </c>
    </row>
    <row r="42">
      <c r="A42" s="1" t="s">
        <v>66</v>
      </c>
      <c r="B42" s="1">
        <f t="shared" ref="B42:D42" si="42">ROUND(J42, 4)</f>
        <v>0.9665</v>
      </c>
      <c r="C42" s="1">
        <f t="shared" si="42"/>
        <v>40.5559</v>
      </c>
      <c r="D42" s="1">
        <f t="shared" si="42"/>
        <v>17.1636</v>
      </c>
      <c r="E42" s="1" t="s">
        <v>19</v>
      </c>
      <c r="F42" s="1" t="s">
        <v>29</v>
      </c>
      <c r="G42" s="1">
        <f t="shared" si="3"/>
        <v>5.4489</v>
      </c>
      <c r="J42" s="1">
        <v>0.966486338983986</v>
      </c>
      <c r="K42" s="1">
        <v>40.5559387023974</v>
      </c>
      <c r="L42" s="1">
        <v>17.1635747329026</v>
      </c>
      <c r="M42" s="1">
        <v>5.44888997077941</v>
      </c>
    </row>
    <row r="43">
      <c r="A43" s="1" t="s">
        <v>67</v>
      </c>
      <c r="B43" s="1">
        <f t="shared" ref="B43:D43" si="43">ROUND(J43, 4)</f>
        <v>0.9868</v>
      </c>
      <c r="C43" s="1">
        <f t="shared" si="43"/>
        <v>44.9109</v>
      </c>
      <c r="D43" s="1">
        <f t="shared" si="43"/>
        <v>6.2967</v>
      </c>
      <c r="E43" s="1" t="s">
        <v>28</v>
      </c>
      <c r="F43" s="1" t="s">
        <v>20</v>
      </c>
      <c r="G43" s="1">
        <f t="shared" si="3"/>
        <v>6.6961</v>
      </c>
      <c r="J43" s="1">
        <v>0.986783277164103</v>
      </c>
      <c r="K43" s="1">
        <v>44.9108952785601</v>
      </c>
      <c r="L43" s="1">
        <v>6.29668674045138</v>
      </c>
      <c r="M43" s="1">
        <v>6.69609379768371</v>
      </c>
    </row>
    <row r="44">
      <c r="A44" s="1" t="s">
        <v>68</v>
      </c>
      <c r="B44" s="1">
        <f t="shared" ref="B44:D44" si="44">ROUND(J44, 4)</f>
        <v>0.9949</v>
      </c>
      <c r="C44" s="1">
        <f t="shared" si="44"/>
        <v>41.6815</v>
      </c>
      <c r="D44" s="1">
        <f t="shared" si="44"/>
        <v>13.2451</v>
      </c>
      <c r="E44" s="1" t="s">
        <v>28</v>
      </c>
      <c r="F44" s="1" t="s">
        <v>9</v>
      </c>
      <c r="G44" s="1">
        <f t="shared" si="3"/>
        <v>6.0663</v>
      </c>
      <c r="J44" s="1">
        <v>0.994925934917017</v>
      </c>
      <c r="K44" s="1">
        <v>41.6814547247905</v>
      </c>
      <c r="L44" s="1">
        <v>13.2451274956597</v>
      </c>
      <c r="M44" s="1">
        <v>6.066330909729</v>
      </c>
    </row>
    <row r="45">
      <c r="A45" s="1" t="s">
        <v>69</v>
      </c>
      <c r="B45" s="1">
        <f t="shared" ref="B45:D45" si="45">ROUND(J45, 4)</f>
        <v>0.9923</v>
      </c>
      <c r="C45" s="1">
        <f t="shared" si="45"/>
        <v>46.2722</v>
      </c>
      <c r="D45" s="1">
        <f t="shared" si="45"/>
        <v>4.6023</v>
      </c>
      <c r="E45" s="1" t="s">
        <v>16</v>
      </c>
      <c r="F45" s="1" t="s">
        <v>38</v>
      </c>
      <c r="G45" s="1">
        <f t="shared" si="3"/>
        <v>10.522</v>
      </c>
      <c r="J45" s="1">
        <v>0.992283835255527</v>
      </c>
      <c r="K45" s="1">
        <v>46.2722416663179</v>
      </c>
      <c r="L45" s="1">
        <v>4.6023267505787</v>
      </c>
      <c r="M45" s="1">
        <v>10.5219957828521</v>
      </c>
    </row>
    <row r="46">
      <c r="A46" s="1" t="s">
        <v>70</v>
      </c>
      <c r="B46" s="1">
        <f t="shared" ref="B46:D46" si="46">ROUND(J46, 4)</f>
        <v>0.9901</v>
      </c>
      <c r="C46" s="1">
        <f t="shared" si="46"/>
        <v>40.0084</v>
      </c>
      <c r="D46" s="1">
        <f t="shared" si="46"/>
        <v>19.4696</v>
      </c>
      <c r="E46" s="1" t="s">
        <v>28</v>
      </c>
      <c r="F46" s="1" t="s">
        <v>44</v>
      </c>
      <c r="G46" s="1">
        <f t="shared" si="3"/>
        <v>6.5146</v>
      </c>
      <c r="J46" s="1">
        <v>0.990140023963848</v>
      </c>
      <c r="K46" s="1">
        <v>40.008442321461</v>
      </c>
      <c r="L46" s="1">
        <v>19.4696158854166</v>
      </c>
      <c r="M46" s="1">
        <v>6.51459074020385</v>
      </c>
    </row>
    <row r="47">
      <c r="A47" s="1" t="s">
        <v>71</v>
      </c>
      <c r="B47" s="1">
        <f t="shared" ref="B47:D47" si="47">ROUND(J47, 4)</f>
        <v>0.9947</v>
      </c>
      <c r="C47" s="1">
        <f t="shared" si="47"/>
        <v>49.1822</v>
      </c>
      <c r="D47" s="1">
        <f t="shared" si="47"/>
        <v>2.3549</v>
      </c>
      <c r="E47" s="1" t="s">
        <v>28</v>
      </c>
      <c r="F47" s="1" t="s">
        <v>26</v>
      </c>
      <c r="G47" s="1">
        <f t="shared" si="3"/>
        <v>6.0341</v>
      </c>
      <c r="J47" s="1">
        <v>0.994690338064595</v>
      </c>
      <c r="K47" s="1">
        <v>49.1822150975275</v>
      </c>
      <c r="L47" s="1">
        <v>2.35494140625</v>
      </c>
      <c r="M47" s="1">
        <v>6.03407096862793</v>
      </c>
    </row>
    <row r="48">
      <c r="A48" s="1" t="s">
        <v>72</v>
      </c>
      <c r="B48" s="1">
        <f t="shared" ref="B48:D48" si="48">ROUND(J48, 4)</f>
        <v>0.9929</v>
      </c>
      <c r="C48" s="1">
        <f t="shared" si="48"/>
        <v>46.2734</v>
      </c>
      <c r="D48" s="1">
        <f t="shared" si="48"/>
        <v>4.6011</v>
      </c>
      <c r="E48" s="1" t="s">
        <v>19</v>
      </c>
      <c r="F48" s="1" t="s">
        <v>11</v>
      </c>
      <c r="G48" s="1">
        <f t="shared" si="3"/>
        <v>4.52</v>
      </c>
      <c r="J48" s="1">
        <v>0.992926058486887</v>
      </c>
      <c r="K48" s="1">
        <v>46.2734455101238</v>
      </c>
      <c r="L48" s="1">
        <v>4.60105118412427</v>
      </c>
      <c r="M48" s="1">
        <v>4.51996350288391</v>
      </c>
    </row>
    <row r="49">
      <c r="A49" s="1" t="s">
        <v>73</v>
      </c>
      <c r="B49" s="1">
        <f t="shared" ref="B49:D49" si="49">ROUND(J49, 4)</f>
        <v>0.9778</v>
      </c>
      <c r="C49" s="1">
        <f t="shared" si="49"/>
        <v>42.3035</v>
      </c>
      <c r="D49" s="1">
        <f t="shared" si="49"/>
        <v>11.4775</v>
      </c>
      <c r="E49" s="1" t="s">
        <v>13</v>
      </c>
      <c r="F49" s="1" t="s">
        <v>29</v>
      </c>
      <c r="G49" s="1">
        <f t="shared" si="3"/>
        <v>4.7591</v>
      </c>
      <c r="J49" s="1">
        <v>0.977842791062225</v>
      </c>
      <c r="K49" s="1">
        <v>42.3035336533292</v>
      </c>
      <c r="L49" s="1">
        <v>11.4775250752766</v>
      </c>
      <c r="M49" s="1">
        <v>4.75906991958618</v>
      </c>
    </row>
    <row r="50">
      <c r="A50" s="1" t="s">
        <v>74</v>
      </c>
      <c r="B50" s="1">
        <f t="shared" ref="B50:D50" si="50">ROUND(J50, 4)</f>
        <v>0.9907</v>
      </c>
      <c r="C50" s="1">
        <f t="shared" si="50"/>
        <v>45.5908</v>
      </c>
      <c r="D50" s="1">
        <f t="shared" si="50"/>
        <v>5.3842</v>
      </c>
      <c r="E50" s="1" t="s">
        <v>16</v>
      </c>
      <c r="F50" s="1" t="s">
        <v>49</v>
      </c>
      <c r="G50" s="1">
        <f t="shared" si="3"/>
        <v>12.867</v>
      </c>
      <c r="J50" s="1">
        <v>0.990663563866743</v>
      </c>
      <c r="K50" s="1">
        <v>45.5908073802467</v>
      </c>
      <c r="L50" s="1">
        <v>5.38419620466821</v>
      </c>
      <c r="M50" s="1">
        <v>12.8670411109924</v>
      </c>
    </row>
    <row r="51">
      <c r="A51" s="1" t="s">
        <v>75</v>
      </c>
      <c r="B51" s="1">
        <f t="shared" ref="B51:D51" si="51">ROUND(J51, 4)</f>
        <v>0.9833</v>
      </c>
      <c r="C51" s="1">
        <f t="shared" si="51"/>
        <v>43.7503</v>
      </c>
      <c r="D51" s="1">
        <f t="shared" si="51"/>
        <v>8.2257</v>
      </c>
      <c r="E51" s="1" t="s">
        <v>28</v>
      </c>
      <c r="F51" s="1" t="s">
        <v>38</v>
      </c>
      <c r="G51" s="1">
        <f t="shared" si="3"/>
        <v>6.6752</v>
      </c>
      <c r="J51" s="1">
        <v>0.983279101140609</v>
      </c>
      <c r="K51" s="1">
        <v>43.7502708048911</v>
      </c>
      <c r="L51" s="1">
        <v>8.22573160807291</v>
      </c>
      <c r="M51" s="1">
        <v>6.67518711090087</v>
      </c>
    </row>
    <row r="52">
      <c r="A52" s="1" t="s">
        <v>76</v>
      </c>
      <c r="B52" s="1">
        <f t="shared" ref="B52:D52" si="52">ROUND(J52, 4)</f>
        <v>0.9875</v>
      </c>
      <c r="C52" s="1">
        <f t="shared" si="52"/>
        <v>44.5226</v>
      </c>
      <c r="D52" s="1">
        <f t="shared" si="52"/>
        <v>6.8856</v>
      </c>
      <c r="E52" s="1" t="s">
        <v>54</v>
      </c>
      <c r="F52" s="1" t="s">
        <v>11</v>
      </c>
      <c r="G52" s="1">
        <f t="shared" si="3"/>
        <v>0.8085</v>
      </c>
      <c r="J52" s="1">
        <v>0.98748663708671</v>
      </c>
      <c r="K52" s="1">
        <v>44.52261792232</v>
      </c>
      <c r="L52" s="1">
        <v>6.88556882022471</v>
      </c>
      <c r="M52" s="1">
        <v>0.808468580245971</v>
      </c>
    </row>
    <row r="53">
      <c r="A53" s="1" t="s">
        <v>77</v>
      </c>
      <c r="B53" s="1">
        <f t="shared" ref="B53:D53" si="53">ROUND(J53, 4)</f>
        <v>0.9803</v>
      </c>
      <c r="C53" s="1">
        <f t="shared" si="53"/>
        <v>43.0211</v>
      </c>
      <c r="D53" s="1">
        <f t="shared" si="53"/>
        <v>9.7294</v>
      </c>
      <c r="E53" s="1" t="s">
        <v>22</v>
      </c>
      <c r="F53" s="1" t="s">
        <v>38</v>
      </c>
      <c r="G53" s="1">
        <f t="shared" si="3"/>
        <v>10.5767</v>
      </c>
      <c r="J53" s="1">
        <v>0.980261398054618</v>
      </c>
      <c r="K53" s="1">
        <v>43.0211350981196</v>
      </c>
      <c r="L53" s="1">
        <v>9.72944586042159</v>
      </c>
      <c r="M53" s="1">
        <v>10.5767183303833</v>
      </c>
    </row>
    <row r="54">
      <c r="A54" s="1" t="s">
        <v>78</v>
      </c>
      <c r="B54" s="1">
        <f t="shared" ref="B54:D54" si="54">ROUND(J54, 4)</f>
        <v>0.9849</v>
      </c>
      <c r="C54" s="1">
        <f t="shared" si="54"/>
        <v>43.5577</v>
      </c>
      <c r="D54" s="1">
        <f t="shared" si="54"/>
        <v>8.5987</v>
      </c>
      <c r="E54" s="1" t="s">
        <v>19</v>
      </c>
      <c r="F54" s="1" t="s">
        <v>14</v>
      </c>
      <c r="G54" s="1">
        <f t="shared" si="3"/>
        <v>4.9843</v>
      </c>
      <c r="J54" s="1">
        <v>0.984868707077405</v>
      </c>
      <c r="K54" s="1">
        <v>43.5576967024116</v>
      </c>
      <c r="L54" s="1">
        <v>8.59868313564029</v>
      </c>
      <c r="M54" s="1">
        <v>4.98425459861755</v>
      </c>
    </row>
    <row r="55">
      <c r="A55" s="1" t="s">
        <v>79</v>
      </c>
      <c r="B55" s="1">
        <f t="shared" ref="B55:D55" si="55">ROUND(J55, 4)</f>
        <v>0.9981</v>
      </c>
      <c r="C55" s="1">
        <f t="shared" si="55"/>
        <v>54.7394</v>
      </c>
      <c r="D55" s="1">
        <f t="shared" si="55"/>
        <v>0.655</v>
      </c>
      <c r="E55" s="1" t="s">
        <v>13</v>
      </c>
      <c r="F55" s="1" t="s">
        <v>31</v>
      </c>
      <c r="G55" s="1">
        <f t="shared" si="3"/>
        <v>3.9819</v>
      </c>
      <c r="J55" s="1">
        <v>0.998102015854894</v>
      </c>
      <c r="K55" s="1">
        <v>54.7394173395184</v>
      </c>
      <c r="L55" s="1">
        <v>0.655028025309244</v>
      </c>
      <c r="M55" s="1">
        <v>3.98189353942871</v>
      </c>
    </row>
    <row r="56">
      <c r="A56" s="1" t="s">
        <v>80</v>
      </c>
      <c r="B56" s="1">
        <f t="shared" ref="B56:D56" si="56">ROUND(J56, 4)</f>
        <v>0.9823</v>
      </c>
      <c r="C56" s="1">
        <f t="shared" si="56"/>
        <v>43.6382</v>
      </c>
      <c r="D56" s="1">
        <f t="shared" si="56"/>
        <v>8.4408</v>
      </c>
      <c r="E56" s="1" t="s">
        <v>28</v>
      </c>
      <c r="F56" s="1" t="s">
        <v>44</v>
      </c>
      <c r="G56" s="1">
        <f t="shared" si="3"/>
        <v>6.2937</v>
      </c>
      <c r="J56" s="1">
        <v>0.982311829670018</v>
      </c>
      <c r="K56" s="1">
        <v>43.6381676504502</v>
      </c>
      <c r="L56" s="1">
        <v>8.44082411024305</v>
      </c>
      <c r="M56" s="1">
        <v>6.29372358322143</v>
      </c>
    </row>
    <row r="57">
      <c r="A57" s="1" t="s">
        <v>81</v>
      </c>
      <c r="B57" s="1">
        <f t="shared" ref="B57:D57" si="57">ROUND(J57, 4)</f>
        <v>0.9973</v>
      </c>
      <c r="C57" s="1">
        <f t="shared" si="57"/>
        <v>52.5866</v>
      </c>
      <c r="D57" s="1">
        <f t="shared" si="57"/>
        <v>1.0753</v>
      </c>
      <c r="E57" s="1" t="s">
        <v>13</v>
      </c>
      <c r="F57" s="1" t="s">
        <v>26</v>
      </c>
      <c r="G57" s="1">
        <f t="shared" si="3"/>
        <v>4.2683</v>
      </c>
      <c r="J57" s="1">
        <v>0.997315501819919</v>
      </c>
      <c r="K57" s="1">
        <v>52.5866084081721</v>
      </c>
      <c r="L57" s="1">
        <v>1.07532755533854</v>
      </c>
      <c r="M57" s="1">
        <v>4.26834511756897</v>
      </c>
    </row>
    <row r="58">
      <c r="A58" s="1" t="s">
        <v>82</v>
      </c>
      <c r="B58" s="1">
        <f t="shared" ref="B58:D58" si="58">ROUND(J58, 4)</f>
        <v>0.9976</v>
      </c>
      <c r="C58" s="1">
        <f t="shared" si="58"/>
        <v>53.2682</v>
      </c>
      <c r="D58" s="1">
        <f t="shared" si="58"/>
        <v>0.9191</v>
      </c>
      <c r="E58" s="1" t="s">
        <v>13</v>
      </c>
      <c r="F58" s="1" t="s">
        <v>9</v>
      </c>
      <c r="G58" s="1">
        <f t="shared" si="3"/>
        <v>3.9184</v>
      </c>
      <c r="J58" s="1">
        <v>0.99756170159348</v>
      </c>
      <c r="K58" s="1">
        <v>53.2682421994567</v>
      </c>
      <c r="L58" s="1">
        <v>0.91913096110026</v>
      </c>
      <c r="M58" s="1">
        <v>3.91836953163146</v>
      </c>
    </row>
    <row r="59">
      <c r="A59" s="1" t="s">
        <v>83</v>
      </c>
      <c r="B59" s="1">
        <f t="shared" ref="B59:D59" si="59">ROUND(J59, 4)</f>
        <v>0.9848</v>
      </c>
      <c r="C59" s="1">
        <f t="shared" si="59"/>
        <v>38.8765</v>
      </c>
      <c r="D59" s="1">
        <f t="shared" si="59"/>
        <v>25.267</v>
      </c>
      <c r="E59" s="1" t="s">
        <v>8</v>
      </c>
      <c r="F59" s="1" t="s">
        <v>29</v>
      </c>
      <c r="G59" s="1">
        <f t="shared" si="3"/>
        <v>4.4804</v>
      </c>
      <c r="J59" s="1">
        <v>0.984813907218265</v>
      </c>
      <c r="K59" s="1">
        <v>38.8764734588206</v>
      </c>
      <c r="L59" s="1">
        <v>25.2670342881944</v>
      </c>
      <c r="M59" s="1">
        <v>4.4803500175476</v>
      </c>
    </row>
    <row r="60">
      <c r="A60" s="1" t="s">
        <v>84</v>
      </c>
      <c r="B60" s="1">
        <f t="shared" ref="B60:D60" si="60">ROUND(J60, 4)</f>
        <v>0.9709</v>
      </c>
      <c r="C60" s="1">
        <f t="shared" si="60"/>
        <v>41.1282</v>
      </c>
      <c r="D60" s="1">
        <f t="shared" si="60"/>
        <v>15.0445</v>
      </c>
      <c r="E60" s="1" t="s">
        <v>19</v>
      </c>
      <c r="F60" s="1" t="s">
        <v>24</v>
      </c>
      <c r="G60" s="1">
        <f t="shared" si="3"/>
        <v>5.2301</v>
      </c>
      <c r="J60" s="1">
        <v>0.970891907718555</v>
      </c>
      <c r="K60" s="1">
        <v>41.1282421964666</v>
      </c>
      <c r="L60" s="1">
        <v>15.0444874352054</v>
      </c>
      <c r="M60" s="1">
        <v>5.23006129264831</v>
      </c>
    </row>
    <row r="61">
      <c r="A61" s="1" t="s">
        <v>85</v>
      </c>
      <c r="B61" s="1">
        <f t="shared" ref="B61:D61" si="61">ROUND(J61, 4)</f>
        <v>0.9931</v>
      </c>
      <c r="C61" s="1">
        <f t="shared" si="61"/>
        <v>40.9996</v>
      </c>
      <c r="D61" s="1">
        <f t="shared" si="61"/>
        <v>15.4967</v>
      </c>
      <c r="E61" s="1" t="s">
        <v>28</v>
      </c>
      <c r="F61" s="1" t="s">
        <v>14</v>
      </c>
      <c r="G61" s="1">
        <f t="shared" si="3"/>
        <v>6.3323</v>
      </c>
      <c r="J61" s="1">
        <v>0.993098555818862</v>
      </c>
      <c r="K61" s="1">
        <v>40.999631644764</v>
      </c>
      <c r="L61" s="1">
        <v>15.4966723632812</v>
      </c>
      <c r="M61" s="1">
        <v>6.33226442337036</v>
      </c>
    </row>
    <row r="62">
      <c r="A62" s="1" t="s">
        <v>86</v>
      </c>
      <c r="B62" s="1">
        <f t="shared" ref="B62:D62" si="62">ROUND(J62, 4)</f>
        <v>0.9864</v>
      </c>
      <c r="C62" s="1">
        <f t="shared" si="62"/>
        <v>39.3411</v>
      </c>
      <c r="D62" s="1">
        <f t="shared" si="62"/>
        <v>22.7036</v>
      </c>
      <c r="E62" s="1" t="s">
        <v>8</v>
      </c>
      <c r="F62" s="1" t="s">
        <v>38</v>
      </c>
      <c r="G62" s="1">
        <f t="shared" si="3"/>
        <v>4.5004</v>
      </c>
      <c r="J62" s="1">
        <v>0.986422277185023</v>
      </c>
      <c r="K62" s="1">
        <v>39.3410687567556</v>
      </c>
      <c r="L62" s="1">
        <v>22.7036006944444</v>
      </c>
      <c r="M62" s="1">
        <v>4.50037145614624</v>
      </c>
    </row>
    <row r="63">
      <c r="A63" s="1" t="s">
        <v>87</v>
      </c>
      <c r="B63" s="1">
        <f t="shared" ref="B63:D63" si="63">ROUND(J63, 4)</f>
        <v>0.9794</v>
      </c>
      <c r="C63" s="1">
        <f t="shared" si="63"/>
        <v>42.9149</v>
      </c>
      <c r="D63" s="1">
        <f t="shared" si="63"/>
        <v>9.9703</v>
      </c>
      <c r="E63" s="1" t="s">
        <v>28</v>
      </c>
      <c r="F63" s="1" t="s">
        <v>49</v>
      </c>
      <c r="G63" s="1">
        <f t="shared" si="3"/>
        <v>6.63</v>
      </c>
      <c r="J63" s="1">
        <v>0.979361274452817</v>
      </c>
      <c r="K63" s="1">
        <v>42.9149414471879</v>
      </c>
      <c r="L63" s="1">
        <v>9.97028266059027</v>
      </c>
      <c r="M63" s="1">
        <v>6.63000893592834</v>
      </c>
    </row>
    <row r="64">
      <c r="A64" s="1" t="s">
        <v>88</v>
      </c>
      <c r="B64" s="1">
        <f t="shared" ref="B64:D64" si="64">ROUND(J64, 4)</f>
        <v>0.9949</v>
      </c>
      <c r="C64" s="1">
        <f t="shared" si="64"/>
        <v>48.3467</v>
      </c>
      <c r="D64" s="1">
        <f t="shared" si="64"/>
        <v>2.8545</v>
      </c>
      <c r="E64" s="1" t="s">
        <v>22</v>
      </c>
      <c r="F64" s="1" t="s">
        <v>31</v>
      </c>
      <c r="G64" s="1">
        <f t="shared" si="3"/>
        <v>9.7795</v>
      </c>
      <c r="J64" s="1">
        <v>0.994914016189635</v>
      </c>
      <c r="K64" s="1">
        <v>48.3467259295376</v>
      </c>
      <c r="L64" s="1">
        <v>2.85449326487391</v>
      </c>
      <c r="M64" s="1">
        <v>9.77947807312011</v>
      </c>
    </row>
    <row r="65">
      <c r="A65" s="1" t="s">
        <v>89</v>
      </c>
      <c r="B65" s="1">
        <f t="shared" ref="B65:D65" si="65">ROUND(J65, 4)</f>
        <v>0.9864</v>
      </c>
      <c r="C65" s="1">
        <f t="shared" si="65"/>
        <v>39.216</v>
      </c>
      <c r="D65" s="1">
        <f t="shared" si="65"/>
        <v>23.3668</v>
      </c>
      <c r="E65" s="1" t="s">
        <v>8</v>
      </c>
      <c r="F65" s="1" t="s">
        <v>24</v>
      </c>
      <c r="G65" s="1">
        <f t="shared" si="3"/>
        <v>4.3547</v>
      </c>
      <c r="J65" s="1">
        <v>0.986377534417661</v>
      </c>
      <c r="K65" s="1">
        <v>39.2160255328863</v>
      </c>
      <c r="L65" s="1">
        <v>23.3667903645833</v>
      </c>
      <c r="M65" s="1">
        <v>4.35466575622558</v>
      </c>
    </row>
    <row r="66">
      <c r="A66" s="1" t="s">
        <v>90</v>
      </c>
      <c r="B66" s="1">
        <f t="shared" ref="B66:D66" si="66">ROUND(J66, 4)</f>
        <v>0.9905</v>
      </c>
      <c r="C66" s="1">
        <f t="shared" si="66"/>
        <v>40.0628</v>
      </c>
      <c r="D66" s="1">
        <f t="shared" si="66"/>
        <v>19.2276</v>
      </c>
      <c r="E66" s="1" t="s">
        <v>28</v>
      </c>
      <c r="F66" s="1" t="s">
        <v>38</v>
      </c>
      <c r="G66" s="1">
        <f t="shared" si="3"/>
        <v>6.4531</v>
      </c>
      <c r="J66" s="1">
        <v>0.99046685949657</v>
      </c>
      <c r="K66" s="1">
        <v>40.0627581164518</v>
      </c>
      <c r="L66" s="1">
        <v>19.2276321072048</v>
      </c>
      <c r="M66" s="1">
        <v>6.45314812660217</v>
      </c>
    </row>
    <row r="67">
      <c r="A67" s="1" t="s">
        <v>91</v>
      </c>
      <c r="B67" s="1">
        <f t="shared" ref="B67:D67" si="67">ROUND(J67, 4)</f>
        <v>0.995</v>
      </c>
      <c r="C67" s="1">
        <f t="shared" si="67"/>
        <v>41.7299</v>
      </c>
      <c r="D67" s="1">
        <f t="shared" si="67"/>
        <v>13.0982</v>
      </c>
      <c r="E67" s="1" t="s">
        <v>28</v>
      </c>
      <c r="F67" s="1" t="s">
        <v>31</v>
      </c>
      <c r="G67" s="1">
        <f t="shared" si="3"/>
        <v>5.5903</v>
      </c>
      <c r="J67" s="1">
        <v>0.994996380330142</v>
      </c>
      <c r="K67" s="1">
        <v>41.7298886011801</v>
      </c>
      <c r="L67" s="1">
        <v>13.0982343207465</v>
      </c>
      <c r="M67" s="1">
        <v>5.59031176567077</v>
      </c>
    </row>
    <row r="68">
      <c r="A68" s="1" t="s">
        <v>92</v>
      </c>
      <c r="B68" s="1">
        <f t="shared" ref="B68:D68" si="68">ROUND(J68, 4)</f>
        <v>0.9947</v>
      </c>
      <c r="C68" s="1">
        <f t="shared" si="68"/>
        <v>49.3663</v>
      </c>
      <c r="D68" s="1">
        <f t="shared" si="68"/>
        <v>2.2572</v>
      </c>
      <c r="E68" s="1" t="s">
        <v>28</v>
      </c>
      <c r="F68" s="1" t="s">
        <v>11</v>
      </c>
      <c r="G68" s="1">
        <f t="shared" si="3"/>
        <v>5.7902</v>
      </c>
      <c r="J68" s="1">
        <v>0.994702773913646</v>
      </c>
      <c r="K68" s="1">
        <v>49.3663006457218</v>
      </c>
      <c r="L68" s="1">
        <v>2.25720784505208</v>
      </c>
      <c r="M68" s="1">
        <v>5.79024028778076</v>
      </c>
    </row>
    <row r="69">
      <c r="A69" s="1" t="s">
        <v>93</v>
      </c>
      <c r="B69" s="1">
        <f t="shared" ref="B69:D69" si="69">ROUND(J69, 4)</f>
        <v>0.9903</v>
      </c>
      <c r="C69" s="1">
        <f t="shared" si="69"/>
        <v>40.0313</v>
      </c>
      <c r="D69" s="1">
        <f t="shared" si="69"/>
        <v>19.3672</v>
      </c>
      <c r="E69" s="1" t="s">
        <v>28</v>
      </c>
      <c r="F69" s="1" t="s">
        <v>24</v>
      </c>
      <c r="G69" s="1">
        <f t="shared" si="3"/>
        <v>6.9435</v>
      </c>
      <c r="J69" s="1">
        <v>0.990269427296688</v>
      </c>
      <c r="K69" s="1">
        <v>40.0313443800566</v>
      </c>
      <c r="L69" s="1">
        <v>19.3672151692708</v>
      </c>
      <c r="M69" s="1">
        <v>6.94349122047424</v>
      </c>
    </row>
    <row r="70">
      <c r="A70" s="1" t="s">
        <v>94</v>
      </c>
      <c r="B70" s="1">
        <f t="shared" ref="B70:D70" si="70">ROUND(J70, 4)</f>
        <v>0.9922</v>
      </c>
      <c r="C70" s="1">
        <f t="shared" si="70"/>
        <v>40.5659</v>
      </c>
      <c r="D70" s="1">
        <f t="shared" si="70"/>
        <v>17.1244</v>
      </c>
      <c r="E70" s="1" t="s">
        <v>28</v>
      </c>
      <c r="F70" s="1" t="s">
        <v>20</v>
      </c>
      <c r="G70" s="1">
        <f t="shared" si="3"/>
        <v>6.8541</v>
      </c>
      <c r="J70" s="1">
        <v>0.992166779398962</v>
      </c>
      <c r="K70" s="1">
        <v>40.5658588832603</v>
      </c>
      <c r="L70" s="1">
        <v>17.1244143337673</v>
      </c>
      <c r="M70" s="1">
        <v>6.85412549972534</v>
      </c>
    </row>
    <row r="71">
      <c r="A71" s="1" t="s">
        <v>95</v>
      </c>
      <c r="B71" s="1">
        <f t="shared" ref="B71:D71" si="71">ROUND(J71, 4)</f>
        <v>0.9936</v>
      </c>
      <c r="C71" s="1">
        <f t="shared" si="71"/>
        <v>47.229</v>
      </c>
      <c r="D71" s="1">
        <f t="shared" si="71"/>
        <v>3.6923</v>
      </c>
      <c r="E71" s="1" t="s">
        <v>16</v>
      </c>
      <c r="F71" s="1" t="s">
        <v>20</v>
      </c>
      <c r="G71" s="1">
        <f t="shared" si="3"/>
        <v>13.4571</v>
      </c>
      <c r="J71" s="1">
        <v>0.993566901228159</v>
      </c>
      <c r="K71" s="1">
        <v>47.2289923413022</v>
      </c>
      <c r="L71" s="1">
        <v>3.69234592013888</v>
      </c>
      <c r="M71" s="1">
        <v>13.4570806026458</v>
      </c>
    </row>
    <row r="72">
      <c r="A72" s="1" t="s">
        <v>96</v>
      </c>
      <c r="B72" s="1">
        <f t="shared" ref="B72:D72" si="72">ROUND(J72, 4)</f>
        <v>0.9661</v>
      </c>
      <c r="C72" s="1">
        <f t="shared" si="72"/>
        <v>40.5268</v>
      </c>
      <c r="D72" s="1">
        <f t="shared" si="72"/>
        <v>17.2789</v>
      </c>
      <c r="E72" s="1" t="s">
        <v>19</v>
      </c>
      <c r="F72" s="1" t="s">
        <v>49</v>
      </c>
      <c r="G72" s="1">
        <f t="shared" si="3"/>
        <v>5.4622</v>
      </c>
      <c r="J72" s="1">
        <v>0.966142877632394</v>
      </c>
      <c r="K72" s="1">
        <v>40.5268471411564</v>
      </c>
      <c r="L72" s="1">
        <v>17.2789322375357</v>
      </c>
      <c r="M72" s="1">
        <v>5.46222376823425</v>
      </c>
    </row>
    <row r="73">
      <c r="A73" s="1" t="s">
        <v>97</v>
      </c>
      <c r="B73" s="1">
        <f t="shared" ref="B73:D73" si="73">ROUND(J73, 4)</f>
        <v>0.9948</v>
      </c>
      <c r="C73" s="1">
        <f t="shared" si="73"/>
        <v>49.4181</v>
      </c>
      <c r="D73" s="1">
        <f t="shared" si="73"/>
        <v>2.2305</v>
      </c>
      <c r="E73" s="1" t="s">
        <v>28</v>
      </c>
      <c r="F73" s="1" t="s">
        <v>31</v>
      </c>
      <c r="G73" s="1">
        <f t="shared" si="3"/>
        <v>5.9495</v>
      </c>
      <c r="J73" s="1">
        <v>0.994770908464899</v>
      </c>
      <c r="K73" s="1">
        <v>49.4180737412219</v>
      </c>
      <c r="L73" s="1">
        <v>2.230458984375</v>
      </c>
      <c r="M73" s="1">
        <v>5.94950699806213</v>
      </c>
    </row>
    <row r="74">
      <c r="A74" s="1" t="s">
        <v>98</v>
      </c>
      <c r="B74" s="1">
        <f t="shared" ref="B74:D74" si="74">ROUND(J74, 4)</f>
        <v>0.99</v>
      </c>
      <c r="C74" s="1">
        <f t="shared" si="74"/>
        <v>40.5441</v>
      </c>
      <c r="D74" s="1">
        <f t="shared" si="74"/>
        <v>17.2103</v>
      </c>
      <c r="E74" s="1" t="s">
        <v>8</v>
      </c>
      <c r="F74" s="1" t="s">
        <v>14</v>
      </c>
      <c r="G74" s="1">
        <f t="shared" si="3"/>
        <v>4.0442</v>
      </c>
      <c r="J74" s="1">
        <v>0.990023275813388</v>
      </c>
      <c r="K74" s="1">
        <v>40.5441383416489</v>
      </c>
      <c r="L74" s="1">
        <v>17.2102738715277</v>
      </c>
      <c r="M74" s="1">
        <v>4.04418468475341</v>
      </c>
    </row>
    <row r="75">
      <c r="A75" s="1" t="s">
        <v>99</v>
      </c>
      <c r="B75" s="1">
        <f t="shared" ref="B75:D75" si="75">ROUND(J75, 4)</f>
        <v>0.9883</v>
      </c>
      <c r="C75" s="1">
        <f t="shared" si="75"/>
        <v>40.0085</v>
      </c>
      <c r="D75" s="1">
        <f t="shared" si="75"/>
        <v>19.4693</v>
      </c>
      <c r="E75" s="1" t="s">
        <v>8</v>
      </c>
      <c r="F75" s="1" t="s">
        <v>20</v>
      </c>
      <c r="G75" s="1">
        <f t="shared" si="3"/>
        <v>4.561</v>
      </c>
      <c r="J75" s="1">
        <v>0.988307285198223</v>
      </c>
      <c r="K75" s="1">
        <v>40.0085074787153</v>
      </c>
      <c r="L75" s="1">
        <v>19.4693237847222</v>
      </c>
      <c r="M75" s="1">
        <v>4.56099605560302</v>
      </c>
    </row>
    <row r="76">
      <c r="A76" s="1" t="s">
        <v>100</v>
      </c>
      <c r="B76" s="1">
        <f t="shared" ref="B76:D76" si="76">ROUND(J76, 4)</f>
        <v>0.9918</v>
      </c>
      <c r="C76" s="1">
        <f t="shared" si="76"/>
        <v>46.1701</v>
      </c>
      <c r="D76" s="1">
        <f t="shared" si="76"/>
        <v>4.7118</v>
      </c>
      <c r="E76" s="1" t="s">
        <v>16</v>
      </c>
      <c r="F76" s="1" t="s">
        <v>44</v>
      </c>
      <c r="G76" s="1">
        <f t="shared" si="3"/>
        <v>10.5805</v>
      </c>
      <c r="J76" s="1">
        <v>0.991758538255648</v>
      </c>
      <c r="K76" s="1">
        <v>46.1701186650502</v>
      </c>
      <c r="L76" s="1">
        <v>4.71183147665895</v>
      </c>
      <c r="M76" s="1">
        <v>10.5805206298828</v>
      </c>
    </row>
    <row r="77">
      <c r="A77" s="1" t="s">
        <v>101</v>
      </c>
      <c r="B77" s="1">
        <f t="shared" ref="B77:D77" si="77">ROUND(J77, 4)</f>
        <v>0.9922</v>
      </c>
      <c r="C77" s="1">
        <f t="shared" si="77"/>
        <v>41.6085</v>
      </c>
      <c r="D77" s="1">
        <f t="shared" si="77"/>
        <v>13.4695</v>
      </c>
      <c r="E77" s="1" t="s">
        <v>8</v>
      </c>
      <c r="F77" s="1" t="s">
        <v>26</v>
      </c>
      <c r="G77" s="1">
        <f t="shared" si="3"/>
        <v>3.6195</v>
      </c>
      <c r="J77" s="1">
        <v>0.992237874492232</v>
      </c>
      <c r="K77" s="1">
        <v>41.6085037887133</v>
      </c>
      <c r="L77" s="1">
        <v>13.4694926215277</v>
      </c>
      <c r="M77" s="1">
        <v>3.61948990821838</v>
      </c>
    </row>
    <row r="78">
      <c r="A78" s="1" t="s">
        <v>102</v>
      </c>
      <c r="B78" s="1">
        <f t="shared" ref="B78:D78" si="78">ROUND(J78, 4)</f>
        <v>0.9823</v>
      </c>
      <c r="C78" s="1">
        <f t="shared" si="78"/>
        <v>43.2142</v>
      </c>
      <c r="D78" s="1">
        <f t="shared" si="78"/>
        <v>9.3065</v>
      </c>
      <c r="E78" s="1" t="s">
        <v>13</v>
      </c>
      <c r="F78" s="1" t="s">
        <v>44</v>
      </c>
      <c r="G78" s="1">
        <f t="shared" si="3"/>
        <v>4.6969</v>
      </c>
      <c r="J78" s="1">
        <v>0.982299430083191</v>
      </c>
      <c r="K78" s="1">
        <v>43.2141561414717</v>
      </c>
      <c r="L78" s="1">
        <v>9.30649185180664</v>
      </c>
      <c r="M78" s="1">
        <v>4.69685792922973</v>
      </c>
    </row>
    <row r="79">
      <c r="A79" s="1" t="s">
        <v>103</v>
      </c>
      <c r="B79" s="1">
        <f t="shared" ref="B79:D79" si="79">ROUND(J79, 4)</f>
        <v>0.9948</v>
      </c>
      <c r="C79" s="1">
        <f t="shared" si="79"/>
        <v>41.6623</v>
      </c>
      <c r="D79" s="1">
        <f t="shared" si="79"/>
        <v>13.3036</v>
      </c>
      <c r="E79" s="1" t="s">
        <v>28</v>
      </c>
      <c r="F79" s="1" t="s">
        <v>26</v>
      </c>
      <c r="G79" s="1">
        <f t="shared" si="3"/>
        <v>5.8771</v>
      </c>
      <c r="J79" s="1">
        <v>0.994832441092112</v>
      </c>
      <c r="K79" s="1">
        <v>41.6623179989279</v>
      </c>
      <c r="L79" s="1">
        <v>13.3036195203993</v>
      </c>
      <c r="M79" s="1">
        <v>5.87710666656494</v>
      </c>
    </row>
    <row r="80">
      <c r="A80" s="1" t="s">
        <v>104</v>
      </c>
      <c r="B80" s="1">
        <f t="shared" ref="B80:D80" si="80">ROUND(J80, 4)</f>
        <v>0.9935</v>
      </c>
      <c r="C80" s="1">
        <f t="shared" si="80"/>
        <v>46.4741</v>
      </c>
      <c r="D80" s="1">
        <f t="shared" si="80"/>
        <v>4.3933</v>
      </c>
      <c r="E80" s="1" t="s">
        <v>19</v>
      </c>
      <c r="F80" s="1" t="s">
        <v>31</v>
      </c>
      <c r="G80" s="1">
        <f t="shared" si="3"/>
        <v>4.58</v>
      </c>
      <c r="J80" s="1">
        <v>0.993525904238488</v>
      </c>
      <c r="K80" s="1">
        <v>46.4741493038934</v>
      </c>
      <c r="L80" s="1">
        <v>4.39325776384468</v>
      </c>
      <c r="M80" s="1">
        <v>4.58004760742187</v>
      </c>
    </row>
    <row r="81">
      <c r="A81" s="1" t="s">
        <v>105</v>
      </c>
      <c r="B81" s="1">
        <f t="shared" ref="B81:D81" si="81">ROUND(J81, 4)</f>
        <v>0.9948</v>
      </c>
      <c r="C81" s="1">
        <f t="shared" si="81"/>
        <v>49.3673</v>
      </c>
      <c r="D81" s="1">
        <f t="shared" si="81"/>
        <v>2.2567</v>
      </c>
      <c r="E81" s="1" t="s">
        <v>28</v>
      </c>
      <c r="F81" s="1" t="s">
        <v>9</v>
      </c>
      <c r="G81" s="1">
        <f t="shared" si="3"/>
        <v>5.7609</v>
      </c>
      <c r="J81" s="1">
        <v>0.994759722062435</v>
      </c>
      <c r="K81" s="1">
        <v>49.3672751939749</v>
      </c>
      <c r="L81" s="1">
        <v>2.25670138888888</v>
      </c>
      <c r="M81" s="1">
        <v>5.76089072227478</v>
      </c>
    </row>
    <row r="82">
      <c r="A82" s="1" t="s">
        <v>106</v>
      </c>
      <c r="B82" s="1">
        <f t="shared" ref="B82:D82" si="82">ROUND(J82, 4)</f>
        <v>0.9774</v>
      </c>
      <c r="C82" s="1">
        <f t="shared" si="82"/>
        <v>42.5294</v>
      </c>
      <c r="D82" s="1">
        <f t="shared" si="82"/>
        <v>10.896</v>
      </c>
      <c r="E82" s="1" t="s">
        <v>22</v>
      </c>
      <c r="F82" s="1" t="s">
        <v>24</v>
      </c>
      <c r="G82" s="1">
        <f t="shared" si="3"/>
        <v>10.9087</v>
      </c>
      <c r="J82" s="1">
        <v>0.977352755136148</v>
      </c>
      <c r="K82" s="1">
        <v>42.5293550795303</v>
      </c>
      <c r="L82" s="1">
        <v>10.8959752388691</v>
      </c>
      <c r="M82" s="1">
        <v>10.908709526062</v>
      </c>
    </row>
    <row r="83">
      <c r="A83" s="1" t="s">
        <v>107</v>
      </c>
      <c r="B83" s="1">
        <f t="shared" ref="B83:D83" si="83">ROUND(J83, 4)</f>
        <v>0.9858</v>
      </c>
      <c r="C83" s="1">
        <f t="shared" si="83"/>
        <v>44.5065</v>
      </c>
      <c r="D83" s="1">
        <f t="shared" si="83"/>
        <v>6.9112</v>
      </c>
      <c r="E83" s="1" t="s">
        <v>22</v>
      </c>
      <c r="F83" s="1" t="s">
        <v>14</v>
      </c>
      <c r="G83" s="1">
        <f t="shared" si="3"/>
        <v>10.0858</v>
      </c>
      <c r="J83" s="1">
        <v>0.985812484559154</v>
      </c>
      <c r="K83" s="1">
        <v>44.5064603202344</v>
      </c>
      <c r="L83" s="1">
        <v>6.91123377782702</v>
      </c>
      <c r="M83" s="1">
        <v>10.0857713222503</v>
      </c>
    </row>
    <row r="84">
      <c r="A84" s="1" t="s">
        <v>108</v>
      </c>
      <c r="B84" s="1">
        <f t="shared" ref="B84:D84" si="84">ROUND(J84, 4)</f>
        <v>0.9791</v>
      </c>
      <c r="C84" s="1">
        <f t="shared" si="84"/>
        <v>42.8119</v>
      </c>
      <c r="D84" s="1">
        <f t="shared" si="84"/>
        <v>10.2097</v>
      </c>
      <c r="E84" s="1" t="s">
        <v>22</v>
      </c>
      <c r="F84" s="1" t="s">
        <v>44</v>
      </c>
      <c r="G84" s="1">
        <f t="shared" si="3"/>
        <v>10.6696</v>
      </c>
      <c r="J84" s="1">
        <v>0.979103641054936</v>
      </c>
      <c r="K84" s="1">
        <v>42.8118778747345</v>
      </c>
      <c r="L84" s="1">
        <v>10.2097199135638</v>
      </c>
      <c r="M84" s="1">
        <v>10.669581413269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2" t="str">
        <f>IFERROR(__xludf.DUMMYFUNCTION("QUERY(Main!A1:G100,""select A, B, C, D, E, F, G where A like 'Autumn1%'"", 1)"),"Image")</f>
        <v>Image</v>
      </c>
      <c r="B1" t="str">
        <f>IFERROR(__xludf.DUMMYFUNCTION("""COMPUTED_VALUE"""),"SSIM")</f>
        <v>SSIM</v>
      </c>
      <c r="C1" t="str">
        <f>IFERROR(__xludf.DUMMYFUNCTION("""COMPUTED_VALUE"""),"PSNR")</f>
        <v>PSNR</v>
      </c>
      <c r="D1" t="str">
        <f>IFERROR(__xludf.DUMMYFUNCTION("""COMPUTED_VALUE"""),"ERR")</f>
        <v>ERR</v>
      </c>
      <c r="E1" t="str">
        <f>IFERROR(__xludf.DUMMYFUNCTION("""COMPUTED_VALUE"""),"Host_img_size")</f>
        <v>Host_img_size</v>
      </c>
      <c r="F1" t="str">
        <f>IFERROR(__xludf.DUMMYFUNCTION("""COMPUTED_VALUE"""),"Secret_image_size")</f>
        <v>Secret_image_size</v>
      </c>
      <c r="G1" t="str">
        <f>IFERROR(__xludf.DUMMYFUNCTION("""COMPUTED_VALUE"""),"time")</f>
        <v>time</v>
      </c>
    </row>
    <row r="2">
      <c r="A2" t="str">
        <f>IFERROR(__xludf.DUMMYFUNCTION("""COMPUTED_VALUE"""),"Autumn1_Workflow.png")</f>
        <v>Autumn1_Workflow.png</v>
      </c>
      <c r="B2">
        <f>IFERROR(__xludf.DUMMYFUNCTION("""COMPUTED_VALUE"""),0.9923)</f>
        <v>0.9923</v>
      </c>
      <c r="C2">
        <f>IFERROR(__xludf.DUMMYFUNCTION("""COMPUTED_VALUE"""),41.6377)</f>
        <v>41.6377</v>
      </c>
      <c r="D2">
        <f>IFERROR(__xludf.DUMMYFUNCTION("""COMPUTED_VALUE"""),13.3793)</f>
        <v>13.3793</v>
      </c>
      <c r="E2" t="str">
        <f>IFERROR(__xludf.DUMMYFUNCTION("""COMPUTED_VALUE"""),"(1920, 1200)")</f>
        <v>(1920, 1200)</v>
      </c>
      <c r="F2" t="str">
        <f>IFERROR(__xludf.DUMMYFUNCTION("""COMPUTED_VALUE"""),"(508, 364)")</f>
        <v>(508, 364)</v>
      </c>
      <c r="G2">
        <f>IFERROR(__xludf.DUMMYFUNCTION("""COMPUTED_VALUE"""),3.7236)</f>
        <v>3.7236</v>
      </c>
    </row>
    <row r="3">
      <c r="A3" t="str">
        <f>IFERROR(__xludf.DUMMYFUNCTION("""COMPUTED_VALUE"""),"Autumn1_skills.png")</f>
        <v>Autumn1_skills.png</v>
      </c>
      <c r="B3">
        <f>IFERROR(__xludf.DUMMYFUNCTION("""COMPUTED_VALUE"""),0.9925)</f>
        <v>0.9925</v>
      </c>
      <c r="C3">
        <f>IFERROR(__xludf.DUMMYFUNCTION("""COMPUTED_VALUE"""),41.6761)</f>
        <v>41.6761</v>
      </c>
      <c r="D3">
        <f>IFERROR(__xludf.DUMMYFUNCTION("""COMPUTED_VALUE"""),13.2614)</f>
        <v>13.2614</v>
      </c>
      <c r="E3" t="str">
        <f>IFERROR(__xludf.DUMMYFUNCTION("""COMPUTED_VALUE"""),"(1920, 1200)")</f>
        <v>(1920, 1200)</v>
      </c>
      <c r="F3" t="str">
        <f>IFERROR(__xludf.DUMMYFUNCTION("""COMPUTED_VALUE"""),"(583, 225)")</f>
        <v>(583, 225)</v>
      </c>
      <c r="G3">
        <f>IFERROR(__xludf.DUMMYFUNCTION("""COMPUTED_VALUE"""),3.6295)</f>
        <v>3.6295</v>
      </c>
    </row>
    <row r="4">
      <c r="A4" t="str">
        <f>IFERROR(__xludf.DUMMYFUNCTION("""COMPUTED_VALUE"""),"Autumn1_P3Interlaken.png")</f>
        <v>Autumn1_P3Interlaken.png</v>
      </c>
      <c r="B4">
        <f>IFERROR(__xludf.DUMMYFUNCTION("""COMPUTED_VALUE"""),0.986)</f>
        <v>0.986</v>
      </c>
      <c r="C4">
        <f>IFERROR(__xludf.DUMMYFUNCTION("""COMPUTED_VALUE"""),39.2792)</f>
        <v>39.2792</v>
      </c>
      <c r="D4">
        <f>IFERROR(__xludf.DUMMYFUNCTION("""COMPUTED_VALUE"""),23.0295)</f>
        <v>23.0295</v>
      </c>
      <c r="E4" t="str">
        <f>IFERROR(__xludf.DUMMYFUNCTION("""COMPUTED_VALUE"""),"(1920, 1200)")</f>
        <v>(1920, 1200)</v>
      </c>
      <c r="F4" t="str">
        <f>IFERROR(__xludf.DUMMYFUNCTION("""COMPUTED_VALUE"""),"(1739, 899)")</f>
        <v>(1739, 899)</v>
      </c>
      <c r="G4">
        <f>IFERROR(__xludf.DUMMYFUNCTION("""COMPUTED_VALUE"""),4.4438)</f>
        <v>4.4438</v>
      </c>
    </row>
    <row r="5">
      <c r="A5" t="str">
        <f>IFERROR(__xludf.DUMMYFUNCTION("""COMPUTED_VALUE"""),"Autumn1_rule.png")</f>
        <v>Autumn1_rule.png</v>
      </c>
      <c r="B5">
        <f>IFERROR(__xludf.DUMMYFUNCTION("""COMPUTED_VALUE"""),0.9926)</f>
        <v>0.9926</v>
      </c>
      <c r="C5">
        <f>IFERROR(__xludf.DUMMYFUNCTION("""COMPUTED_VALUE"""),41.7264)</f>
        <v>41.7264</v>
      </c>
      <c r="D5">
        <f>IFERROR(__xludf.DUMMYFUNCTION("""COMPUTED_VALUE"""),13.1086)</f>
        <v>13.1086</v>
      </c>
      <c r="E5" t="str">
        <f>IFERROR(__xludf.DUMMYFUNCTION("""COMPUTED_VALUE"""),"(1920, 1200)")</f>
        <v>(1920, 1200)</v>
      </c>
      <c r="F5" t="str">
        <f>IFERROR(__xludf.DUMMYFUNCTION("""COMPUTED_VALUE"""),"(1028, 170)")</f>
        <v>(1028, 170)</v>
      </c>
      <c r="G5">
        <f>IFERROR(__xludf.DUMMYFUNCTION("""COMPUTED_VALUE"""),3.6733)</f>
        <v>3.6733</v>
      </c>
    </row>
    <row r="6">
      <c r="A6" t="str">
        <f>IFERROR(__xludf.DUMMYFUNCTION("""COMPUTED_VALUE"""),"Autumn1_P5Tamil.png")</f>
        <v>Autumn1_P5Tamil.png</v>
      </c>
      <c r="B6">
        <f>IFERROR(__xludf.DUMMYFUNCTION("""COMPUTED_VALUE"""),0.9847)</f>
        <v>0.9847</v>
      </c>
      <c r="C6">
        <f>IFERROR(__xludf.DUMMYFUNCTION("""COMPUTED_VALUE"""),38.8544)</f>
        <v>38.8544</v>
      </c>
      <c r="D6">
        <f>IFERROR(__xludf.DUMMYFUNCTION("""COMPUTED_VALUE"""),25.3956)</f>
        <v>25.3956</v>
      </c>
      <c r="E6" t="str">
        <f>IFERROR(__xludf.DUMMYFUNCTION("""COMPUTED_VALUE"""),"(1920, 1200)")</f>
        <v>(1920, 1200)</v>
      </c>
      <c r="F6" t="str">
        <f>IFERROR(__xludf.DUMMYFUNCTION("""COMPUTED_VALUE"""),"(1702, 934)")</f>
        <v>(1702, 934)</v>
      </c>
      <c r="G6">
        <f>IFERROR(__xludf.DUMMYFUNCTION("""COMPUTED_VALUE"""),4.5953)</f>
        <v>4.5953</v>
      </c>
    </row>
    <row r="7">
      <c r="A7" t="str">
        <f>IFERROR(__xludf.DUMMYFUNCTION("""COMPUTED_VALUE"""),"Autumn1_P1ChildLabour.png")</f>
        <v>Autumn1_P1ChildLabour.png</v>
      </c>
      <c r="B7">
        <f>IFERROR(__xludf.DUMMYFUNCTION("""COMPUTED_VALUE"""),0.9848)</f>
        <v>0.9848</v>
      </c>
      <c r="C7">
        <f>IFERROR(__xludf.DUMMYFUNCTION("""COMPUTED_VALUE"""),38.8765)</f>
        <v>38.8765</v>
      </c>
      <c r="D7">
        <f>IFERROR(__xludf.DUMMYFUNCTION("""COMPUTED_VALUE"""),25.267)</f>
        <v>25.267</v>
      </c>
      <c r="E7" t="str">
        <f>IFERROR(__xludf.DUMMYFUNCTION("""COMPUTED_VALUE"""),"(1920, 1200)")</f>
        <v>(1920, 1200)</v>
      </c>
      <c r="F7" t="str">
        <f>IFERROR(__xludf.DUMMYFUNCTION("""COMPUTED_VALUE"""),"(1735, 927)")</f>
        <v>(1735, 927)</v>
      </c>
      <c r="G7">
        <f>IFERROR(__xludf.DUMMYFUNCTION("""COMPUTED_VALUE"""),4.4804)</f>
        <v>4.4804</v>
      </c>
    </row>
    <row r="8">
      <c r="A8" t="str">
        <f>IFERROR(__xludf.DUMMYFUNCTION("""COMPUTED_VALUE"""),"Autumn1_P2GlobalWarming.png")</f>
        <v>Autumn1_P2GlobalWarming.png</v>
      </c>
      <c r="B8">
        <f>IFERROR(__xludf.DUMMYFUNCTION("""COMPUTED_VALUE"""),0.9864)</f>
        <v>0.9864</v>
      </c>
      <c r="C8">
        <f>IFERROR(__xludf.DUMMYFUNCTION("""COMPUTED_VALUE"""),39.3411)</f>
        <v>39.3411</v>
      </c>
      <c r="D8">
        <f>IFERROR(__xludf.DUMMYFUNCTION("""COMPUTED_VALUE"""),22.7036)</f>
        <v>22.7036</v>
      </c>
      <c r="E8" t="str">
        <f>IFERROR(__xludf.DUMMYFUNCTION("""COMPUTED_VALUE"""),"(1920, 1200)")</f>
        <v>(1920, 1200)</v>
      </c>
      <c r="F8" t="str">
        <f>IFERROR(__xludf.DUMMYFUNCTION("""COMPUTED_VALUE"""),"(1755, 881)")</f>
        <v>(1755, 881)</v>
      </c>
      <c r="G8">
        <f>IFERROR(__xludf.DUMMYFUNCTION("""COMPUTED_VALUE"""),4.5004)</f>
        <v>4.5004</v>
      </c>
    </row>
    <row r="9">
      <c r="A9" t="str">
        <f>IFERROR(__xludf.DUMMYFUNCTION("""COMPUTED_VALUE"""),"Autumn1_P4Europe.png")</f>
        <v>Autumn1_P4Europe.png</v>
      </c>
      <c r="B9">
        <f>IFERROR(__xludf.DUMMYFUNCTION("""COMPUTED_VALUE"""),0.9864)</f>
        <v>0.9864</v>
      </c>
      <c r="C9">
        <f>IFERROR(__xludf.DUMMYFUNCTION("""COMPUTED_VALUE"""),39.216)</f>
        <v>39.216</v>
      </c>
      <c r="D9">
        <f>IFERROR(__xludf.DUMMYFUNCTION("""COMPUTED_VALUE"""),23.3668)</f>
        <v>23.3668</v>
      </c>
      <c r="E9" t="str">
        <f>IFERROR(__xludf.DUMMYFUNCTION("""COMPUTED_VALUE"""),"(1920, 1200)")</f>
        <v>(1920, 1200)</v>
      </c>
      <c r="F9" t="str">
        <f>IFERROR(__xludf.DUMMYFUNCTION("""COMPUTED_VALUE"""),"(1626, 832)")</f>
        <v>(1626, 832)</v>
      </c>
      <c r="G9">
        <f>IFERROR(__xludf.DUMMYFUNCTION("""COMPUTED_VALUE"""),4.3547)</f>
        <v>4.3547</v>
      </c>
    </row>
    <row r="10">
      <c r="A10" t="str">
        <f>IFERROR(__xludf.DUMMYFUNCTION("""COMPUTED_VALUE"""),"Autumn1_States.png")</f>
        <v>Autumn1_States.png</v>
      </c>
      <c r="B10">
        <f>IFERROR(__xludf.DUMMYFUNCTION("""COMPUTED_VALUE"""),0.99)</f>
        <v>0.99</v>
      </c>
      <c r="C10">
        <f>IFERROR(__xludf.DUMMYFUNCTION("""COMPUTED_VALUE"""),40.5441)</f>
        <v>40.5441</v>
      </c>
      <c r="D10">
        <f>IFERROR(__xludf.DUMMYFUNCTION("""COMPUTED_VALUE"""),17.2103)</f>
        <v>17.2103</v>
      </c>
      <c r="E10" t="str">
        <f>IFERROR(__xludf.DUMMYFUNCTION("""COMPUTED_VALUE"""),"(1920, 1200)")</f>
        <v>(1920, 1200)</v>
      </c>
      <c r="F10" t="str">
        <f>IFERROR(__xludf.DUMMYFUNCTION("""COMPUTED_VALUE"""),"(1718, 481)")</f>
        <v>(1718, 481)</v>
      </c>
      <c r="G10">
        <f>IFERROR(__xludf.DUMMYFUNCTION("""COMPUTED_VALUE"""),4.0442)</f>
        <v>4.0442</v>
      </c>
    </row>
    <row r="11">
      <c r="A11" t="str">
        <f>IFERROR(__xludf.DUMMYFUNCTION("""COMPUTED_VALUE"""),"Autumn1_Level.png")</f>
        <v>Autumn1_Level.png</v>
      </c>
      <c r="B11">
        <f>IFERROR(__xludf.DUMMYFUNCTION("""COMPUTED_VALUE"""),0.9883)</f>
        <v>0.9883</v>
      </c>
      <c r="C11">
        <f>IFERROR(__xludf.DUMMYFUNCTION("""COMPUTED_VALUE"""),40.0085)</f>
        <v>40.0085</v>
      </c>
      <c r="D11">
        <f>IFERROR(__xludf.DUMMYFUNCTION("""COMPUTED_VALUE"""),19.4693)</f>
        <v>19.4693</v>
      </c>
      <c r="E11" t="str">
        <f>IFERROR(__xludf.DUMMYFUNCTION("""COMPUTED_VALUE"""),"(1920, 1200)")</f>
        <v>(1920, 1200)</v>
      </c>
      <c r="F11" t="str">
        <f>IFERROR(__xludf.DUMMYFUNCTION("""COMPUTED_VALUE"""),"(1830, 914)")</f>
        <v>(1830, 914)</v>
      </c>
      <c r="G11">
        <f>IFERROR(__xludf.DUMMYFUNCTION("""COMPUTED_VALUE"""),4.561)</f>
        <v>4.561</v>
      </c>
    </row>
    <row r="12">
      <c r="A12" t="str">
        <f>IFERROR(__xludf.DUMMYFUNCTION("""COMPUTED_VALUE"""),"Autumn1_Sensore.png")</f>
        <v>Autumn1_Sensore.png</v>
      </c>
      <c r="B12">
        <f>IFERROR(__xludf.DUMMYFUNCTION("""COMPUTED_VALUE"""),0.9922)</f>
        <v>0.9922</v>
      </c>
      <c r="C12">
        <f>IFERROR(__xludf.DUMMYFUNCTION("""COMPUTED_VALUE"""),41.6085)</f>
        <v>41.6085</v>
      </c>
      <c r="D12">
        <f>IFERROR(__xludf.DUMMYFUNCTION("""COMPUTED_VALUE"""),13.4695)</f>
        <v>13.4695</v>
      </c>
      <c r="E12" t="str">
        <f>IFERROR(__xludf.DUMMYFUNCTION("""COMPUTED_VALUE"""),"(1920, 1200)")</f>
        <v>(1920, 1200)</v>
      </c>
      <c r="F12" t="str">
        <f>IFERROR(__xludf.DUMMYFUNCTION("""COMPUTED_VALUE"""),"(516, 576)")</f>
        <v>(516, 576)</v>
      </c>
      <c r="G12">
        <f>IFERROR(__xludf.DUMMYFUNCTION("""COMPUTED_VALUE"""),3.6195)</f>
        <v>3.6195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</cols>
  <sheetData>
    <row r="1">
      <c r="A1" s="2" t="str">
        <f>IFERROR(__xludf.DUMMYFUNCTION("QUERY(Main!A1:G100,""select A, B, C, D, E, F, G where A like 'GreenlandIce%'"", 1)"),"Image")</f>
        <v>Image</v>
      </c>
      <c r="B1" t="str">
        <f>IFERROR(__xludf.DUMMYFUNCTION("""COMPUTED_VALUE"""),"SSIM")</f>
        <v>SSIM</v>
      </c>
      <c r="C1" t="str">
        <f>IFERROR(__xludf.DUMMYFUNCTION("""COMPUTED_VALUE"""),"PSNR")</f>
        <v>PSNR</v>
      </c>
      <c r="D1" t="str">
        <f>IFERROR(__xludf.DUMMYFUNCTION("""COMPUTED_VALUE"""),"ERR")</f>
        <v>ERR</v>
      </c>
      <c r="E1" t="str">
        <f>IFERROR(__xludf.DUMMYFUNCTION("""COMPUTED_VALUE"""),"Host_img_size")</f>
        <v>Host_img_size</v>
      </c>
      <c r="F1" t="str">
        <f>IFERROR(__xludf.DUMMYFUNCTION("""COMPUTED_VALUE"""),"Secret_image_size")</f>
        <v>Secret_image_size</v>
      </c>
      <c r="G1" t="str">
        <f>IFERROR(__xludf.DUMMYFUNCTION("""COMPUTED_VALUE"""),"time")</f>
        <v>time</v>
      </c>
    </row>
    <row r="2">
      <c r="A2" t="str">
        <f>IFERROR(__xludf.DUMMYFUNCTION("""COMPUTED_VALUE"""),"GreenlandIceSheet_States.png")</f>
        <v>GreenlandIceSheet_States.png</v>
      </c>
      <c r="B2">
        <f>IFERROR(__xludf.DUMMYFUNCTION("""COMPUTED_VALUE"""),0.9894)</f>
        <v>0.9894</v>
      </c>
      <c r="C2">
        <f>IFERROR(__xludf.DUMMYFUNCTION("""COMPUTED_VALUE"""),46.5934)</f>
        <v>46.5934</v>
      </c>
      <c r="D2">
        <f>IFERROR(__xludf.DUMMYFUNCTION("""COMPUTED_VALUE"""),4.2743)</f>
        <v>4.2743</v>
      </c>
      <c r="E2" t="str">
        <f>IFERROR(__xludf.DUMMYFUNCTION("""COMPUTED_VALUE"""),"(2048, 1152)")</f>
        <v>(2048, 1152)</v>
      </c>
      <c r="F2" t="str">
        <f>IFERROR(__xludf.DUMMYFUNCTION("""COMPUTED_VALUE"""),"(1718, 481)")</f>
        <v>(1718, 481)</v>
      </c>
      <c r="G2">
        <f>IFERROR(__xludf.DUMMYFUNCTION("""COMPUTED_VALUE"""),4.3635)</f>
        <v>4.3635</v>
      </c>
    </row>
    <row r="3">
      <c r="A3" t="str">
        <f>IFERROR(__xludf.DUMMYFUNCTION("""COMPUTED_VALUE"""),"GreenlandIceSheet_P4Europe.png")</f>
        <v>GreenlandIceSheet_P4Europe.png</v>
      </c>
      <c r="B3">
        <f>IFERROR(__xludf.DUMMYFUNCTION("""COMPUTED_VALUE"""),0.9809)</f>
        <v>0.9809</v>
      </c>
      <c r="C3">
        <f>IFERROR(__xludf.DUMMYFUNCTION("""COMPUTED_VALUE"""),43.0496)</f>
        <v>43.0496</v>
      </c>
      <c r="D3">
        <f>IFERROR(__xludf.DUMMYFUNCTION("""COMPUTED_VALUE"""),9.6659)</f>
        <v>9.6659</v>
      </c>
      <c r="E3" t="str">
        <f>IFERROR(__xludf.DUMMYFUNCTION("""COMPUTED_VALUE"""),"(2048, 1152)")</f>
        <v>(2048, 1152)</v>
      </c>
      <c r="F3" t="str">
        <f>IFERROR(__xludf.DUMMYFUNCTION("""COMPUTED_VALUE"""),"(1626, 832)")</f>
        <v>(1626, 832)</v>
      </c>
      <c r="G3">
        <f>IFERROR(__xludf.DUMMYFUNCTION("""COMPUTED_VALUE"""),4.6742)</f>
        <v>4.6742</v>
      </c>
    </row>
    <row r="4">
      <c r="A4" t="str">
        <f>IFERROR(__xludf.DUMMYFUNCTION("""COMPUTED_VALUE"""),"GreenlandIceSheet_skills.png")</f>
        <v>GreenlandIceSheet_skills.png</v>
      </c>
      <c r="B4">
        <f>IFERROR(__xludf.DUMMYFUNCTION("""COMPUTED_VALUE"""),0.9979)</f>
        <v>0.9979</v>
      </c>
      <c r="C4">
        <f>IFERROR(__xludf.DUMMYFUNCTION("""COMPUTED_VALUE"""),54.4108)</f>
        <v>54.4108</v>
      </c>
      <c r="D4">
        <f>IFERROR(__xludf.DUMMYFUNCTION("""COMPUTED_VALUE"""),0.7065)</f>
        <v>0.7065</v>
      </c>
      <c r="E4" t="str">
        <f>IFERROR(__xludf.DUMMYFUNCTION("""COMPUTED_VALUE"""),"(2048, 1152)")</f>
        <v>(2048, 1152)</v>
      </c>
      <c r="F4" t="str">
        <f>IFERROR(__xludf.DUMMYFUNCTION("""COMPUTED_VALUE"""),"(583, 225)")</f>
        <v>(583, 225)</v>
      </c>
      <c r="G4">
        <f>IFERROR(__xludf.DUMMYFUNCTION("""COMPUTED_VALUE"""),3.933)</f>
        <v>3.933</v>
      </c>
    </row>
    <row r="5">
      <c r="A5" t="str">
        <f>IFERROR(__xludf.DUMMYFUNCTION("""COMPUTED_VALUE"""),"GreenlandIceSheet_P2GlobalWarming.png")</f>
        <v>GreenlandIceSheet_P2GlobalWarming.png</v>
      </c>
      <c r="B5">
        <f>IFERROR(__xludf.DUMMYFUNCTION("""COMPUTED_VALUE"""),0.9838)</f>
        <v>0.9838</v>
      </c>
      <c r="C5">
        <f>IFERROR(__xludf.DUMMYFUNCTION("""COMPUTED_VALUE"""),43.3461)</f>
        <v>43.3461</v>
      </c>
      <c r="D5">
        <f>IFERROR(__xludf.DUMMYFUNCTION("""COMPUTED_VALUE"""),9.0281)</f>
        <v>9.0281</v>
      </c>
      <c r="E5" t="str">
        <f>IFERROR(__xludf.DUMMYFUNCTION("""COMPUTED_VALUE"""),"(2048, 1152)")</f>
        <v>(2048, 1152)</v>
      </c>
      <c r="F5" t="str">
        <f>IFERROR(__xludf.DUMMYFUNCTION("""COMPUTED_VALUE"""),"(1755, 881)")</f>
        <v>(1755, 881)</v>
      </c>
      <c r="G5">
        <f>IFERROR(__xludf.DUMMYFUNCTION("""COMPUTED_VALUE"""),4.8666)</f>
        <v>4.8666</v>
      </c>
    </row>
    <row r="6">
      <c r="A6" t="str">
        <f>IFERROR(__xludf.DUMMYFUNCTION("""COMPUTED_VALUE"""),"GreenlandIceSheet_Level.png")</f>
        <v>GreenlandIceSheet_Level.png</v>
      </c>
      <c r="B6">
        <f>IFERROR(__xludf.DUMMYFUNCTION("""COMPUTED_VALUE"""),0.988)</f>
        <v>0.988</v>
      </c>
      <c r="C6">
        <f>IFERROR(__xludf.DUMMYFUNCTION("""COMPUTED_VALUE"""),45.0643)</f>
        <v>45.0643</v>
      </c>
      <c r="D6">
        <f>IFERROR(__xludf.DUMMYFUNCTION("""COMPUTED_VALUE"""),6.0782)</f>
        <v>6.0782</v>
      </c>
      <c r="E6" t="str">
        <f>IFERROR(__xludf.DUMMYFUNCTION("""COMPUTED_VALUE"""),"(2048, 1152)")</f>
        <v>(2048, 1152)</v>
      </c>
      <c r="F6" t="str">
        <f>IFERROR(__xludf.DUMMYFUNCTION("""COMPUTED_VALUE"""),"(1830, 914)")</f>
        <v>(1830, 914)</v>
      </c>
      <c r="G6">
        <f>IFERROR(__xludf.DUMMYFUNCTION("""COMPUTED_VALUE"""),4.877)</f>
        <v>4.877</v>
      </c>
    </row>
    <row r="7">
      <c r="A7" t="str">
        <f>IFERROR(__xludf.DUMMYFUNCTION("""COMPUTED_VALUE"""),"GreenlandIceSheet_P5Tamil.png")</f>
        <v>GreenlandIceSheet_P5Tamil.png</v>
      </c>
      <c r="B7">
        <f>IFERROR(__xludf.DUMMYFUNCTION("""COMPUTED_VALUE"""),0.9776)</f>
        <v>0.9776</v>
      </c>
      <c r="C7">
        <f>IFERROR(__xludf.DUMMYFUNCTION("""COMPUTED_VALUE"""),42.2547)</f>
        <v>42.2547</v>
      </c>
      <c r="D7">
        <f>IFERROR(__xludf.DUMMYFUNCTION("""COMPUTED_VALUE"""),11.6072)</f>
        <v>11.6072</v>
      </c>
      <c r="E7" t="str">
        <f>IFERROR(__xludf.DUMMYFUNCTION("""COMPUTED_VALUE"""),"(2048, 1152)")</f>
        <v>(2048, 1152)</v>
      </c>
      <c r="F7" t="str">
        <f>IFERROR(__xludf.DUMMYFUNCTION("""COMPUTED_VALUE"""),"(1702, 934)")</f>
        <v>(1702, 934)</v>
      </c>
      <c r="G7">
        <f>IFERROR(__xludf.DUMMYFUNCTION("""COMPUTED_VALUE"""),4.7873)</f>
        <v>4.7873</v>
      </c>
    </row>
    <row r="8">
      <c r="A8" t="str">
        <f>IFERROR(__xludf.DUMMYFUNCTION("""COMPUTED_VALUE"""),"GreenlandIceSheet_P1ChildLabour.png")</f>
        <v>GreenlandIceSheet_P1ChildLabour.png</v>
      </c>
      <c r="B8">
        <f>IFERROR(__xludf.DUMMYFUNCTION("""COMPUTED_VALUE"""),0.9778)</f>
        <v>0.9778</v>
      </c>
      <c r="C8">
        <f>IFERROR(__xludf.DUMMYFUNCTION("""COMPUTED_VALUE"""),42.3035)</f>
        <v>42.3035</v>
      </c>
      <c r="D8">
        <f>IFERROR(__xludf.DUMMYFUNCTION("""COMPUTED_VALUE"""),11.4775)</f>
        <v>11.4775</v>
      </c>
      <c r="E8" t="str">
        <f>IFERROR(__xludf.DUMMYFUNCTION("""COMPUTED_VALUE"""),"(2048, 1152)")</f>
        <v>(2048, 1152)</v>
      </c>
      <c r="F8" t="str">
        <f>IFERROR(__xludf.DUMMYFUNCTION("""COMPUTED_VALUE"""),"(1735, 927)")</f>
        <v>(1735, 927)</v>
      </c>
      <c r="G8">
        <f>IFERROR(__xludf.DUMMYFUNCTION("""COMPUTED_VALUE"""),4.7591)</f>
        <v>4.7591</v>
      </c>
    </row>
    <row r="9">
      <c r="A9" t="str">
        <f>IFERROR(__xludf.DUMMYFUNCTION("""COMPUTED_VALUE"""),"GreenlandIceSheet_rule.png")</f>
        <v>GreenlandIceSheet_rule.png</v>
      </c>
      <c r="B9">
        <f>IFERROR(__xludf.DUMMYFUNCTION("""COMPUTED_VALUE"""),0.9981)</f>
        <v>0.9981</v>
      </c>
      <c r="C9">
        <f>IFERROR(__xludf.DUMMYFUNCTION("""COMPUTED_VALUE"""),54.7394)</f>
        <v>54.7394</v>
      </c>
      <c r="D9">
        <f>IFERROR(__xludf.DUMMYFUNCTION("""COMPUTED_VALUE"""),0.655)</f>
        <v>0.655</v>
      </c>
      <c r="E9" t="str">
        <f>IFERROR(__xludf.DUMMYFUNCTION("""COMPUTED_VALUE"""),"(2048, 1152)")</f>
        <v>(2048, 1152)</v>
      </c>
      <c r="F9" t="str">
        <f>IFERROR(__xludf.DUMMYFUNCTION("""COMPUTED_VALUE"""),"(1028, 170)")</f>
        <v>(1028, 170)</v>
      </c>
      <c r="G9">
        <f>IFERROR(__xludf.DUMMYFUNCTION("""COMPUTED_VALUE"""),3.9819)</f>
        <v>3.9819</v>
      </c>
    </row>
    <row r="10">
      <c r="A10" t="str">
        <f>IFERROR(__xludf.DUMMYFUNCTION("""COMPUTED_VALUE"""),"GreenlandIceSheet_Sensore.png")</f>
        <v>GreenlandIceSheet_Sensore.png</v>
      </c>
      <c r="B10">
        <f>IFERROR(__xludf.DUMMYFUNCTION("""COMPUTED_VALUE"""),0.9973)</f>
        <v>0.9973</v>
      </c>
      <c r="C10">
        <f>IFERROR(__xludf.DUMMYFUNCTION("""COMPUTED_VALUE"""),52.5866)</f>
        <v>52.5866</v>
      </c>
      <c r="D10">
        <f>IFERROR(__xludf.DUMMYFUNCTION("""COMPUTED_VALUE"""),1.0753)</f>
        <v>1.0753</v>
      </c>
      <c r="E10" t="str">
        <f>IFERROR(__xludf.DUMMYFUNCTION("""COMPUTED_VALUE"""),"(2048, 1152)")</f>
        <v>(2048, 1152)</v>
      </c>
      <c r="F10" t="str">
        <f>IFERROR(__xludf.DUMMYFUNCTION("""COMPUTED_VALUE"""),"(516, 576)")</f>
        <v>(516, 576)</v>
      </c>
      <c r="G10">
        <f>IFERROR(__xludf.DUMMYFUNCTION("""COMPUTED_VALUE"""),4.2683)</f>
        <v>4.2683</v>
      </c>
    </row>
    <row r="11">
      <c r="A11" t="str">
        <f>IFERROR(__xludf.DUMMYFUNCTION("""COMPUTED_VALUE"""),"GreenlandIceSheet_Workflow.png")</f>
        <v>GreenlandIceSheet_Workflow.png</v>
      </c>
      <c r="B11">
        <f>IFERROR(__xludf.DUMMYFUNCTION("""COMPUTED_VALUE"""),0.9976)</f>
        <v>0.9976</v>
      </c>
      <c r="C11">
        <f>IFERROR(__xludf.DUMMYFUNCTION("""COMPUTED_VALUE"""),53.2682)</f>
        <v>53.2682</v>
      </c>
      <c r="D11">
        <f>IFERROR(__xludf.DUMMYFUNCTION("""COMPUTED_VALUE"""),0.9191)</f>
        <v>0.9191</v>
      </c>
      <c r="E11" t="str">
        <f>IFERROR(__xludf.DUMMYFUNCTION("""COMPUTED_VALUE"""),"(2048, 1152)")</f>
        <v>(2048, 1152)</v>
      </c>
      <c r="F11" t="str">
        <f>IFERROR(__xludf.DUMMYFUNCTION("""COMPUTED_VALUE"""),"(508, 364)")</f>
        <v>(508, 364)</v>
      </c>
      <c r="G11">
        <f>IFERROR(__xludf.DUMMYFUNCTION("""COMPUTED_VALUE"""),3.9184)</f>
        <v>3.9184</v>
      </c>
    </row>
    <row r="12">
      <c r="A12" t="str">
        <f>IFERROR(__xludf.DUMMYFUNCTION("""COMPUTED_VALUE"""),"GreenlandIceSheet_P3Interlaken.png")</f>
        <v>GreenlandIceSheet_P3Interlaken.png</v>
      </c>
      <c r="B12">
        <f>IFERROR(__xludf.DUMMYFUNCTION("""COMPUTED_VALUE"""),0.9823)</f>
        <v>0.9823</v>
      </c>
      <c r="C12">
        <f>IFERROR(__xludf.DUMMYFUNCTION("""COMPUTED_VALUE"""),43.2142)</f>
        <v>43.2142</v>
      </c>
      <c r="D12">
        <f>IFERROR(__xludf.DUMMYFUNCTION("""COMPUTED_VALUE"""),9.3065)</f>
        <v>9.3065</v>
      </c>
      <c r="E12" t="str">
        <f>IFERROR(__xludf.DUMMYFUNCTION("""COMPUTED_VALUE"""),"(2048, 1152)")</f>
        <v>(2048, 1152)</v>
      </c>
      <c r="F12" t="str">
        <f>IFERROR(__xludf.DUMMYFUNCTION("""COMPUTED_VALUE"""),"(1739, 899)")</f>
        <v>(1739, 899)</v>
      </c>
      <c r="G12">
        <f>IFERROR(__xludf.DUMMYFUNCTION("""COMPUTED_VALUE"""),4.6969)</f>
        <v>4.6969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IFERROR(__xludf.DUMMYFUNCTION("QUERY(Main!A1:G100,""select A, B, C, D, E, F, G where A like 'Pumpkin1%'"", 1)"),"Image")</f>
        <v>Image</v>
      </c>
      <c r="B1" t="str">
        <f>IFERROR(__xludf.DUMMYFUNCTION("""COMPUTED_VALUE"""),"SSIM")</f>
        <v>SSIM</v>
      </c>
      <c r="C1" t="str">
        <f>IFERROR(__xludf.DUMMYFUNCTION("""COMPUTED_VALUE"""),"PSNR")</f>
        <v>PSNR</v>
      </c>
      <c r="D1" t="str">
        <f>IFERROR(__xludf.DUMMYFUNCTION("""COMPUTED_VALUE"""),"ERR")</f>
        <v>ERR</v>
      </c>
      <c r="E1" t="str">
        <f>IFERROR(__xludf.DUMMYFUNCTION("""COMPUTED_VALUE"""),"Host_img_size")</f>
        <v>Host_img_size</v>
      </c>
      <c r="F1" t="str">
        <f>IFERROR(__xludf.DUMMYFUNCTION("""COMPUTED_VALUE"""),"Secret_image_size")</f>
        <v>Secret_image_size</v>
      </c>
      <c r="G1" t="str">
        <f>IFERROR(__xludf.DUMMYFUNCTION("""COMPUTED_VALUE"""),"time")</f>
        <v>time</v>
      </c>
    </row>
    <row r="2">
      <c r="A2" t="str">
        <f>IFERROR(__xludf.DUMMYFUNCTION("""COMPUTED_VALUE"""),"Pumpkin1_Level.png")</f>
        <v>Pumpkin1_Level.png</v>
      </c>
      <c r="B2">
        <f>IFERROR(__xludf.DUMMYFUNCTION("""COMPUTED_VALUE"""),0.9791)</f>
        <v>0.9791</v>
      </c>
      <c r="C2">
        <f>IFERROR(__xludf.DUMMYFUNCTION("""COMPUTED_VALUE"""),42.4196)</f>
        <v>42.4196</v>
      </c>
      <c r="D2">
        <f>IFERROR(__xludf.DUMMYFUNCTION("""COMPUTED_VALUE"""),11.1749)</f>
        <v>11.1749</v>
      </c>
      <c r="E2" t="str">
        <f>IFERROR(__xludf.DUMMYFUNCTION("""COMPUTED_VALUE"""),"(2121, 1414)")</f>
        <v>(2121, 1414)</v>
      </c>
      <c r="F2" t="str">
        <f>IFERROR(__xludf.DUMMYFUNCTION("""COMPUTED_VALUE"""),"(1830, 914)")</f>
        <v>(1830, 914)</v>
      </c>
      <c r="G2">
        <f>IFERROR(__xludf.DUMMYFUNCTION("""COMPUTED_VALUE"""),5.3916)</f>
        <v>5.3916</v>
      </c>
    </row>
    <row r="3">
      <c r="A3" t="str">
        <f>IFERROR(__xludf.DUMMYFUNCTION("""COMPUTED_VALUE"""),"Pumpkin1_Sensore.png")</f>
        <v>Pumpkin1_Sensore.png</v>
      </c>
      <c r="B3">
        <f>IFERROR(__xludf.DUMMYFUNCTION("""COMPUTED_VALUE"""),0.9924)</f>
        <v>0.9924</v>
      </c>
      <c r="C3">
        <f>IFERROR(__xludf.DUMMYFUNCTION("""COMPUTED_VALUE"""),46.0125)</f>
        <v>46.0125</v>
      </c>
      <c r="D3">
        <f>IFERROR(__xludf.DUMMYFUNCTION("""COMPUTED_VALUE"""),4.886)</f>
        <v>4.886</v>
      </c>
      <c r="E3" t="str">
        <f>IFERROR(__xludf.DUMMYFUNCTION("""COMPUTED_VALUE"""),"(2121, 1414)")</f>
        <v>(2121, 1414)</v>
      </c>
      <c r="F3" t="str">
        <f>IFERROR(__xludf.DUMMYFUNCTION("""COMPUTED_VALUE"""),"(516, 576)")</f>
        <v>(516, 576)</v>
      </c>
      <c r="G3">
        <f>IFERROR(__xludf.DUMMYFUNCTION("""COMPUTED_VALUE"""),4.5775)</f>
        <v>4.5775</v>
      </c>
    </row>
    <row r="4">
      <c r="A4" t="str">
        <f>IFERROR(__xludf.DUMMYFUNCTION("""COMPUTED_VALUE"""),"Pumpkin1_P3Interlaken.png")</f>
        <v>Pumpkin1_P3Interlaken.png</v>
      </c>
      <c r="B4">
        <f>IFERROR(__xludf.DUMMYFUNCTION("""COMPUTED_VALUE"""),0.9718)</f>
        <v>0.9718</v>
      </c>
      <c r="C4">
        <f>IFERROR(__xludf.DUMMYFUNCTION("""COMPUTED_VALUE"""),41.2198)</f>
        <v>41.2198</v>
      </c>
      <c r="D4">
        <f>IFERROR(__xludf.DUMMYFUNCTION("""COMPUTED_VALUE"""),14.7306)</f>
        <v>14.7306</v>
      </c>
      <c r="E4" t="str">
        <f>IFERROR(__xludf.DUMMYFUNCTION("""COMPUTED_VALUE"""),"(2121, 1414)")</f>
        <v>(2121, 1414)</v>
      </c>
      <c r="F4" t="str">
        <f>IFERROR(__xludf.DUMMYFUNCTION("""COMPUTED_VALUE"""),"(1739, 899)")</f>
        <v>(1739, 899)</v>
      </c>
      <c r="G4">
        <f>IFERROR(__xludf.DUMMYFUNCTION("""COMPUTED_VALUE"""),5.6833)</f>
        <v>5.6833</v>
      </c>
    </row>
    <row r="5">
      <c r="A5" t="str">
        <f>IFERROR(__xludf.DUMMYFUNCTION("""COMPUTED_VALUE"""),"Pumpkin1_P2GlobalWarming.png")</f>
        <v>Pumpkin1_P2GlobalWarming.png</v>
      </c>
      <c r="B5">
        <f>IFERROR(__xludf.DUMMYFUNCTION("""COMPUTED_VALUE"""),0.9724)</f>
        <v>0.9724</v>
      </c>
      <c r="C5">
        <f>IFERROR(__xludf.DUMMYFUNCTION("""COMPUTED_VALUE"""),41.2945)</f>
        <v>41.2945</v>
      </c>
      <c r="D5">
        <f>IFERROR(__xludf.DUMMYFUNCTION("""COMPUTED_VALUE"""),14.4795)</f>
        <v>14.4795</v>
      </c>
      <c r="E5" t="str">
        <f>IFERROR(__xludf.DUMMYFUNCTION("""COMPUTED_VALUE"""),"(2121, 1414)")</f>
        <v>(2121, 1414)</v>
      </c>
      <c r="F5" t="str">
        <f>IFERROR(__xludf.DUMMYFUNCTION("""COMPUTED_VALUE"""),"(1755, 881)")</f>
        <v>(1755, 881)</v>
      </c>
      <c r="G5">
        <f>IFERROR(__xludf.DUMMYFUNCTION("""COMPUTED_VALUE"""),5.4067)</f>
        <v>5.4067</v>
      </c>
    </row>
    <row r="6">
      <c r="A6" t="str">
        <f>IFERROR(__xludf.DUMMYFUNCTION("""COMPUTED_VALUE"""),"Pumpkin1_Workflow.png")</f>
        <v>Pumpkin1_Workflow.png</v>
      </c>
      <c r="B6">
        <f>IFERROR(__xludf.DUMMYFUNCTION("""COMPUTED_VALUE"""),0.9926)</f>
        <v>0.9926</v>
      </c>
      <c r="C6">
        <f>IFERROR(__xludf.DUMMYFUNCTION("""COMPUTED_VALUE"""),46.097)</f>
        <v>46.097</v>
      </c>
      <c r="D6">
        <f>IFERROR(__xludf.DUMMYFUNCTION("""COMPUTED_VALUE"""),4.7919)</f>
        <v>4.7919</v>
      </c>
      <c r="E6" t="str">
        <f>IFERROR(__xludf.DUMMYFUNCTION("""COMPUTED_VALUE"""),"(2121, 1414)")</f>
        <v>(2121, 1414)</v>
      </c>
      <c r="F6" t="str">
        <f>IFERROR(__xludf.DUMMYFUNCTION("""COMPUTED_VALUE"""),"(508, 364)")</f>
        <v>(508, 364)</v>
      </c>
      <c r="G6">
        <f>IFERROR(__xludf.DUMMYFUNCTION("""COMPUTED_VALUE"""),4.4604)</f>
        <v>4.4604</v>
      </c>
    </row>
    <row r="7">
      <c r="A7" t="str">
        <f>IFERROR(__xludf.DUMMYFUNCTION("""COMPUTED_VALUE"""),"Pumpkin1_P1ChildLabour.png")</f>
        <v>Pumpkin1_P1ChildLabour.png</v>
      </c>
      <c r="B7">
        <f>IFERROR(__xludf.DUMMYFUNCTION("""COMPUTED_VALUE"""),0.9665)</f>
        <v>0.9665</v>
      </c>
      <c r="C7">
        <f>IFERROR(__xludf.DUMMYFUNCTION("""COMPUTED_VALUE"""),40.5559)</f>
        <v>40.5559</v>
      </c>
      <c r="D7">
        <f>IFERROR(__xludf.DUMMYFUNCTION("""COMPUTED_VALUE"""),17.1636)</f>
        <v>17.1636</v>
      </c>
      <c r="E7" t="str">
        <f>IFERROR(__xludf.DUMMYFUNCTION("""COMPUTED_VALUE"""),"(2121, 1414)")</f>
        <v>(2121, 1414)</v>
      </c>
      <c r="F7" t="str">
        <f>IFERROR(__xludf.DUMMYFUNCTION("""COMPUTED_VALUE"""),"(1735, 927)")</f>
        <v>(1735, 927)</v>
      </c>
      <c r="G7">
        <f>IFERROR(__xludf.DUMMYFUNCTION("""COMPUTED_VALUE"""),5.4489)</f>
        <v>5.4489</v>
      </c>
    </row>
    <row r="8">
      <c r="A8" t="str">
        <f>IFERROR(__xludf.DUMMYFUNCTION("""COMPUTED_VALUE"""),"Pumpkin1_skills.png")</f>
        <v>Pumpkin1_skills.png</v>
      </c>
      <c r="B8">
        <f>IFERROR(__xludf.DUMMYFUNCTION("""COMPUTED_VALUE"""),0.9929)</f>
        <v>0.9929</v>
      </c>
      <c r="C8">
        <f>IFERROR(__xludf.DUMMYFUNCTION("""COMPUTED_VALUE"""),46.2734)</f>
        <v>46.2734</v>
      </c>
      <c r="D8">
        <f>IFERROR(__xludf.DUMMYFUNCTION("""COMPUTED_VALUE"""),4.6011)</f>
        <v>4.6011</v>
      </c>
      <c r="E8" t="str">
        <f>IFERROR(__xludf.DUMMYFUNCTION("""COMPUTED_VALUE"""),"(2121, 1414)")</f>
        <v>(2121, 1414)</v>
      </c>
      <c r="F8" t="str">
        <f>IFERROR(__xludf.DUMMYFUNCTION("""COMPUTED_VALUE"""),"(583, 225)")</f>
        <v>(583, 225)</v>
      </c>
      <c r="G8">
        <f>IFERROR(__xludf.DUMMYFUNCTION("""COMPUTED_VALUE"""),4.52)</f>
        <v>4.52</v>
      </c>
    </row>
    <row r="9">
      <c r="A9" t="str">
        <f>IFERROR(__xludf.DUMMYFUNCTION("""COMPUTED_VALUE"""),"Pumpkin1_States.png")</f>
        <v>Pumpkin1_States.png</v>
      </c>
      <c r="B9">
        <f>IFERROR(__xludf.DUMMYFUNCTION("""COMPUTED_VALUE"""),0.9849)</f>
        <v>0.9849</v>
      </c>
      <c r="C9">
        <f>IFERROR(__xludf.DUMMYFUNCTION("""COMPUTED_VALUE"""),43.5577)</f>
        <v>43.5577</v>
      </c>
      <c r="D9">
        <f>IFERROR(__xludf.DUMMYFUNCTION("""COMPUTED_VALUE"""),8.5987)</f>
        <v>8.5987</v>
      </c>
      <c r="E9" t="str">
        <f>IFERROR(__xludf.DUMMYFUNCTION("""COMPUTED_VALUE"""),"(2121, 1414)")</f>
        <v>(2121, 1414)</v>
      </c>
      <c r="F9" t="str">
        <f>IFERROR(__xludf.DUMMYFUNCTION("""COMPUTED_VALUE"""),"(1718, 481)")</f>
        <v>(1718, 481)</v>
      </c>
      <c r="G9">
        <f>IFERROR(__xludf.DUMMYFUNCTION("""COMPUTED_VALUE"""),4.9843)</f>
        <v>4.9843</v>
      </c>
    </row>
    <row r="10">
      <c r="A10" t="str">
        <f>IFERROR(__xludf.DUMMYFUNCTION("""COMPUTED_VALUE"""),"Pumpkin1_P4Europe.png")</f>
        <v>Pumpkin1_P4Europe.png</v>
      </c>
      <c r="B10">
        <f>IFERROR(__xludf.DUMMYFUNCTION("""COMPUTED_VALUE"""),0.9709)</f>
        <v>0.9709</v>
      </c>
      <c r="C10">
        <f>IFERROR(__xludf.DUMMYFUNCTION("""COMPUTED_VALUE"""),41.1282)</f>
        <v>41.1282</v>
      </c>
      <c r="D10">
        <f>IFERROR(__xludf.DUMMYFUNCTION("""COMPUTED_VALUE"""),15.0445)</f>
        <v>15.0445</v>
      </c>
      <c r="E10" t="str">
        <f>IFERROR(__xludf.DUMMYFUNCTION("""COMPUTED_VALUE"""),"(2121, 1414)")</f>
        <v>(2121, 1414)</v>
      </c>
      <c r="F10" t="str">
        <f>IFERROR(__xludf.DUMMYFUNCTION("""COMPUTED_VALUE"""),"(1626, 832)")</f>
        <v>(1626, 832)</v>
      </c>
      <c r="G10">
        <f>IFERROR(__xludf.DUMMYFUNCTION("""COMPUTED_VALUE"""),5.2301)</f>
        <v>5.2301</v>
      </c>
    </row>
    <row r="11">
      <c r="A11" t="str">
        <f>IFERROR(__xludf.DUMMYFUNCTION("""COMPUTED_VALUE"""),"Pumpkin1_P5Tamil.png")</f>
        <v>Pumpkin1_P5Tamil.png</v>
      </c>
      <c r="B11">
        <f>IFERROR(__xludf.DUMMYFUNCTION("""COMPUTED_VALUE"""),0.9661)</f>
        <v>0.9661</v>
      </c>
      <c r="C11">
        <f>IFERROR(__xludf.DUMMYFUNCTION("""COMPUTED_VALUE"""),40.5268)</f>
        <v>40.5268</v>
      </c>
      <c r="D11">
        <f>IFERROR(__xludf.DUMMYFUNCTION("""COMPUTED_VALUE"""),17.2789)</f>
        <v>17.2789</v>
      </c>
      <c r="E11" t="str">
        <f>IFERROR(__xludf.DUMMYFUNCTION("""COMPUTED_VALUE"""),"(2121, 1414)")</f>
        <v>(2121, 1414)</v>
      </c>
      <c r="F11" t="str">
        <f>IFERROR(__xludf.DUMMYFUNCTION("""COMPUTED_VALUE"""),"(1702, 934)")</f>
        <v>(1702, 934)</v>
      </c>
      <c r="G11">
        <f>IFERROR(__xludf.DUMMYFUNCTION("""COMPUTED_VALUE"""),5.4622)</f>
        <v>5.4622</v>
      </c>
    </row>
    <row r="12">
      <c r="A12" t="str">
        <f>IFERROR(__xludf.DUMMYFUNCTION("""COMPUTED_VALUE"""),"Pumpkin1_rule.png")</f>
        <v>Pumpkin1_rule.png</v>
      </c>
      <c r="B12">
        <f>IFERROR(__xludf.DUMMYFUNCTION("""COMPUTED_VALUE"""),0.9935)</f>
        <v>0.9935</v>
      </c>
      <c r="C12">
        <f>IFERROR(__xludf.DUMMYFUNCTION("""COMPUTED_VALUE"""),46.4741)</f>
        <v>46.4741</v>
      </c>
      <c r="D12">
        <f>IFERROR(__xludf.DUMMYFUNCTION("""COMPUTED_VALUE"""),4.3933)</f>
        <v>4.3933</v>
      </c>
      <c r="E12" t="str">
        <f>IFERROR(__xludf.DUMMYFUNCTION("""COMPUTED_VALUE"""),"(2121, 1414)")</f>
        <v>(2121, 1414)</v>
      </c>
      <c r="F12" t="str">
        <f>IFERROR(__xludf.DUMMYFUNCTION("""COMPUTED_VALUE"""),"(1028, 170)")</f>
        <v>(1028, 170)</v>
      </c>
      <c r="G12">
        <f>IFERROR(__xludf.DUMMYFUNCTION("""COMPUTED_VALUE"""),4.58)</f>
        <v>4.58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IFERROR(__xludf.DUMMYFUNCTION("QUERY(Main!A1:G100,""select A, B, C, D, E, F, G where A like '%P5Tamil%'"", 1)"),"Image")</f>
        <v>Image</v>
      </c>
      <c r="B1" t="str">
        <f>IFERROR(__xludf.DUMMYFUNCTION("""COMPUTED_VALUE"""),"SSIM")</f>
        <v>SSIM</v>
      </c>
      <c r="C1" t="str">
        <f>IFERROR(__xludf.DUMMYFUNCTION("""COMPUTED_VALUE"""),"PSNR")</f>
        <v>PSNR</v>
      </c>
      <c r="D1" t="str">
        <f>IFERROR(__xludf.DUMMYFUNCTION("""COMPUTED_VALUE"""),"ERR")</f>
        <v>ERR</v>
      </c>
      <c r="E1" t="str">
        <f>IFERROR(__xludf.DUMMYFUNCTION("""COMPUTED_VALUE"""),"Host_img_size")</f>
        <v>Host_img_size</v>
      </c>
      <c r="F1" t="str">
        <f>IFERROR(__xludf.DUMMYFUNCTION("""COMPUTED_VALUE"""),"Secret_image_size")</f>
        <v>Secret_image_size</v>
      </c>
      <c r="G1" t="str">
        <f>IFERROR(__xludf.DUMMYFUNCTION("""COMPUTED_VALUE"""),"time")</f>
        <v>time</v>
      </c>
    </row>
    <row r="2">
      <c r="A2" t="str">
        <f>IFERROR(__xludf.DUMMYFUNCTION("""COMPUTED_VALUE"""),"Kids_P5Tamil.png")</f>
        <v>Kids_P5Tamil.png</v>
      </c>
      <c r="B2">
        <f>IFERROR(__xludf.DUMMYFUNCTION("""COMPUTED_VALUE"""),0.9756)</f>
        <v>0.9756</v>
      </c>
      <c r="C2">
        <f>IFERROR(__xludf.DUMMYFUNCTION("""COMPUTED_VALUE"""),42.157)</f>
        <v>42.157</v>
      </c>
      <c r="D2">
        <f>IFERROR(__xludf.DUMMYFUNCTION("""COMPUTED_VALUE"""),11.8714)</f>
        <v>11.8714</v>
      </c>
      <c r="E2" t="str">
        <f>IFERROR(__xludf.DUMMYFUNCTION("""COMPUTED_VALUE"""),"(3760, 1728)")</f>
        <v>(3760, 1728)</v>
      </c>
      <c r="F2" t="str">
        <f>IFERROR(__xludf.DUMMYFUNCTION("""COMPUTED_VALUE"""),"(1702, 934)")</f>
        <v>(1702, 934)</v>
      </c>
      <c r="G2">
        <f>IFERROR(__xludf.DUMMYFUNCTION("""COMPUTED_VALUE"""),10.6989)</f>
        <v>10.6989</v>
      </c>
    </row>
    <row r="3">
      <c r="A3" t="str">
        <f>IFERROR(__xludf.DUMMYFUNCTION("""COMPUTED_VALUE"""),"GreenlandIceSheet_P5Tamil.png")</f>
        <v>GreenlandIceSheet_P5Tamil.png</v>
      </c>
      <c r="B3">
        <f>IFERROR(__xludf.DUMMYFUNCTION("""COMPUTED_VALUE"""),0.9776)</f>
        <v>0.9776</v>
      </c>
      <c r="C3">
        <f>IFERROR(__xludf.DUMMYFUNCTION("""COMPUTED_VALUE"""),42.2547)</f>
        <v>42.2547</v>
      </c>
      <c r="D3">
        <f>IFERROR(__xludf.DUMMYFUNCTION("""COMPUTED_VALUE"""),11.6072)</f>
        <v>11.6072</v>
      </c>
      <c r="E3" t="str">
        <f>IFERROR(__xludf.DUMMYFUNCTION("""COMPUTED_VALUE"""),"(2048, 1152)")</f>
        <v>(2048, 1152)</v>
      </c>
      <c r="F3" t="str">
        <f>IFERROR(__xludf.DUMMYFUNCTION("""COMPUTED_VALUE"""),"(1702, 934)")</f>
        <v>(1702, 934)</v>
      </c>
      <c r="G3">
        <f>IFERROR(__xludf.DUMMYFUNCTION("""COMPUTED_VALUE"""),4.7873)</f>
        <v>4.7873</v>
      </c>
    </row>
    <row r="4">
      <c r="A4" t="str">
        <f>IFERROR(__xludf.DUMMYFUNCTION("""COMPUTED_VALUE"""),"Autumn3_P5Tamil.png")</f>
        <v>Autumn3_P5Tamil.png</v>
      </c>
      <c r="B4">
        <f>IFERROR(__xludf.DUMMYFUNCTION("""COMPUTED_VALUE"""),0.9892)</f>
        <v>0.9892</v>
      </c>
      <c r="C4">
        <f>IFERROR(__xludf.DUMMYFUNCTION("""COMPUTED_VALUE"""),39.6973)</f>
        <v>39.6973</v>
      </c>
      <c r="D4">
        <f>IFERROR(__xludf.DUMMYFUNCTION("""COMPUTED_VALUE"""),20.9156)</f>
        <v>20.9156</v>
      </c>
      <c r="E4" t="str">
        <f>IFERROR(__xludf.DUMMYFUNCTION("""COMPUTED_VALUE"""),"(2560, 1440)")</f>
        <v>(2560, 1440)</v>
      </c>
      <c r="F4" t="str">
        <f>IFERROR(__xludf.DUMMYFUNCTION("""COMPUTED_VALUE"""),"(1702, 934)")</f>
        <v>(1702, 934)</v>
      </c>
      <c r="G4">
        <f>IFERROR(__xludf.DUMMYFUNCTION("""COMPUTED_VALUE"""),6.8968)</f>
        <v>6.8968</v>
      </c>
    </row>
    <row r="5">
      <c r="A5" t="str">
        <f>IFERROR(__xludf.DUMMYFUNCTION("""COMPUTED_VALUE"""),"Autumn1_P5Tamil.png")</f>
        <v>Autumn1_P5Tamil.png</v>
      </c>
      <c r="B5">
        <f>IFERROR(__xludf.DUMMYFUNCTION("""COMPUTED_VALUE"""),0.9847)</f>
        <v>0.9847</v>
      </c>
      <c r="C5">
        <f>IFERROR(__xludf.DUMMYFUNCTION("""COMPUTED_VALUE"""),38.8544)</f>
        <v>38.8544</v>
      </c>
      <c r="D5">
        <f>IFERROR(__xludf.DUMMYFUNCTION("""COMPUTED_VALUE"""),25.3956)</f>
        <v>25.3956</v>
      </c>
      <c r="E5" t="str">
        <f>IFERROR(__xludf.DUMMYFUNCTION("""COMPUTED_VALUE"""),"(1920, 1200)")</f>
        <v>(1920, 1200)</v>
      </c>
      <c r="F5" t="str">
        <f>IFERROR(__xludf.DUMMYFUNCTION("""COMPUTED_VALUE"""),"(1702, 934)")</f>
        <v>(1702, 934)</v>
      </c>
      <c r="G5">
        <f>IFERROR(__xludf.DUMMYFUNCTION("""COMPUTED_VALUE"""),4.5953)</f>
        <v>4.5953</v>
      </c>
    </row>
    <row r="6">
      <c r="A6" t="str">
        <f>IFERROR(__xludf.DUMMYFUNCTION("""COMPUTED_VALUE"""),"RainyLondon_P5Tamil.png")</f>
        <v>RainyLondon_P5Tamil.png</v>
      </c>
      <c r="B6">
        <f>IFERROR(__xludf.DUMMYFUNCTION("""COMPUTED_VALUE"""),0.9907)</f>
        <v>0.9907</v>
      </c>
      <c r="C6">
        <f>IFERROR(__xludf.DUMMYFUNCTION("""COMPUTED_VALUE"""),45.5908)</f>
        <v>45.5908</v>
      </c>
      <c r="D6">
        <f>IFERROR(__xludf.DUMMYFUNCTION("""COMPUTED_VALUE"""),5.3842)</f>
        <v>5.3842</v>
      </c>
      <c r="E6" t="str">
        <f>IFERROR(__xludf.DUMMYFUNCTION("""COMPUTED_VALUE"""),"(3840, 2160)")</f>
        <v>(3840, 2160)</v>
      </c>
      <c r="F6" t="str">
        <f>IFERROR(__xludf.DUMMYFUNCTION("""COMPUTED_VALUE"""),"(1702, 934)")</f>
        <v>(1702, 934)</v>
      </c>
      <c r="G6">
        <f>IFERROR(__xludf.DUMMYFUNCTION("""COMPUTED_VALUE"""),12.867)</f>
        <v>12.867</v>
      </c>
    </row>
    <row r="7">
      <c r="A7" t="str">
        <f>IFERROR(__xludf.DUMMYFUNCTION("""COMPUTED_VALUE"""),"GreelanIceCap_P5Tamil.png")</f>
        <v>GreelanIceCap_P5Tamil.png</v>
      </c>
      <c r="B7">
        <f>IFERROR(__xludf.DUMMYFUNCTION("""COMPUTED_VALUE"""),0.9794)</f>
        <v>0.9794</v>
      </c>
      <c r="C7">
        <f>IFERROR(__xludf.DUMMYFUNCTION("""COMPUTED_VALUE"""),42.9149)</f>
        <v>42.9149</v>
      </c>
      <c r="D7">
        <f>IFERROR(__xludf.DUMMYFUNCTION("""COMPUTED_VALUE"""),9.9703)</f>
        <v>9.9703</v>
      </c>
      <c r="E7" t="str">
        <f>IFERROR(__xludf.DUMMYFUNCTION("""COMPUTED_VALUE"""),"(2560, 1440)")</f>
        <v>(2560, 1440)</v>
      </c>
      <c r="F7" t="str">
        <f>IFERROR(__xludf.DUMMYFUNCTION("""COMPUTED_VALUE"""),"(1702, 934)")</f>
        <v>(1702, 934)</v>
      </c>
      <c r="G7">
        <f>IFERROR(__xludf.DUMMYFUNCTION("""COMPUTED_VALUE"""),6.63)</f>
        <v>6.63</v>
      </c>
    </row>
    <row r="8">
      <c r="A8" t="str">
        <f>IFERROR(__xludf.DUMMYFUNCTION("""COMPUTED_VALUE"""),"Pumpkin1_P5Tamil.png")</f>
        <v>Pumpkin1_P5Tamil.png</v>
      </c>
      <c r="B8">
        <f>IFERROR(__xludf.DUMMYFUNCTION("""COMPUTED_VALUE"""),0.9661)</f>
        <v>0.9661</v>
      </c>
      <c r="C8">
        <f>IFERROR(__xludf.DUMMYFUNCTION("""COMPUTED_VALUE"""),40.5268)</f>
        <v>40.5268</v>
      </c>
      <c r="D8">
        <f>IFERROR(__xludf.DUMMYFUNCTION("""COMPUTED_VALUE"""),17.2789)</f>
        <v>17.2789</v>
      </c>
      <c r="E8" t="str">
        <f>IFERROR(__xludf.DUMMYFUNCTION("""COMPUTED_VALUE"""),"(2121, 1414)")</f>
        <v>(2121, 1414)</v>
      </c>
      <c r="F8" t="str">
        <f>IFERROR(__xludf.DUMMYFUNCTION("""COMPUTED_VALUE"""),"(1702, 934)")</f>
        <v>(1702, 934)</v>
      </c>
      <c r="G8">
        <f>IFERROR(__xludf.DUMMYFUNCTION("""COMPUTED_VALUE"""),5.4622)</f>
        <v>5.4622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IFERROR(__xludf.DUMMYFUNCTION("QUERY(Main!A1:G100,""select A, B, C, D, E, F, G where A like '%skills%'"", 1)"),"Image")</f>
        <v>Image</v>
      </c>
      <c r="B1" t="str">
        <f>IFERROR(__xludf.DUMMYFUNCTION("""COMPUTED_VALUE"""),"SSIM")</f>
        <v>SSIM</v>
      </c>
      <c r="C1" t="str">
        <f>IFERROR(__xludf.DUMMYFUNCTION("""COMPUTED_VALUE"""),"PSNR")</f>
        <v>PSNR</v>
      </c>
      <c r="D1" t="str">
        <f>IFERROR(__xludf.DUMMYFUNCTION("""COMPUTED_VALUE"""),"ERR")</f>
        <v>ERR</v>
      </c>
      <c r="E1" t="str">
        <f>IFERROR(__xludf.DUMMYFUNCTION("""COMPUTED_VALUE"""),"Host_img_size")</f>
        <v>Host_img_size</v>
      </c>
      <c r="F1" t="str">
        <f>IFERROR(__xludf.DUMMYFUNCTION("""COMPUTED_VALUE"""),"Secret_image_size")</f>
        <v>Secret_image_size</v>
      </c>
      <c r="G1" t="str">
        <f>IFERROR(__xludf.DUMMYFUNCTION("""COMPUTED_VALUE"""),"time")</f>
        <v>time</v>
      </c>
    </row>
    <row r="2">
      <c r="A2" t="str">
        <f>IFERROR(__xludf.DUMMYFUNCTION("""COMPUTED_VALUE"""),"Autumn1_skills.png")</f>
        <v>Autumn1_skills.png</v>
      </c>
      <c r="B2">
        <f>IFERROR(__xludf.DUMMYFUNCTION("""COMPUTED_VALUE"""),0.9925)</f>
        <v>0.9925</v>
      </c>
      <c r="C2">
        <f>IFERROR(__xludf.DUMMYFUNCTION("""COMPUTED_VALUE"""),41.6761)</f>
        <v>41.6761</v>
      </c>
      <c r="D2">
        <f>IFERROR(__xludf.DUMMYFUNCTION("""COMPUTED_VALUE"""),13.2614)</f>
        <v>13.2614</v>
      </c>
      <c r="E2" t="str">
        <f>IFERROR(__xludf.DUMMYFUNCTION("""COMPUTED_VALUE"""),"(1920, 1200)")</f>
        <v>(1920, 1200)</v>
      </c>
      <c r="F2" t="str">
        <f>IFERROR(__xludf.DUMMYFUNCTION("""COMPUTED_VALUE"""),"(583, 225)")</f>
        <v>(583, 225)</v>
      </c>
      <c r="G2">
        <f>IFERROR(__xludf.DUMMYFUNCTION("""COMPUTED_VALUE"""),3.6295)</f>
        <v>3.6295</v>
      </c>
    </row>
    <row r="3">
      <c r="A3" t="str">
        <f>IFERROR(__xludf.DUMMYFUNCTION("""COMPUTED_VALUE"""),"Kids_skills.png")</f>
        <v>Kids_skills.png</v>
      </c>
      <c r="B3">
        <f>IFERROR(__xludf.DUMMYFUNCTION("""COMPUTED_VALUE"""),0.9946)</f>
        <v>0.9946</v>
      </c>
      <c r="C3">
        <f>IFERROR(__xludf.DUMMYFUNCTION("""COMPUTED_VALUE"""),48.1156)</f>
        <v>48.1156</v>
      </c>
      <c r="D3">
        <f>IFERROR(__xludf.DUMMYFUNCTION("""COMPUTED_VALUE"""),3.0105)</f>
        <v>3.0105</v>
      </c>
      <c r="E3" t="str">
        <f>IFERROR(__xludf.DUMMYFUNCTION("""COMPUTED_VALUE"""),"(3760, 1728)")</f>
        <v>(3760, 1728)</v>
      </c>
      <c r="F3" t="str">
        <f>IFERROR(__xludf.DUMMYFUNCTION("""COMPUTED_VALUE"""),"(583, 225)")</f>
        <v>(583, 225)</v>
      </c>
      <c r="G3">
        <f>IFERROR(__xludf.DUMMYFUNCTION("""COMPUTED_VALUE"""),9.8454)</f>
        <v>9.8454</v>
      </c>
    </row>
    <row r="4">
      <c r="A4" t="str">
        <f>IFERROR(__xludf.DUMMYFUNCTION("""COMPUTED_VALUE"""),"GreenlandIceSheet_skills.png")</f>
        <v>GreenlandIceSheet_skills.png</v>
      </c>
      <c r="B4">
        <f>IFERROR(__xludf.DUMMYFUNCTION("""COMPUTED_VALUE"""),0.9979)</f>
        <v>0.9979</v>
      </c>
      <c r="C4">
        <f>IFERROR(__xludf.DUMMYFUNCTION("""COMPUTED_VALUE"""),54.4108)</f>
        <v>54.4108</v>
      </c>
      <c r="D4">
        <f>IFERROR(__xludf.DUMMYFUNCTION("""COMPUTED_VALUE"""),0.7065)</f>
        <v>0.7065</v>
      </c>
      <c r="E4" t="str">
        <f>IFERROR(__xludf.DUMMYFUNCTION("""COMPUTED_VALUE"""),"(2048, 1152)")</f>
        <v>(2048, 1152)</v>
      </c>
      <c r="F4" t="str">
        <f>IFERROR(__xludf.DUMMYFUNCTION("""COMPUTED_VALUE"""),"(583, 225)")</f>
        <v>(583, 225)</v>
      </c>
      <c r="G4">
        <f>IFERROR(__xludf.DUMMYFUNCTION("""COMPUTED_VALUE"""),3.933)</f>
        <v>3.933</v>
      </c>
    </row>
    <row r="5">
      <c r="A5" t="str">
        <f>IFERROR(__xludf.DUMMYFUNCTION("""COMPUTED_VALUE"""),"RainyLondon_skills.png")</f>
        <v>RainyLondon_skills.png</v>
      </c>
      <c r="B5">
        <f>IFERROR(__xludf.DUMMYFUNCTION("""COMPUTED_VALUE"""),0.9966)</f>
        <v>0.9966</v>
      </c>
      <c r="C5">
        <f>IFERROR(__xludf.DUMMYFUNCTION("""COMPUTED_VALUE"""),50.0955)</f>
        <v>50.0955</v>
      </c>
      <c r="D5">
        <f>IFERROR(__xludf.DUMMYFUNCTION("""COMPUTED_VALUE"""),1.9083)</f>
        <v>1.9083</v>
      </c>
      <c r="E5" t="str">
        <f>IFERROR(__xludf.DUMMYFUNCTION("""COMPUTED_VALUE"""),"(3840, 2160)")</f>
        <v>(3840, 2160)</v>
      </c>
      <c r="F5" t="str">
        <f>IFERROR(__xludf.DUMMYFUNCTION("""COMPUTED_VALUE"""),"(583, 225)")</f>
        <v>(583, 225)</v>
      </c>
      <c r="G5">
        <f>IFERROR(__xludf.DUMMYFUNCTION("""COMPUTED_VALUE"""),12.1191)</f>
        <v>12.1191</v>
      </c>
    </row>
    <row r="6">
      <c r="A6" t="str">
        <f>IFERROR(__xludf.DUMMYFUNCTION("""COMPUTED_VALUE"""),"FamilyRunningMAsk_skills.png")</f>
        <v>FamilyRunningMAsk_skills.png</v>
      </c>
      <c r="B6">
        <f>IFERROR(__xludf.DUMMYFUNCTION("""COMPUTED_VALUE"""),0.9913)</f>
        <v>0.9913</v>
      </c>
      <c r="C6">
        <f>IFERROR(__xludf.DUMMYFUNCTION("""COMPUTED_VALUE"""),44.3752)</f>
        <v>44.3752</v>
      </c>
      <c r="D6">
        <f>IFERROR(__xludf.DUMMYFUNCTION("""COMPUTED_VALUE"""),7.1234)</f>
        <v>7.1234</v>
      </c>
      <c r="E6" t="str">
        <f>IFERROR(__xludf.DUMMYFUNCTION("""COMPUTED_VALUE"""),"(1080, 1080)")</f>
        <v>(1080, 1080)</v>
      </c>
      <c r="F6" t="str">
        <f>IFERROR(__xludf.DUMMYFUNCTION("""COMPUTED_VALUE"""),"(583, 225)")</f>
        <v>(583, 225)</v>
      </c>
      <c r="G6">
        <f>IFERROR(__xludf.DUMMYFUNCTION("""COMPUTED_VALUE"""),2.0372)</f>
        <v>2.0372</v>
      </c>
    </row>
    <row r="7">
      <c r="A7" t="str">
        <f>IFERROR(__xludf.DUMMYFUNCTION("""COMPUTED_VALUE"""),"Autumn3_skills.png")</f>
        <v>Autumn3_skills.png</v>
      </c>
      <c r="B7">
        <f>IFERROR(__xludf.DUMMYFUNCTION("""COMPUTED_VALUE"""),0.995)</f>
        <v>0.995</v>
      </c>
      <c r="C7">
        <f>IFERROR(__xludf.DUMMYFUNCTION("""COMPUTED_VALUE"""),41.7036)</f>
        <v>41.7036</v>
      </c>
      <c r="D7">
        <f>IFERROR(__xludf.DUMMYFUNCTION("""COMPUTED_VALUE"""),13.1776)</f>
        <v>13.1776</v>
      </c>
      <c r="E7" t="str">
        <f>IFERROR(__xludf.DUMMYFUNCTION("""COMPUTED_VALUE"""),"(2560, 1440)")</f>
        <v>(2560, 1440)</v>
      </c>
      <c r="F7" t="str">
        <f>IFERROR(__xludf.DUMMYFUNCTION("""COMPUTED_VALUE"""),"(583, 225)")</f>
        <v>(583, 225)</v>
      </c>
      <c r="G7">
        <f>IFERROR(__xludf.DUMMYFUNCTION("""COMPUTED_VALUE"""),6.071)</f>
        <v>6.071</v>
      </c>
    </row>
    <row r="8">
      <c r="A8" t="str">
        <f>IFERROR(__xludf.DUMMYFUNCTION("""COMPUTED_VALUE"""),"Pumpkin1_skills.png")</f>
        <v>Pumpkin1_skills.png</v>
      </c>
      <c r="B8">
        <f>IFERROR(__xludf.DUMMYFUNCTION("""COMPUTED_VALUE"""),0.9929)</f>
        <v>0.9929</v>
      </c>
      <c r="C8">
        <f>IFERROR(__xludf.DUMMYFUNCTION("""COMPUTED_VALUE"""),46.2734)</f>
        <v>46.2734</v>
      </c>
      <c r="D8">
        <f>IFERROR(__xludf.DUMMYFUNCTION("""COMPUTED_VALUE"""),4.6011)</f>
        <v>4.6011</v>
      </c>
      <c r="E8" t="str">
        <f>IFERROR(__xludf.DUMMYFUNCTION("""COMPUTED_VALUE"""),"(2121, 1414)")</f>
        <v>(2121, 1414)</v>
      </c>
      <c r="F8" t="str">
        <f>IFERROR(__xludf.DUMMYFUNCTION("""COMPUTED_VALUE"""),"(583, 225)")</f>
        <v>(583, 225)</v>
      </c>
      <c r="G8">
        <f>IFERROR(__xludf.DUMMYFUNCTION("""COMPUTED_VALUE"""),4.52)</f>
        <v>4.52</v>
      </c>
    </row>
    <row r="9">
      <c r="A9" t="str">
        <f>IFERROR(__xludf.DUMMYFUNCTION("""COMPUTED_VALUE"""),"dog_skills.png")</f>
        <v>dog_skills.png</v>
      </c>
      <c r="B9">
        <f>IFERROR(__xludf.DUMMYFUNCTION("""COMPUTED_VALUE"""),0.9875)</f>
        <v>0.9875</v>
      </c>
      <c r="C9">
        <f>IFERROR(__xludf.DUMMYFUNCTION("""COMPUTED_VALUE"""),44.5226)</f>
        <v>44.5226</v>
      </c>
      <c r="D9">
        <f>IFERROR(__xludf.DUMMYFUNCTION("""COMPUTED_VALUE"""),6.8856)</f>
        <v>6.8856</v>
      </c>
      <c r="E9" t="str">
        <f>IFERROR(__xludf.DUMMYFUNCTION("""COMPUTED_VALUE"""),"(800, 534)")</f>
        <v>(800, 534)</v>
      </c>
      <c r="F9" t="str">
        <f>IFERROR(__xludf.DUMMYFUNCTION("""COMPUTED_VALUE"""),"(583, 225)")</f>
        <v>(583, 225)</v>
      </c>
      <c r="G9">
        <f>IFERROR(__xludf.DUMMYFUNCTION("""COMPUTED_VALUE"""),0.8085)</f>
        <v>0.8085</v>
      </c>
    </row>
    <row r="10">
      <c r="A10" t="str">
        <f>IFERROR(__xludf.DUMMYFUNCTION("""COMPUTED_VALUE"""),"GreelanIceCap_skills.png")</f>
        <v>GreelanIceCap_skills.png</v>
      </c>
      <c r="B10">
        <f>IFERROR(__xludf.DUMMYFUNCTION("""COMPUTED_VALUE"""),0.9947)</f>
        <v>0.9947</v>
      </c>
      <c r="C10">
        <f>IFERROR(__xludf.DUMMYFUNCTION("""COMPUTED_VALUE"""),49.3663)</f>
        <v>49.3663</v>
      </c>
      <c r="D10">
        <f>IFERROR(__xludf.DUMMYFUNCTION("""COMPUTED_VALUE"""),2.2572)</f>
        <v>2.2572</v>
      </c>
      <c r="E10" t="str">
        <f>IFERROR(__xludf.DUMMYFUNCTION("""COMPUTED_VALUE"""),"(2560, 1440)")</f>
        <v>(2560, 1440)</v>
      </c>
      <c r="F10" t="str">
        <f>IFERROR(__xludf.DUMMYFUNCTION("""COMPUTED_VALUE"""),"(583, 225)")</f>
        <v>(583, 225)</v>
      </c>
      <c r="G10">
        <f>IFERROR(__xludf.DUMMYFUNCTION("""COMPUTED_VALUE"""),5.7902)</f>
        <v>5.7902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2"/>
      <c r="B1" s="2" t="str">
        <f>IFERROR(__xludf.DUMMYFUNCTION("QUERY(Main!A1:G100,""select A, B, C, D, E, F, G where A like '%P2GlobalWarming%'"", 1)"),"Image")</f>
        <v>Image</v>
      </c>
      <c r="C1" t="str">
        <f>IFERROR(__xludf.DUMMYFUNCTION("""COMPUTED_VALUE"""),"SSIM")</f>
        <v>SSIM</v>
      </c>
      <c r="D1" t="str">
        <f>IFERROR(__xludf.DUMMYFUNCTION("""COMPUTED_VALUE"""),"PSNR")</f>
        <v>PSNR</v>
      </c>
      <c r="E1" t="str">
        <f>IFERROR(__xludf.DUMMYFUNCTION("""COMPUTED_VALUE"""),"ERR")</f>
        <v>ERR</v>
      </c>
      <c r="F1" t="str">
        <f>IFERROR(__xludf.DUMMYFUNCTION("""COMPUTED_VALUE"""),"Host_img_size")</f>
        <v>Host_img_size</v>
      </c>
      <c r="G1" t="str">
        <f>IFERROR(__xludf.DUMMYFUNCTION("""COMPUTED_VALUE"""),"Secret_image_size")</f>
        <v>Secret_image_size</v>
      </c>
      <c r="H1" t="str">
        <f>IFERROR(__xludf.DUMMYFUNCTION("""COMPUTED_VALUE"""),"time")</f>
        <v>time</v>
      </c>
    </row>
    <row r="2">
      <c r="B2" t="str">
        <f>IFERROR(__xludf.DUMMYFUNCTION("""COMPUTED_VALUE"""),"GreenlandIceSheet_P2GlobalWarming.png")</f>
        <v>GreenlandIceSheet_P2GlobalWarming.png</v>
      </c>
      <c r="C2">
        <f>IFERROR(__xludf.DUMMYFUNCTION("""COMPUTED_VALUE"""),0.9838)</f>
        <v>0.9838</v>
      </c>
      <c r="D2">
        <f>IFERROR(__xludf.DUMMYFUNCTION("""COMPUTED_VALUE"""),43.3461)</f>
        <v>43.3461</v>
      </c>
      <c r="E2">
        <f>IFERROR(__xludf.DUMMYFUNCTION("""COMPUTED_VALUE"""),9.0281)</f>
        <v>9.0281</v>
      </c>
      <c r="F2" t="str">
        <f>IFERROR(__xludf.DUMMYFUNCTION("""COMPUTED_VALUE"""),"(2048, 1152)")</f>
        <v>(2048, 1152)</v>
      </c>
      <c r="G2" t="str">
        <f>IFERROR(__xludf.DUMMYFUNCTION("""COMPUTED_VALUE"""),"(1755, 881)")</f>
        <v>(1755, 881)</v>
      </c>
      <c r="H2">
        <f>IFERROR(__xludf.DUMMYFUNCTION("""COMPUTED_VALUE"""),4.8666)</f>
        <v>4.8666</v>
      </c>
    </row>
    <row r="3">
      <c r="B3" t="str">
        <f>IFERROR(__xludf.DUMMYFUNCTION("""COMPUTED_VALUE"""),"Pumpkin1_P2GlobalWarming.png")</f>
        <v>Pumpkin1_P2GlobalWarming.png</v>
      </c>
      <c r="C3">
        <f>IFERROR(__xludf.DUMMYFUNCTION("""COMPUTED_VALUE"""),0.9724)</f>
        <v>0.9724</v>
      </c>
      <c r="D3">
        <f>IFERROR(__xludf.DUMMYFUNCTION("""COMPUTED_VALUE"""),41.2945)</f>
        <v>41.2945</v>
      </c>
      <c r="E3">
        <f>IFERROR(__xludf.DUMMYFUNCTION("""COMPUTED_VALUE"""),14.4795)</f>
        <v>14.4795</v>
      </c>
      <c r="F3" t="str">
        <f>IFERROR(__xludf.DUMMYFUNCTION("""COMPUTED_VALUE"""),"(2121, 1414)")</f>
        <v>(2121, 1414)</v>
      </c>
      <c r="G3" t="str">
        <f>IFERROR(__xludf.DUMMYFUNCTION("""COMPUTED_VALUE"""),"(1755, 881)")</f>
        <v>(1755, 881)</v>
      </c>
      <c r="H3">
        <f>IFERROR(__xludf.DUMMYFUNCTION("""COMPUTED_VALUE"""),5.4067)</f>
        <v>5.4067</v>
      </c>
    </row>
    <row r="4">
      <c r="B4" t="str">
        <f>IFERROR(__xludf.DUMMYFUNCTION("""COMPUTED_VALUE"""),"RainyLondon_P2GlobalWarming.png")</f>
        <v>RainyLondon_P2GlobalWarming.png</v>
      </c>
      <c r="C4">
        <f>IFERROR(__xludf.DUMMYFUNCTION("""COMPUTED_VALUE"""),0.9923)</f>
        <v>0.9923</v>
      </c>
      <c r="D4">
        <f>IFERROR(__xludf.DUMMYFUNCTION("""COMPUTED_VALUE"""),46.2722)</f>
        <v>46.2722</v>
      </c>
      <c r="E4">
        <f>IFERROR(__xludf.DUMMYFUNCTION("""COMPUTED_VALUE"""),4.6023)</f>
        <v>4.6023</v>
      </c>
      <c r="F4" t="str">
        <f>IFERROR(__xludf.DUMMYFUNCTION("""COMPUTED_VALUE"""),"(3840, 2160)")</f>
        <v>(3840, 2160)</v>
      </c>
      <c r="G4" t="str">
        <f>IFERROR(__xludf.DUMMYFUNCTION("""COMPUTED_VALUE"""),"(1755, 881)")</f>
        <v>(1755, 881)</v>
      </c>
      <c r="H4">
        <f>IFERROR(__xludf.DUMMYFUNCTION("""COMPUTED_VALUE"""),10.522)</f>
        <v>10.522</v>
      </c>
    </row>
    <row r="5">
      <c r="B5" t="str">
        <f>IFERROR(__xludf.DUMMYFUNCTION("""COMPUTED_VALUE"""),"GreelanIceCap_P2GlobalWarming.png")</f>
        <v>GreelanIceCap_P2GlobalWarming.png</v>
      </c>
      <c r="C5">
        <f>IFERROR(__xludf.DUMMYFUNCTION("""COMPUTED_VALUE"""),0.9833)</f>
        <v>0.9833</v>
      </c>
      <c r="D5">
        <f>IFERROR(__xludf.DUMMYFUNCTION("""COMPUTED_VALUE"""),43.7503)</f>
        <v>43.7503</v>
      </c>
      <c r="E5">
        <f>IFERROR(__xludf.DUMMYFUNCTION("""COMPUTED_VALUE"""),8.2257)</f>
        <v>8.2257</v>
      </c>
      <c r="F5" t="str">
        <f>IFERROR(__xludf.DUMMYFUNCTION("""COMPUTED_VALUE"""),"(2560, 1440)")</f>
        <v>(2560, 1440)</v>
      </c>
      <c r="G5" t="str">
        <f>IFERROR(__xludf.DUMMYFUNCTION("""COMPUTED_VALUE"""),"(1755, 881)")</f>
        <v>(1755, 881)</v>
      </c>
      <c r="H5">
        <f>IFERROR(__xludf.DUMMYFUNCTION("""COMPUTED_VALUE"""),6.6752)</f>
        <v>6.6752</v>
      </c>
    </row>
    <row r="6">
      <c r="B6" t="str">
        <f>IFERROR(__xludf.DUMMYFUNCTION("""COMPUTED_VALUE"""),"Kids_P2GlobalWarming.png")</f>
        <v>Kids_P2GlobalWarming.png</v>
      </c>
      <c r="C6">
        <f>IFERROR(__xludf.DUMMYFUNCTION("""COMPUTED_VALUE"""),0.9803)</f>
        <v>0.9803</v>
      </c>
      <c r="D6">
        <f>IFERROR(__xludf.DUMMYFUNCTION("""COMPUTED_VALUE"""),43.0211)</f>
        <v>43.0211</v>
      </c>
      <c r="E6">
        <f>IFERROR(__xludf.DUMMYFUNCTION("""COMPUTED_VALUE"""),9.7294)</f>
        <v>9.7294</v>
      </c>
      <c r="F6" t="str">
        <f>IFERROR(__xludf.DUMMYFUNCTION("""COMPUTED_VALUE"""),"(3760, 1728)")</f>
        <v>(3760, 1728)</v>
      </c>
      <c r="G6" t="str">
        <f>IFERROR(__xludf.DUMMYFUNCTION("""COMPUTED_VALUE"""),"(1755, 881)")</f>
        <v>(1755, 881)</v>
      </c>
      <c r="H6">
        <f>IFERROR(__xludf.DUMMYFUNCTION("""COMPUTED_VALUE"""),10.5767)</f>
        <v>10.5767</v>
      </c>
    </row>
    <row r="7">
      <c r="B7" t="str">
        <f>IFERROR(__xludf.DUMMYFUNCTION("""COMPUTED_VALUE"""),"Autumn1_P2GlobalWarming.png")</f>
        <v>Autumn1_P2GlobalWarming.png</v>
      </c>
      <c r="C7">
        <f>IFERROR(__xludf.DUMMYFUNCTION("""COMPUTED_VALUE"""),0.9864)</f>
        <v>0.9864</v>
      </c>
      <c r="D7">
        <f>IFERROR(__xludf.DUMMYFUNCTION("""COMPUTED_VALUE"""),39.3411)</f>
        <v>39.3411</v>
      </c>
      <c r="E7">
        <f>IFERROR(__xludf.DUMMYFUNCTION("""COMPUTED_VALUE"""),22.7036)</f>
        <v>22.7036</v>
      </c>
      <c r="F7" t="str">
        <f>IFERROR(__xludf.DUMMYFUNCTION("""COMPUTED_VALUE"""),"(1920, 1200)")</f>
        <v>(1920, 1200)</v>
      </c>
      <c r="G7" t="str">
        <f>IFERROR(__xludf.DUMMYFUNCTION("""COMPUTED_VALUE"""),"(1755, 881)")</f>
        <v>(1755, 881)</v>
      </c>
      <c r="H7">
        <f>IFERROR(__xludf.DUMMYFUNCTION("""COMPUTED_VALUE"""),4.5004)</f>
        <v>4.5004</v>
      </c>
    </row>
    <row r="8">
      <c r="B8" t="str">
        <f>IFERROR(__xludf.DUMMYFUNCTION("""COMPUTED_VALUE"""),"Autumn3_P2GlobalWarming.png")</f>
        <v>Autumn3_P2GlobalWarming.png</v>
      </c>
      <c r="C8">
        <f>IFERROR(__xludf.DUMMYFUNCTION("""COMPUTED_VALUE"""),0.9905)</f>
        <v>0.9905</v>
      </c>
      <c r="D8">
        <f>IFERROR(__xludf.DUMMYFUNCTION("""COMPUTED_VALUE"""),40.0628)</f>
        <v>40.0628</v>
      </c>
      <c r="E8">
        <f>IFERROR(__xludf.DUMMYFUNCTION("""COMPUTED_VALUE"""),19.2276)</f>
        <v>19.2276</v>
      </c>
      <c r="F8" t="str">
        <f>IFERROR(__xludf.DUMMYFUNCTION("""COMPUTED_VALUE"""),"(2560, 1440)")</f>
        <v>(2560, 1440)</v>
      </c>
      <c r="G8" t="str">
        <f>IFERROR(__xludf.DUMMYFUNCTION("""COMPUTED_VALUE"""),"(1755, 881)")</f>
        <v>(1755, 881)</v>
      </c>
      <c r="H8">
        <f>IFERROR(__xludf.DUMMYFUNCTION("""COMPUTED_VALUE"""),6.4531)</f>
        <v>6.4531</v>
      </c>
    </row>
  </sheetData>
  <drawing r:id="rId1"/>
</worksheet>
</file>